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drawings/charts/chart3.xml" ContentType="application/vnd.openxmlformats-officedocument.drawingml.chart+xml"/>
  <Override PartName="/xl/drawings/charts/chart4.xml" ContentType="application/vnd.openxmlformats-officedocument.drawingml.chart+xml"/>
  <Override PartName="/xl/drawings/charts/chart5.xml" ContentType="application/vnd.openxmlformats-officedocument.drawingml.char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drawings/drawing3.xml" ContentType="application/vnd.openxmlformats-officedocument.drawing+xml"/>
  <Override PartName="/xl/drawings/charts/chart6.xml" ContentType="application/vnd.openxmlformats-officedocument.drawingml.char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drawings/drawing4.xml" ContentType="application/vnd.openxmlformats-officedocument.drawing+xml"/>
  <Override PartName="/xl/drawings/charts/chart7.xml" ContentType="application/vnd.openxmlformats-officedocument.drawingml.char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drawings/drawing5.xml" ContentType="application/vnd.openxmlformats-officedocument.drawing+xml"/>
  <Override PartName="/xl/drawings/charts/chart8.xml" ContentType="application/vnd.openxmlformats-officedocument.drawingml.char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drawings/drawing6.xml" ContentType="application/vnd.openxmlformats-officedocument.drawing+xml"/>
  <Override PartName="/xl/drawings/charts/chart9.xml" ContentType="application/vnd.openxmlformats-officedocument.drawingml.char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drawings/drawing7.xml" ContentType="application/vnd.openxmlformats-officedocument.drawing+xml"/>
  <Override PartName="/xl/drawings/charts/chart10.xml" ContentType="application/vnd.openxmlformats-officedocument.drawingml.char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drawings/drawing8.xml" ContentType="application/vnd.openxmlformats-officedocument.drawing+xml"/>
  <Override PartName="/xl/drawings/charts/chart11.xml" ContentType="application/vnd.openxmlformats-officedocument.drawingml.char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drawings/drawing9.xml" ContentType="application/vnd.openxmlformats-officedocument.drawing+xml"/>
  <Override PartName="/xl/drawings/charts/chart12.xml" ContentType="application/vnd.openxmlformats-officedocument.drawingml.char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drawings/drawing10.xml" ContentType="application/vnd.openxmlformats-officedocument.drawing+xml"/>
  <Override PartName="/xl/drawings/charts/chart13.xml" ContentType="application/vnd.openxmlformats-officedocument.drawingml.char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drawings/drawing11.xml" ContentType="application/vnd.openxmlformats-officedocument.drawing+xml"/>
  <Override PartName="/xl/drawings/charts/chart14.xml" ContentType="application/vnd.openxmlformats-officedocument.drawingml.char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drawings/drawing12.xml" ContentType="application/vnd.openxmlformats-officedocument.drawing+xml"/>
  <Override PartName="/xl/drawings/charts/chart15.xml" ContentType="application/vnd.openxmlformats-officedocument.drawingml.char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drawings/drawing13.xml" ContentType="application/vnd.openxmlformats-officedocument.drawing+xml"/>
  <Override PartName="/xl/drawings/charts/chart16.xml" ContentType="application/vnd.openxmlformats-officedocument.drawingml.chart+xml"/>
  <Override PartName="/xl/worksheets/sheet118.xml" ContentType="application/vnd.openxmlformats-officedocument.spreadsheetml.worksheet+xml"/>
  <Override PartName="/xl/drawings/drawing14.xml" ContentType="application/vnd.openxmlformats-officedocument.drawing+xml"/>
  <Override PartName="/xl/drawings/charts/chart17.xml" ContentType="application/vnd.openxmlformats-officedocument.drawingml.char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drawings/drawing15.xml" ContentType="application/vnd.openxmlformats-officedocument.drawing+xml"/>
  <Override PartName="/xl/drawings/charts/chart18.xml" ContentType="application/vnd.openxmlformats-officedocument.drawingml.char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drawings/drawing16.xml" ContentType="application/vnd.openxmlformats-officedocument.drawing+xml"/>
  <Override PartName="/xl/drawings/charts/chart19.xml" ContentType="application/vnd.openxmlformats-officedocument.drawingml.char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drawings/drawing17.xml" ContentType="application/vnd.openxmlformats-officedocument.drawing+xml"/>
  <Override PartName="/xl/drawings/charts/chart20.xml" ContentType="application/vnd.openxmlformats-officedocument.drawingml.char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drawings/drawing18.xml" ContentType="application/vnd.openxmlformats-officedocument.drawing+xml"/>
  <Override PartName="/xl/drawings/charts/chart21.xml" ContentType="application/vnd.openxmlformats-officedocument.drawingml.chart+xml"/>
  <Override PartName="/xl/drawings/charts/chart22.xml" ContentType="application/vnd.openxmlformats-officedocument.drawingml.char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6fd558d6f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_说明" sheetId="1" r:id="Rbd85647960614439"/>
    <x:sheet xmlns:r="http://schemas.openxmlformats.org/officeDocument/2006/relationships" name="01_原子成本假设" sheetId="2" r:id="R1f80cfb8fea0432d"/>
    <x:sheet xmlns:r="http://schemas.openxmlformats.org/officeDocument/2006/relationships" name="02_桥接拆项" sheetId="3" r:id="Raa65a9715e6047da"/>
    <x:sheet xmlns:r="http://schemas.openxmlformats.org/officeDocument/2006/relationships" name="03_模块汇总" sheetId="4" r:id="R4b18ed324fd84617"/>
    <x:sheet xmlns:r="http://schemas.openxmlformats.org/officeDocument/2006/relationships" name="04_售价成本校准" sheetId="5" r:id="R14cc1cc584e843dd"/>
    <x:sheet xmlns:r="http://schemas.openxmlformats.org/officeDocument/2006/relationships" name="05_防重预审" sheetId="6" r:id="Rab81830edad54664"/>
    <x:sheet xmlns:r="http://schemas.openxmlformats.org/officeDocument/2006/relationships" name="06_来源" sheetId="7" r:id="R6b442fd153524cb0"/>
    <x:sheet xmlns:r="http://schemas.openxmlformats.org/officeDocument/2006/relationships" name="07_校验" sheetId="8" r:id="R48007461eb7b4b9c"/>
    <x:sheet xmlns:r="http://schemas.openxmlformats.org/officeDocument/2006/relationships" name="08_防重规则" sheetId="9" r:id="Rc964092fa3874583"/>
    <x:sheet xmlns:r="http://schemas.openxmlformats.org/officeDocument/2006/relationships" name="09_逐桥签核" sheetId="10" r:id="R73a29264e02347dc"/>
    <x:sheet xmlns:r="http://schemas.openxmlformats.org/officeDocument/2006/relationships" name="10_桥接签字表" sheetId="11" r:id="Rac976d8132f1493a"/>
    <x:sheet xmlns:r="http://schemas.openxmlformats.org/officeDocument/2006/relationships" name="11_校验" sheetId="12" r:id="R9c98d13d38fa4634"/>
    <x:sheet xmlns:r="http://schemas.openxmlformats.org/officeDocument/2006/relationships" name="12_价差总览" sheetId="13" r:id="R23c215ead8404702"/>
    <x:sheet xmlns:r="http://schemas.openxmlformats.org/officeDocument/2006/relationships" name="13_SU7瀑布" sheetId="14" r:id="R3a63f24dc19e4f13"/>
    <x:sheet xmlns:r="http://schemas.openxmlformats.org/officeDocument/2006/relationships" name="14_YU7瀑布" sheetId="15" r:id="R7b0fe8a779d5441e"/>
    <x:sheet xmlns:r="http://schemas.openxmlformats.org/officeDocument/2006/relationships" name="15_情景敏感性" sheetId="16" r:id="Re41a476f6a7a4d69"/>
    <x:sheet xmlns:r="http://schemas.openxmlformats.org/officeDocument/2006/relationships" name="16_残余解释" sheetId="17" r:id="R045c380ba0b647cc"/>
    <x:sheet xmlns:r="http://schemas.openxmlformats.org/officeDocument/2006/relationships" name="17_校验" sheetId="18" r:id="R43f344d5b46b42a8"/>
    <x:sheet xmlns:r="http://schemas.openxmlformats.org/officeDocument/2006/relationships" name="18_跨系底表" sheetId="19" r:id="R852badb7f4a748b8"/>
    <x:sheet xmlns:r="http://schemas.openxmlformats.org/officeDocument/2006/relationships" name="19_同硬件匹配" sheetId="20" r:id="Rbcd8f850b7e74bce"/>
    <x:sheet xmlns:r="http://schemas.openxmlformats.org/officeDocument/2006/relationships" name="20_已知差异桥" sheetId="21" r:id="Ra91b1589e0f64b34"/>
    <x:sheet xmlns:r="http://schemas.openxmlformats.org/officeDocument/2006/relationships" name="21_规则提炼" sheetId="22" r:id="R231fa434a8234512"/>
    <x:sheet xmlns:r="http://schemas.openxmlformats.org/officeDocument/2006/relationships" name="22_校验" sheetId="23" r:id="R3c01267aed1a4066"/>
    <x:sheet xmlns:r="http://schemas.openxmlformats.org/officeDocument/2006/relationships" name="23_2.3B口径" sheetId="24" r:id="R2bb62ee121ab43a4"/>
    <x:sheet xmlns:r="http://schemas.openxmlformats.org/officeDocument/2006/relationships" name="24_独立物证" sheetId="25" r:id="Rd110fdc3a3004756"/>
    <x:sheet xmlns:r="http://schemas.openxmlformats.org/officeDocument/2006/relationships" name="25_BOM假设" sheetId="26" r:id="Rd85758c0412b413d"/>
    <x:sheet xmlns:r="http://schemas.openxmlformats.org/officeDocument/2006/relationships" name="26_驱动矩阵" sheetId="27" r:id="R64732090cc644475"/>
    <x:sheet xmlns:r="http://schemas.openxmlformats.org/officeDocument/2006/relationships" name="27_BOM汇总" sheetId="28" r:id="R23a494431a514d74"/>
    <x:sheet xmlns:r="http://schemas.openxmlformats.org/officeDocument/2006/relationships" name="28_四桥残差" sheetId="29" r:id="R596ca40f19394574"/>
    <x:sheet xmlns:r="http://schemas.openxmlformats.org/officeDocument/2006/relationships" name="29_交叉验证" sheetId="30" r:id="Rdf90a89188ee47ed"/>
    <x:sheet xmlns:r="http://schemas.openxmlformats.org/officeDocument/2006/relationships" name="30_校验" sheetId="31" r:id="Rd8eed9442ed449a1"/>
    <x:sheet xmlns:r="http://schemas.openxmlformats.org/officeDocument/2006/relationships" name="31_2.3C口径" sheetId="32" r:id="R5b765d522ad84c84"/>
    <x:sheet xmlns:r="http://schemas.openxmlformats.org/officeDocument/2006/relationships" name="32_五桥传导率" sheetId="33" r:id="R8318d9bdda4b45de"/>
    <x:sheet xmlns:r="http://schemas.openxmlformats.org/officeDocument/2006/relationships" name="33_定位残差" sheetId="34" r:id="R054c3ebc82074a5d"/>
    <x:sheet xmlns:r="http://schemas.openxmlformats.org/officeDocument/2006/relationships" name="34_交叉锚" sheetId="35" r:id="Rad7af17037fa4c4f"/>
    <x:sheet xmlns:r="http://schemas.openxmlformats.org/officeDocument/2006/relationships" name="35_澎程规则" sheetId="36" r:id="Ref8942494daa4562"/>
    <x:sheet xmlns:r="http://schemas.openxmlformats.org/officeDocument/2006/relationships" name="36_校验" sheetId="37" r:id="R3590a4bea9ce43eb"/>
    <x:sheet xmlns:r="http://schemas.openxmlformats.org/officeDocument/2006/relationships" name="37_3.1A口径" sheetId="38" r:id="R867c1da117a84d15"/>
    <x:sheet xmlns:r="http://schemas.openxmlformats.org/officeDocument/2006/relationships" name="38_来源与主张" sheetId="39" r:id="Re82d16674918423d"/>
    <x:sheet xmlns:r="http://schemas.openxmlformats.org/officeDocument/2006/relationships" name="39_工信部车型" sheetId="40" r:id="R2e5c49b76505468c"/>
    <x:sheet xmlns:r="http://schemas.openxmlformats.org/officeDocument/2006/relationships" name="40_准入变体" sheetId="41" r:id="R6daaf74fcf584181"/>
    <x:sheet xmlns:r="http://schemas.openxmlformats.org/officeDocument/2006/relationships" name="41_商业节点" sheetId="42" r:id="R2a173233ad3a4c29"/>
    <x:sheet xmlns:r="http://schemas.openxmlformats.org/officeDocument/2006/relationships" name="42_App销售SKU" sheetId="43" r:id="R4a03f29c5c834413"/>
    <x:sheet xmlns:r="http://schemas.openxmlformats.org/officeDocument/2006/relationships" name="43_映射候选评分" sheetId="44" r:id="R83cb7b224c9346ee"/>
    <x:sheet xmlns:r="http://schemas.openxmlformats.org/officeDocument/2006/relationships" name="44_版本树签核" sheetId="45" r:id="Rfe45ad0680b84ed1"/>
    <x:sheet xmlns:r="http://schemas.openxmlformats.org/officeDocument/2006/relationships" name="45_桥接拓扑" sheetId="46" r:id="Rfee18d744f204c2d"/>
    <x:sheet xmlns:r="http://schemas.openxmlformats.org/officeDocument/2006/relationships" name="46_冲突与防重" sheetId="47" r:id="R070041d532034977"/>
    <x:sheet xmlns:r="http://schemas.openxmlformats.org/officeDocument/2006/relationships" name="47_3.1A校验" sheetId="48" r:id="R9a20fa3cf8ed48bf"/>
    <x:sheet xmlns:r="http://schemas.openxmlformats.org/officeDocument/2006/relationships" name="48_3.1B口径" sheetId="49" r:id="R22f5a2e8138a422b"/>
    <x:sheet xmlns:r="http://schemas.openxmlformats.org/officeDocument/2006/relationships" name="49_3.1B来源" sheetId="50" r:id="Raa218a663719448c"/>
    <x:sheet xmlns:r="http://schemas.openxmlformats.org/officeDocument/2006/relationships" name="50_发布会逐项主张" sheetId="51" r:id="Reb4a3530834e408b"/>
    <x:sheet xmlns:r="http://schemas.openxmlformats.org/officeDocument/2006/relationships" name="51_版本配置事实" sheetId="52" r:id="Rb3e16a12afc841cc"/>
    <x:sheet xmlns:r="http://schemas.openxmlformats.org/officeDocument/2006/relationships" name="52_共通差异矩阵" sheetId="53" r:id="R318922a82c344840"/>
    <x:sheet xmlns:r="http://schemas.openxmlformats.org/officeDocument/2006/relationships" name="53_MIIT配置回勾" sheetId="54" r:id="R57c99188d992498c"/>
    <x:sheet xmlns:r="http://schemas.openxmlformats.org/officeDocument/2006/relationships" name="54_App小订身份" sheetId="55" r:id="Ra7a67e6758064b0a"/>
    <x:sheet xmlns:r="http://schemas.openxmlformats.org/officeDocument/2006/relationships" name="55_3.1B签核" sheetId="56" r:id="R38231555cb01448b"/>
    <x:sheet xmlns:r="http://schemas.openxmlformats.org/officeDocument/2006/relationships" name="56_3.1B校验" sheetId="57" r:id="R5bba18fda2ce4da5"/>
    <x:sheet xmlns:r="http://schemas.openxmlformats.org/officeDocument/2006/relationships" name="57_3.1C口径" sheetId="58" r:id="Reb1d03d51a5f40a1"/>
    <x:sheet xmlns:r="http://schemas.openxmlformats.org/officeDocument/2006/relationships" name="58_事实边界裁定" sheetId="59" r:id="R0b049edc2704402b"/>
    <x:sheet xmlns:r="http://schemas.openxmlformats.org/officeDocument/2006/relationships" name="59_临时BOM根节点" sheetId="60" r:id="R82b8896879dc42cb"/>
    <x:sheet xmlns:r="http://schemas.openxmlformats.org/officeDocument/2006/relationships" name="60_选装另购" sheetId="61" r:id="R7832f9be485248e1"/>
    <x:sheet xmlns:r="http://schemas.openxmlformats.org/officeDocument/2006/relationships" name="61_补证队列" sheetId="62" r:id="Rc2eac176af124c1b"/>
    <x:sheet xmlns:r="http://schemas.openxmlformats.org/officeDocument/2006/relationships" name="62_App售价桥闸门" sheetId="63" r:id="R3665b898ca4f4d91"/>
    <x:sheet xmlns:r="http://schemas.openxmlformats.org/officeDocument/2006/relationships" name="63_3.1C签核" sheetId="64" r:id="R019b985d6a0b46e3"/>
    <x:sheet xmlns:r="http://schemas.openxmlformats.org/officeDocument/2006/relationships" name="64_3.1C校验" sheetId="65" r:id="R80c1e41f31194623"/>
    <x:sheet xmlns:r="http://schemas.openxmlformats.org/officeDocument/2006/relationships" name="65_3.2B口径" sheetId="66" r:id="Rae430a17028f48a4"/>
    <x:sheet xmlns:r="http://schemas.openxmlformats.org/officeDocument/2006/relationships" name="66_共同底座" sheetId="67" r:id="Re3f9db9d6a9c46c0"/>
    <x:sheet xmlns:r="http://schemas.openxmlformats.org/officeDocument/2006/relationships" name="67_成本参数" sheetId="68" r:id="Ra0fa9699655b4bb6"/>
    <x:sheet xmlns:r="http://schemas.openxmlformats.org/officeDocument/2006/relationships" name="68_增量BOM" sheetId="69" r:id="Rab5bc7c123b14a09"/>
    <x:sheet xmlns:r="http://schemas.openxmlformats.org/officeDocument/2006/relationships" name="69_情景汇总" sheetId="70" r:id="R2c9f7c3214184dca"/>
    <x:sheet xmlns:r="http://schemas.openxmlformats.org/officeDocument/2006/relationships" name="70_预售价差拆解" sheetId="71" r:id="Rf222604f4244462c"/>
    <x:sheet xmlns:r="http://schemas.openxmlformats.org/officeDocument/2006/relationships" name="71_九情景敏感性" sheetId="72" r:id="R4c71e2f295c84d79"/>
    <x:sheet xmlns:r="http://schemas.openxmlformats.org/officeDocument/2006/relationships" name="72_3.2B签核" sheetId="73" r:id="R8fdaa980ee7a4dfd"/>
    <x:sheet xmlns:r="http://schemas.openxmlformats.org/officeDocument/2006/relationships" name="73_3.2B校验" sheetId="74" r:id="Rba00300965d947be"/>
    <x:sheet xmlns:r="http://schemas.openxmlformats.org/officeDocument/2006/relationships" name="74_3.2C口径" sheetId="75" r:id="R4745744ac8d34445"/>
    <x:sheet xmlns:r="http://schemas.openxmlformats.org/officeDocument/2006/relationships" name="75_升顶证据" sheetId="76" r:id="R3ad9c05ccd204603"/>
    <x:sheet xmlns:r="http://schemas.openxmlformats.org/officeDocument/2006/relationships" name="76_特殊成本参数" sheetId="77" r:id="Rccebdef5c97640ce"/>
    <x:sheet xmlns:r="http://schemas.openxmlformats.org/officeDocument/2006/relationships" name="77_升顶增量BOM" sheetId="78" r:id="R2ed7e04e94ca48d2"/>
    <x:sheet xmlns:r="http://schemas.openxmlformats.org/officeDocument/2006/relationships" name="78_固定成本摊销" sheetId="79" r:id="Rabf27f3040654584"/>
    <x:sheet xmlns:r="http://schemas.openxmlformats.org/officeDocument/2006/relationships" name="79_工程情景汇总" sheetId="80" r:id="R29698eeacee846f1"/>
    <x:sheet xmlns:r="http://schemas.openxmlformats.org/officeDocument/2006/relationships" name="80_商业价格口径" sheetId="81" r:id="Rde78922da6dd4702"/>
    <x:sheet xmlns:r="http://schemas.openxmlformats.org/officeDocument/2006/relationships" name="81_量产敏感性" sheetId="82" r:id="Rfcde4bde0a9f4fcc"/>
    <x:sheet xmlns:r="http://schemas.openxmlformats.org/officeDocument/2006/relationships" name="82_3.2C签核" sheetId="83" r:id="R5162e4970c0b4fd3"/>
    <x:sheet xmlns:r="http://schemas.openxmlformats.org/officeDocument/2006/relationships" name="83_3.2C校验" sheetId="84" r:id="Red7aa59659eb42f5"/>
    <x:sheet xmlns:r="http://schemas.openxmlformats.org/officeDocument/2006/relationships" name="84_最终综合口径" sheetId="85" r:id="Ra64e1135fd934307"/>
    <x:sheet xmlns:r="http://schemas.openxmlformats.org/officeDocument/2006/relationships" name="85_N70条件成本桥" sheetId="86" r:id="R4a1faf94225a453d"/>
    <x:sheet xmlns:r="http://schemas.openxmlformats.org/officeDocument/2006/relationships" name="86_预售转正式价" sheetId="87" r:id="Raa451836083b4642"/>
    <x:sheet xmlns:r="http://schemas.openxmlformats.org/officeDocument/2006/relationships" name="87_商业定价合成" sheetId="88" r:id="R81673860ba774234"/>
    <x:sheet xmlns:r="http://schemas.openxmlformats.org/officeDocument/2006/relationships" name="88_最终售价配置表" sheetId="89" r:id="R80656f07eaf64a1f"/>
    <x:sheet xmlns:r="http://schemas.openxmlformats.org/officeDocument/2006/relationships" name="89_配置预测矩阵" sheetId="90" r:id="R075b8df046504fed"/>
    <x:sheet xmlns:r="http://schemas.openxmlformats.org/officeDocument/2006/relationships" name="90_选装附件边界" sheetId="91" r:id="R4eb342db8b68492d"/>
    <x:sheet xmlns:r="http://schemas.openxmlformats.org/officeDocument/2006/relationships" name="91_情景敏感性" sheetId="92" r:id="R3d8164e2b6a44a3b"/>
    <x:sheet xmlns:r="http://schemas.openxmlformats.org/officeDocument/2006/relationships" name="92_反证触发器" sheetId="93" r:id="R3c9759d88f6f4b43"/>
    <x:sheet xmlns:r="http://schemas.openxmlformats.org/officeDocument/2006/relationships" name="93_最终签核" sheetId="94" r:id="Ra0908db99d534913"/>
    <x:sheet xmlns:r="http://schemas.openxmlformats.org/officeDocument/2006/relationships" name="94_最终校验" sheetId="95" r:id="R3432915df253405e"/>
    <x:sheet xmlns:r="http://schemas.openxmlformats.org/officeDocument/2006/relationships" name="95_3.3A口径" sheetId="96" r:id="R864bc98d5c044c96"/>
    <x:sheet xmlns:r="http://schemas.openxmlformats.org/officeDocument/2006/relationships" name="96_官方案例库" sheetId="97" r:id="R7a66c50058fe4add"/>
    <x:sheet xmlns:r="http://schemas.openxmlformats.org/officeDocument/2006/relationships" name="97_竞品价格压力" sheetId="98" r:id="R697cfd3bf10e4b0a"/>
    <x:sheet xmlns:r="http://schemas.openxmlformats.org/officeDocument/2006/relationships" name="98_正式价边际分布" sheetId="99" r:id="R1ec64851c95a4645"/>
    <x:sheet xmlns:r="http://schemas.openxmlformats.org/officeDocument/2006/relationships" name="99_联合情景与四版本" sheetId="100" r:id="R034c9bc1464e40fa"/>
    <x:sheet xmlns:r="http://schemas.openxmlformats.org/officeDocument/2006/relationships" name="100_3.3A签核" sheetId="101" r:id="R0c459d927d524ffc"/>
    <x:sheet xmlns:r="http://schemas.openxmlformats.org/officeDocument/2006/relationships" name="101_3.3A校验" sheetId="102" r:id="R6c80912a3f8f4660"/>
    <x:sheet xmlns:r="http://schemas.openxmlformats.org/officeDocument/2006/relationships" name="102_3.3B口径" sheetId="103" r:id="Rbc6a09185f514c9d"/>
    <x:sheet xmlns:r="http://schemas.openxmlformats.org/officeDocument/2006/relationships" name="103_N90版本树" sheetId="104" r:id="R6e6cfcd515f04da2"/>
    <x:sheet xmlns:r="http://schemas.openxmlformats.org/officeDocument/2006/relationships" name="104_N90标准版配置差" sheetId="105" r:id="Rca76329ce1eb4d3b"/>
    <x:sheet xmlns:r="http://schemas.openxmlformats.org/officeDocument/2006/relationships" name="105_N90标准版成本差" sheetId="106" r:id="Ra5980fb1571c4813"/>
    <x:sheet xmlns:r="http://schemas.openxmlformats.org/officeDocument/2006/relationships" name="106_N90联合定价" sheetId="107" r:id="Rf0fe0e7b834a4eed"/>
    <x:sheet xmlns:r="http://schemas.openxmlformats.org/officeDocument/2006/relationships" name="107_N90价格边际" sheetId="108" r:id="R008f5d4799ee4ef0"/>
    <x:sheet xmlns:r="http://schemas.openxmlformats.org/officeDocument/2006/relationships" name="108_全系修正结论" sheetId="109" r:id="R52c1b59308d242d8"/>
    <x:sheet xmlns:r="http://schemas.openxmlformats.org/officeDocument/2006/relationships" name="109_3.3B签核" sheetId="110" r:id="Rd481396d88ec43be"/>
    <x:sheet xmlns:r="http://schemas.openxmlformats.org/officeDocument/2006/relationships" name="110_3.3B校验" sheetId="111" r:id="Ra13050c824e1444c"/>
    <x:sheet xmlns:r="http://schemas.openxmlformats.org/officeDocument/2006/relationships" name="111_3.3C口径" sheetId="112" r:id="Reb0dc80714724cde"/>
    <x:sheet xmlns:r="http://schemas.openxmlformats.org/officeDocument/2006/relationships" name="112_供应商证据" sheetId="113" r:id="Rc58b862c63ea43ae"/>
    <x:sheet xmlns:r="http://schemas.openxmlformats.org/officeDocument/2006/relationships" name="113_模块成本锚" sheetId="114" r:id="R8d2626bc820f4bf3"/>
    <x:sheet xmlns:r="http://schemas.openxmlformats.org/officeDocument/2006/relationships" name="114_降本系数" sheetId="115" r:id="R3bd6c44523e84e97"/>
    <x:sheet xmlns:r="http://schemas.openxmlformats.org/officeDocument/2006/relationships" name="115_防重复计数" sheetId="116" r:id="R19d97f40cfd84dfc"/>
    <x:sheet xmlns:r="http://schemas.openxmlformats.org/officeDocument/2006/relationships" name="116_车型成本修正" sheetId="117" r:id="R50fe875524804c94"/>
    <x:sheet xmlns:r="http://schemas.openxmlformats.org/officeDocument/2006/relationships" name="117_价格概率传导" sheetId="118" r:id="R4467a4038f734fa6"/>
    <x:sheet xmlns:r="http://schemas.openxmlformats.org/officeDocument/2006/relationships" name="118_3.3C签核" sheetId="119" r:id="R30f3223f40bf4bcf"/>
    <x:sheet xmlns:r="http://schemas.openxmlformats.org/officeDocument/2006/relationships" name="119_3.3C校验" sheetId="120" r:id="R120921cbca424d66"/>
    <x:sheet xmlns:r="http://schemas.openxmlformats.org/officeDocument/2006/relationships" name="120_3.3D口径" sheetId="121" r:id="R536bbc7a1d954607"/>
    <x:sheet xmlns:r="http://schemas.openxmlformats.org/officeDocument/2006/relationships" name="121_监管商业门槛" sheetId="122" r:id="R97451b1fd0a849b6"/>
    <x:sheet xmlns:r="http://schemas.openxmlformats.org/officeDocument/2006/relationships" name="122_版本形态敏感" sheetId="123" r:id="Rea1dc20cf11140f7"/>
    <x:sheet xmlns:r="http://schemas.openxmlformats.org/officeDocument/2006/relationships" name="123_小米梯度门槛" sheetId="124" r:id="Rc3fc6c1d0b4e44b7"/>
    <x:sheet xmlns:r="http://schemas.openxmlformats.org/officeDocument/2006/relationships" name="124_N70N90价格围栏" sheetId="125" r:id="Ra4e77a2b18d342b7"/>
    <x:sheet xmlns:r="http://schemas.openxmlformats.org/officeDocument/2006/relationships" name="125_阵容价格耦合" sheetId="126" r:id="Rc3cd5cd818504cee"/>
    <x:sheet xmlns:r="http://schemas.openxmlformats.org/officeDocument/2006/relationships" name="126_3.3D修正结论" sheetId="127" r:id="R8909cf653eea4e50"/>
    <x:sheet xmlns:r="http://schemas.openxmlformats.org/officeDocument/2006/relationships" name="127_3.3D签核" sheetId="128" r:id="R067c9c3ec2064653"/>
    <x:sheet xmlns:r="http://schemas.openxmlformats.org/officeDocument/2006/relationships" name="128_3.3D校验" sheetId="129" r:id="R45ac2d725c9f4c8a"/>
    <x:sheet xmlns:r="http://schemas.openxmlformats.org/officeDocument/2006/relationships" name="129_3.4B口径" sheetId="130" r:id="Rfd8e5663bd774f38"/>
    <x:sheet xmlns:r="http://schemas.openxmlformats.org/officeDocument/2006/relationships" name="130_联合算法" sheetId="131" r:id="R0cc0559c68f548d9"/>
    <x:sheet xmlns:r="http://schemas.openxmlformats.org/officeDocument/2006/relationships" name="131_N70最终分布" sheetId="132" r:id="R8fe661b4bddb48c8"/>
    <x:sheet xmlns:r="http://schemas.openxmlformats.org/officeDocument/2006/relationships" name="132_N90联合叶节点" sheetId="133" r:id="R3e608c0b16834cf3"/>
    <x:sheet xmlns:r="http://schemas.openxmlformats.org/officeDocument/2006/relationships" name="133_N90价格边际" sheetId="134" r:id="Ra2de69f466f54818"/>
    <x:sheet xmlns:r="http://schemas.openxmlformats.org/officeDocument/2006/relationships" name="134_全系结论" sheetId="135" r:id="Rc4a8d2601c4f40ee"/>
    <x:sheet xmlns:r="http://schemas.openxmlformats.org/officeDocument/2006/relationships" name="135_主要配置差" sheetId="136" r:id="R4dbe9cf17d3f4cee"/>
    <x:sheet xmlns:r="http://schemas.openxmlformats.org/officeDocument/2006/relationships" name="136_软围栏诊断" sheetId="137" r:id="Rdc5d4687751a4c6a"/>
    <x:sheet xmlns:r="http://schemas.openxmlformats.org/officeDocument/2006/relationships" name="136A_秩耦合主模型" sheetId="138" r:id="Raa0782a5b32c4145"/>
    <x:sheet xmlns:r="http://schemas.openxmlformats.org/officeDocument/2006/relationships" name="137_低价尾敏感" sheetId="139" r:id="R97695e4a8780475e"/>
    <x:sheet xmlns:r="http://schemas.openxmlformats.org/officeDocument/2006/relationships" name="138_升顶独立情景" sheetId="140" r:id="R21aad156dd364be8"/>
    <x:sheet xmlns:r="http://schemas.openxmlformats.org/officeDocument/2006/relationships" name="139_证据边界" sheetId="141" r:id="R9d1a30000a0442c5"/>
    <x:sheet xmlns:r="http://schemas.openxmlformats.org/officeDocument/2006/relationships" name="140_最终签核" sheetId="142" r:id="R337445a066eb4df6"/>
    <x:sheet xmlns:r="http://schemas.openxmlformats.org/officeDocument/2006/relationships" name="141_最终校验" sheetId="143" r:id="Rd36e69ae93d7476e"/>
    <x:sheet xmlns:r="http://schemas.openxmlformats.org/officeDocument/2006/relationships" name="142_最终反证审计" sheetId="144" r:id="Rd7a86f2b66bd4fe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1">
    <x:numFmt numFmtId="200" formatCode="¥#,##0.00;[Red](¥#,##0.00);-"/>
    <x:numFmt numFmtId="201" formatCode="0.0%"/>
    <x:numFmt numFmtId="202" formatCode="#,##0.00;[Red](#,##0.00);-"/>
    <x:numFmt numFmtId="203" formatCode="¥#,##0;[Red](¥#,##0);-"/>
    <x:numFmt numFmtId="204" formatCode="#,##0"/>
    <x:numFmt numFmtId="205" formatCode="0.00%;[Red](0.00%);-"/>
    <x:numFmt numFmtId="206" formatCode="0"/>
    <x:numFmt numFmtId="207" formatCode="0.00x"/>
    <x:numFmt numFmtId="208" formatCode="#,##0.0;[Red](#,##0.0);-"/>
    <x:numFmt numFmtId="209" formatCode="0;[Red](0);-"/>
    <x:numFmt numFmtId="210" formatCode="0.00x;[Red](0.00x);-"/>
    <x:numFmt numFmtId="211" formatCode="#,##0;[Red](#,##0);-"/>
    <x:numFmt numFmtId="212" formatCode="0.0000x;[Red](0.0000x);-"/>
    <x:numFmt numFmtId="213" formatCode="0.000x"/>
    <x:numFmt numFmtId="214" formatCode="0.0%;[Red](0.0%);-"/>
    <x:numFmt numFmtId="215" formatCode="¥#,##0"/>
    <x:numFmt numFmtId="216" formatCode="#,##0.000"/>
    <x:numFmt numFmtId="217" formatCode="¥#,##0.00"/>
    <x:numFmt numFmtId="218" formatCode="#,##0.0"/>
    <x:numFmt numFmtId="219" formatCode="0.0"/>
    <x:numFmt numFmtId="220" formatCode="0.00&quot;万&quot;"/>
  </x:numFmts>
  <x:fonts count="28">
    <x:font>
      <x:sz val="11"/>
      <x:name val="Carlito"/>
    </x:font>
    <x:font>
      <x:b/>
      <x:sz val="16"/>
      <x:color rgb="FFFFFFFF"/>
      <x:name val="Carlito"/>
    </x:font>
    <x:font>
      <x:b/>
      <x:sz val="10"/>
      <x:color rgb="FFFFFFFF"/>
      <x:name val="Carlito"/>
    </x:font>
    <x:font>
      <x:sz val="9"/>
      <x:color rgb="FF1F2937"/>
      <x:name val="Carlito"/>
    </x:font>
    <x:font>
      <x:b/>
      <x:sz val="9"/>
      <x:color rgb="FFFFFFFF"/>
      <x:name val="Carlito"/>
    </x:font>
    <x:font>
      <x:b/>
      <x:sz val="10"/>
      <x:color rgb="FFB45309"/>
      <x:name val="Carlito"/>
    </x:font>
    <x:font>
      <x:b/>
      <x:sz val="9"/>
      <x:color rgb="FF0000FF"/>
      <x:name val="Carlito"/>
    </x:font>
    <x:font>
      <x:sz val="9"/>
      <x:color rgb="FF15803D"/>
      <x:name val="Carlito"/>
    </x:font>
    <x:font>
      <x:sz val="9"/>
      <x:color rgb="FF008000"/>
      <x:name val="Carlito"/>
    </x:font>
    <x:font>
      <x:b/>
      <x:sz val="9"/>
      <x:color rgb="FF2563EB"/>
      <x:name val="Carlito"/>
    </x:font>
    <x:font>
      <x:b/>
      <x:sz val="9"/>
      <x:color rgb="FF1F2937"/>
      <x:name val="Carlito"/>
    </x:font>
    <x:font>
      <x:b/>
      <x:sz val="11"/>
      <x:color rgb="FFFFFFFF"/>
      <x:name val="Carlito"/>
    </x:font>
    <x:font>
      <x:b/>
      <x:sz val="9"/>
      <x:color rgb="FF243447"/>
      <x:name val="Carlito"/>
    </x:font>
    <x:font>
      <x:b/>
      <x:sz val="9"/>
      <x:color rgb="FFB45309"/>
      <x:name val="Carlito"/>
    </x:font>
    <x:font>
      <x:b/>
      <x:sz val="9"/>
      <x:color rgb="FF0F766E"/>
      <x:name val="Carlito"/>
    </x:font>
    <x:font>
      <x:b/>
      <x:sz val="9"/>
      <x:color rgb="FF15803D"/>
      <x:name val="Carlito"/>
    </x:font>
    <x:font>
      <x:b/>
      <x:sz val="10"/>
      <x:color rgb="FFFF6900"/>
      <x:name val="Carlito"/>
    </x:font>
    <x:font>
      <x:b/>
      <x:sz val="9"/>
      <x:color rgb="FFB91C1C"/>
      <x:name val="Carlito"/>
    </x:font>
    <x:font>
      <x:b/>
      <x:sz val="9"/>
      <x:color rgb="FFFF6900"/>
      <x:name val="Carlito"/>
    </x:font>
    <x:font>
      <x:sz val="8"/>
      <x:color rgb="FF2563EB"/>
      <x:name val="Carlito"/>
    </x:font>
    <x:font>
      <x:b/>
      <x:sz val="10"/>
      <x:color rgb="FFB91C1C"/>
      <x:name val="Carlito"/>
    </x:font>
    <x:font>
      <x:b/>
      <x:sz val="12"/>
      <x:color rgb="FF0F766E"/>
      <x:name val="Carlito"/>
    </x:font>
    <x:font>
      <x:b/>
      <x:sz val="11"/>
      <x:color rgb="FFB45309"/>
      <x:name val="Carlito"/>
    </x:font>
    <x:font>
      <x:sz val="9"/>
      <x:color rgb="FF0000FF"/>
      <x:name val="Carlito"/>
    </x:font>
    <x:font>
      <x:b/>
      <x:sz val="11"/>
      <x:color rgb="FF0F766E"/>
      <x:name val="Carlito"/>
    </x:font>
    <x:font>
      <x:sz val="9"/>
      <x:color rgb="FF2563EB"/>
      <x:name val="Carlito"/>
    </x:font>
    <x:font>
      <x:sz val="10"/>
      <x:color rgb="FF1F2937"/>
      <x:name val="Carlito"/>
    </x:font>
    <x:font>
      <x:b/>
      <x:sz val="13"/>
      <x:color rgb="FFFFFFFF"/>
      <x:name val="Carlito"/>
    </x:font>
  </x:fonts>
  <x:fills count="112">
    <x:fill>
      <x:patternFill patternType="none"/>
    </x:fill>
    <x:fill>
      <x:patternFill patternType="gray125"/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FFF6D8"/>
      </x:patternFill>
    </x:fill>
    <x:fill>
      <x:patternFill patternType="solid">
        <x:fgColor rgb="FFEAF2FF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EAF2FF"/>
      </x:patternFill>
    </x:fill>
    <x:fill>
      <x:patternFill patternType="solid">
        <x:fgColor rgb="FFFFF6D8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FF6D8"/>
      </x:patternFill>
    </x:fill>
    <x:fill>
      <x:patternFill patternType="solid">
        <x:fgColor rgb="FFF3F5F7"/>
      </x:patternFill>
    </x:fill>
    <x:fill>
      <x:patternFill patternType="solid">
        <x:fgColor rgb="FFEAF2FF"/>
      </x:patternFill>
    </x:fill>
    <x:fill>
      <x:patternFill patternType="solid">
        <x:fgColor rgb="FF334E68"/>
      </x:patternFill>
    </x:fill>
    <x:fill>
      <x:patternFill patternType="solid">
        <x:fgColor rgb="FFE6F7F5"/>
      </x:patternFill>
    </x:fill>
    <x:fill>
      <x:patternFill patternType="solid">
        <x:fgColor rgb="FFEAF7EE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E6F7F5"/>
      </x:patternFill>
    </x:fill>
    <x:fill>
      <x:patternFill patternType="solid">
        <x:fgColor rgb="FFEAF2FF"/>
      </x:patternFill>
    </x:fill>
    <x:fill>
      <x:patternFill patternType="solid">
        <x:fgColor rgb="FFFFF6D8"/>
      </x:patternFill>
    </x:fill>
    <x:fill>
      <x:patternFill patternType="solid">
        <x:fgColor rgb="FF334E68"/>
      </x:patternFill>
    </x:fill>
    <x:fill>
      <x:patternFill patternType="solid">
        <x:fgColor rgb="FFFFFFFF"/>
      </x:patternFill>
    </x:fill>
    <x:fill>
      <x:patternFill patternType="solid">
        <x:fgColor rgb="FFFDECEC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EAF2FF"/>
      </x:patternFill>
    </x:fill>
    <x:fill>
      <x:patternFill patternType="solid">
        <x:fgColor rgb="FF334E68"/>
      </x:patternFill>
    </x:fill>
    <x:fill>
      <x:patternFill patternType="solid">
        <x:fgColor rgb="FFE6F7F5"/>
      </x:patternFill>
    </x:fill>
    <x:fill>
      <x:patternFill patternType="solid">
        <x:fgColor rgb="FFFFF6D8"/>
      </x:patternFill>
    </x:fill>
    <x:fill>
      <x:patternFill patternType="solid">
        <x:fgColor rgb="FFFDECEC"/>
      </x:patternFill>
    </x:fill>
    <x:fill>
      <x:patternFill patternType="solid">
        <x:fgColor rgb="FFEAF7EE"/>
      </x:patternFill>
    </x:fill>
    <x:fill>
      <x:patternFill patternType="solid">
        <x:fgColor rgb="FFFFFFFF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E6F7F5"/>
      </x:patternFill>
    </x:fill>
    <x:fill>
      <x:patternFill patternType="solid">
        <x:fgColor rgb="FFFFF6D8"/>
      </x:patternFill>
    </x:fill>
    <x:fill>
      <x:patternFill patternType="solid">
        <x:fgColor rgb="FFEAF2FF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EAF2FF"/>
      </x:patternFill>
    </x:fill>
    <x:fill>
      <x:patternFill patternType="solid">
        <x:fgColor rgb="FFE6F7F5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EAF2FF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EAF2FF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  <x:fill>
      <x:patternFill patternType="solid">
        <x:fgColor rgb="FFB91C1C"/>
      </x:patternFill>
    </x:fill>
    <x:fill>
      <x:patternFill patternType="solid">
        <x:fgColor rgb="FFFF6900"/>
      </x:patternFill>
    </x:fill>
    <x:fill>
      <x:patternFill patternType="solid">
        <x:fgColor rgb="FF243447"/>
      </x:patternFill>
    </x:fill>
    <x:fill>
      <x:patternFill patternType="solid">
        <x:fgColor rgb="FFFFF1E8"/>
      </x:patternFill>
    </x:fill>
    <x:fill>
      <x:patternFill patternType="solid">
        <x:fgColor rgb="FFF3F5F7"/>
      </x:patternFill>
    </x:fill>
    <x:fill>
      <x:patternFill patternType="solid">
        <x:fgColor rgb="FF334E68"/>
      </x:patternFill>
    </x:fill>
  </x:fills>
  <x:borders count="2">
    <x:border/>
    <x:border>
      <x:left style="thin">
        <x:color rgb="FFD8DEE6"/>
      </x:left>
      <x:right style="thin">
        <x:color rgb="FFD8DEE6"/>
      </x:right>
      <x:top style="thin">
        <x:color rgb="FFD8DEE6"/>
      </x:top>
      <x:bottom style="thin">
        <x:color rgb="FFD8DEE6"/>
      </x:bottom>
    </x:border>
  </x:borders>
  <x:cellStyleXfs count="1">
    <x:xf numFmtId="0" fontId="0" fillId="0" borderId="0"/>
  </x:cellStyleXfs>
  <x:cellXfs count="65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/>
    <x:xf numFmtId="0" fontId="4" fillId="3" borderId="1" xfId="0" applyNumberFormat="1" applyFont="1" applyFill="1" applyBorder="1"/>
    <x:xf numFmtId="0" fontId="4" fillId="3" borderId="1" xfId="0" applyNumberFormat="1" applyFont="1" applyFill="1" applyBorder="1" applyAlignment="1">
      <x:alignment wrapText="1"/>
    </x:xf>
    <x:xf numFmtId="0" fontId="4" fillId="3" borderId="1" xfId="0" applyNumberFormat="1" applyFont="1" applyFill="1" applyBorder="1" applyAlignment="1">
      <x:alignment horizontal="center" wrapText="1"/>
    </x:xf>
    <x:xf numFmtId="0" fontId="4" fillId="3" borderId="1" xfId="0" applyNumberFormat="1" applyFont="1" applyFill="1" applyBorder="1" applyAlignment="1">
      <x:alignment horizontal="center" vertical="center" wrapText="1"/>
    </x:xf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vertical="center" wrapText="1"/>
    </x:xf>
    <x:xf numFmtId="0" fontId="3" fillId="5" borderId="1" xfId="0" applyNumberFormat="1" applyFont="1" applyFill="1" applyBorder="1" applyAlignment="1">
      <x:alignment vertical="center" wrapText="1"/>
    </x:xf>
    <x:xf numFmtId="200" fontId="3" fillId="0" borderId="1" xfId="0" applyNumberFormat="1" applyFont="1" applyFill="1" applyBorder="1" applyAlignment="1">
      <x:alignment vertical="center" wrapText="1"/>
    </x:xf>
    <x:xf numFmtId="200" fontId="3" fillId="5" borderId="1" xfId="0" applyNumberFormat="1" applyFont="1" applyFill="1" applyBorder="1" applyAlignment="1">
      <x:alignment vertical="center" wrapText="1"/>
    </x:xf>
    <x:xf numFmtId="201" fontId="3" fillId="0" borderId="1" xfId="0" applyNumberFormat="1" applyFont="1" applyFill="1" applyBorder="1" applyAlignment="1">
      <x:alignment vertical="center" wrapText="1"/>
    </x:xf>
    <x:xf numFmtId="201" fontId="3" fillId="5" borderId="1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wrapText="1"/>
    </x:xf>
    <x:xf numFmtId="0" fontId="5" fillId="6" borderId="0" xfId="0" applyNumberFormat="1" applyFont="1" applyFill="1" applyBorder="1" applyAlignment="1">
      <x:alignment vertical="center" wrapText="1"/>
    </x:xf>
    <x:xf numFmtId="0" fontId="3" fillId="7" borderId="1" xfId="0" applyNumberFormat="1" applyFont="1" applyFill="1" applyBorder="1" applyAlignment="1">
      <x:alignment vertical="center" wrapText="1"/>
    </x:xf>
    <x:xf numFmtId="0" fontId="6" fillId="7" borderId="1" xfId="0" applyNumberFormat="1" applyFont="1" applyFill="1" applyBorder="1" applyAlignment="1">
      <x:alignment vertical="center" wrapText="1"/>
    </x:xf>
    <x:xf numFmtId="202" fontId="6" fillId="7" borderId="1" xfId="0" applyNumberFormat="1" applyFont="1" applyFill="1" applyBorder="1" applyAlignment="1">
      <x:alignment vertical="center" wrapText="1"/>
    </x:xf>
    <x:xf numFmtId="201" fontId="6" fillId="7" borderId="1" xfId="0" applyNumberFormat="1" applyFont="1" applyFill="1" applyBorder="1" applyAlignment="1">
      <x:alignment vertical="center" wrapText="1"/>
    </x:xf>
    <x:xf numFmtId="203" fontId="3" fillId="0" borderId="1" xfId="0" applyNumberFormat="1" applyFont="1" applyFill="1" applyBorder="1" applyAlignment="1">
      <x:alignment vertical="center" wrapText="1"/>
    </x:xf>
    <x:xf numFmtId="203" fontId="3" fillId="5" borderId="1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1" fillId="8" borderId="0" xfId="0" applyNumberFormat="1" applyFont="1" applyFill="1" applyBorder="1"/>
    <x:xf numFmtId="0" fontId="1" fillId="8" borderId="0" xfId="0" applyNumberFormat="1" applyFont="1" applyFill="1" applyBorder="1" applyAlignment="1">
      <x:alignment vertical="center"/>
    </x:xf>
    <x:xf numFmtId="0" fontId="0" fillId="9" borderId="0" xfId="0" applyNumberFormat="1" applyFont="1" applyFill="1" applyBorder="1"/>
    <x:xf numFmtId="0" fontId="2" fillId="9" borderId="0" xfId="0" applyNumberFormat="1" applyFont="1" applyFill="1" applyBorder="1"/>
    <x:xf numFmtId="0" fontId="2" fillId="9" borderId="0" xfId="0" applyNumberFormat="1" applyFont="1" applyFill="1" applyBorder="1" applyAlignment="1">
      <x:alignment vertical="center"/>
    </x:xf>
    <x:xf numFmtId="0" fontId="0" fillId="10" borderId="0" xfId="0" applyNumberFormat="1" applyFont="1" applyFill="1" applyBorder="1"/>
    <x:xf numFmtId="0" fontId="3" fillId="10" borderId="0" xfId="0" applyNumberFormat="1" applyFont="1" applyFill="1" applyBorder="1"/>
    <x:xf numFmtId="0" fontId="3" fillId="10" borderId="0" xfId="0" applyNumberFormat="1" applyFont="1" applyFill="1" applyBorder="1" applyAlignment="1">
      <x:alignment wrapText="1"/>
    </x:xf>
    <x:xf numFmtId="0" fontId="3" fillId="10" borderId="0" xfId="0" applyNumberFormat="1" applyFont="1" applyFill="1" applyBorder="1" applyAlignment="1">
      <x:alignment vertical="center" wrapText="1"/>
    </x:xf>
    <x:xf numFmtId="0" fontId="4" fillId="9" borderId="0" xfId="0" applyNumberFormat="1" applyFont="1" applyFill="1" applyBorder="1"/>
    <x:xf numFmtId="0" fontId="4" fillId="9" borderId="1" xfId="0" applyNumberFormat="1" applyFont="1" applyFill="1" applyBorder="1"/>
    <x:xf numFmtId="0" fontId="4" fillId="9" borderId="1" xfId="0" applyNumberFormat="1" applyFont="1" applyFill="1" applyBorder="1" applyAlignment="1">
      <x:alignment wrapText="1"/>
    </x:xf>
    <x:xf numFmtId="0" fontId="4" fillId="9" borderId="1" xfId="0" applyNumberFormat="1" applyFont="1" applyFill="1" applyBorder="1" applyAlignment="1">
      <x:alignment horizontal="center" wrapText="1"/>
    </x:xf>
    <x:xf numFmtId="0" fontId="4" fillId="9" borderId="1" xfId="0" applyNumberFormat="1" applyFont="1" applyFill="1" applyBorder="1" applyAlignment="1">
      <x:alignment horizontal="center" vertical="center" wrapText="1"/>
    </x:xf>
    <x:xf numFmtId="0" fontId="3" fillId="11" borderId="1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 applyAlignment="1">
      <x:alignment vertical="center" wrapText="1"/>
    </x:xf>
    <x:xf numFmtId="0" fontId="7" fillId="11" borderId="1" xfId="0" applyNumberFormat="1" applyFont="1" applyFill="1" applyBorder="1" applyAlignment="1">
      <x:alignment vertical="center" wrapText="1"/>
    </x:xf>
    <x:xf numFmtId="204" fontId="7" fillId="0" borderId="1" xfId="0" applyNumberFormat="1" applyFont="1" applyFill="1" applyBorder="1" applyAlignment="1">
      <x:alignment vertical="center" wrapText="1"/>
    </x:xf>
    <x:xf numFmtId="204" fontId="7" fillId="11" borderId="1" xfId="0" applyNumberFormat="1" applyFont="1" applyFill="1" applyBorder="1" applyAlignment="1">
      <x:alignment vertical="center" wrapText="1"/>
    </x:xf>
    <x:xf numFmtId="0" fontId="3" fillId="12" borderId="1" xfId="0" applyNumberFormat="1" applyFont="1" applyFill="1" applyBorder="1" applyAlignment="1">
      <x:alignment vertical="center" wrapText="1"/>
    </x:xf>
    <x:xf numFmtId="0" fontId="6" fillId="12" borderId="1" xfId="0" applyNumberFormat="1" applyFont="1" applyFill="1" applyBorder="1" applyAlignment="1">
      <x:alignment vertical="center" wrapText="1"/>
    </x:xf>
    <x:xf numFmtId="202" fontId="6" fillId="12" borderId="1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0" fontId="8" fillId="11" borderId="1" xfId="0" applyNumberFormat="1" applyFont="1" applyFill="1" applyBorder="1" applyAlignment="1">
      <x:alignment vertical="center" wrapText="1"/>
    </x:xf>
    <x:xf numFmtId="202" fontId="8" fillId="0" borderId="1" xfId="0" applyNumberFormat="1" applyFont="1" applyFill="1" applyBorder="1" applyAlignment="1">
      <x:alignment vertical="center" wrapText="1"/>
    </x:xf>
    <x:xf numFmtId="202" fontId="8" fillId="11" borderId="1" xfId="0" applyNumberFormat="1" applyFont="1" applyFill="1" applyBorder="1" applyAlignment="1">
      <x:alignment vertical="center" wrapText="1"/>
    </x:xf>
    <x:xf numFmtId="202" fontId="3" fillId="0" borderId="1" xfId="0" applyNumberFormat="1" applyFont="1" applyFill="1" applyBorder="1" applyAlignment="1">
      <x:alignment vertical="center" wrapText="1"/>
    </x:xf>
    <x:xf numFmtId="202" fontId="3" fillId="11" borderId="1" xfId="0" applyNumberFormat="1" applyFont="1" applyFill="1" applyBorder="1" applyAlignment="1">
      <x:alignment vertical="center" wrapText="1"/>
    </x:xf>
    <x:xf numFmtId="204" fontId="6" fillId="12" borderId="1" xfId="0" applyNumberFormat="1" applyFont="1" applyFill="1" applyBorder="1" applyAlignment="1">
      <x:alignment vertical="center" wrapText="1"/>
    </x:xf>
    <x:xf numFmtId="200" fontId="8" fillId="0" borderId="1" xfId="0" applyNumberFormat="1" applyFont="1" applyFill="1" applyBorder="1" applyAlignment="1">
      <x:alignment vertical="center" wrapText="1"/>
    </x:xf>
    <x:xf numFmtId="200" fontId="8" fillId="11" borderId="1" xfId="0" applyNumberFormat="1" applyFont="1" applyFill="1" applyBorder="1" applyAlignment="1">
      <x:alignment vertical="center" wrapText="1"/>
    </x:xf>
    <x:xf numFmtId="204" fontId="8" fillId="0" borderId="1" xfId="0" applyNumberFormat="1" applyFont="1" applyFill="1" applyBorder="1" applyAlignment="1">
      <x:alignment vertical="center" wrapText="1"/>
    </x:xf>
    <x:xf numFmtId="204" fontId="8" fillId="11" borderId="1" xfId="0" applyNumberFormat="1" applyFont="1" applyFill="1" applyBorder="1" applyAlignment="1">
      <x:alignment vertical="center" wrapText="1"/>
    </x:xf>
    <x:xf numFmtId="0" fontId="0" fillId="13" borderId="0" xfId="0" applyNumberFormat="1" applyFont="1" applyFill="1" applyBorder="1"/>
    <x:xf numFmtId="0" fontId="5" fillId="13" borderId="0" xfId="0" applyNumberFormat="1" applyFont="1" applyFill="1" applyBorder="1"/>
    <x:xf numFmtId="0" fontId="5" fillId="13" borderId="0" xfId="0" applyNumberFormat="1" applyFont="1" applyFill="1" applyBorder="1" applyAlignment="1">
      <x:alignment wrapText="1"/>
    </x:xf>
    <x:xf numFmtId="0" fontId="5" fillId="13" borderId="0" xfId="0" applyNumberFormat="1" applyFont="1" applyFill="1" applyBorder="1" applyAlignment="1">
      <x:alignment vertical="center" wrapText="1"/>
    </x:xf>
    <x:xf numFmtId="0" fontId="0" fillId="14" borderId="0" xfId="0" applyNumberFormat="1" applyFont="1" applyFill="1" applyBorder="1"/>
    <x:xf numFmtId="0" fontId="1" fillId="14" borderId="0" xfId="0" applyNumberFormat="1" applyFont="1" applyFill="1" applyBorder="1"/>
    <x:xf numFmtId="0" fontId="1" fillId="14" borderId="0" xfId="0" applyNumberFormat="1" applyFont="1" applyFill="1" applyBorder="1" applyAlignment="1">
      <x:alignment vertical="center"/>
    </x:xf>
    <x:xf numFmtId="0" fontId="0" fillId="15" borderId="0" xfId="0" applyNumberFormat="1" applyFont="1" applyFill="1" applyBorder="1"/>
    <x:xf numFmtId="0" fontId="2" fillId="15" borderId="0" xfId="0" applyNumberFormat="1" applyFont="1" applyFill="1" applyBorder="1"/>
    <x:xf numFmtId="0" fontId="2" fillId="15" borderId="0" xfId="0" applyNumberFormat="1" applyFont="1" applyFill="1" applyBorder="1" applyAlignment="1">
      <x:alignment vertical="center"/>
    </x:xf>
    <x:xf numFmtId="0" fontId="0" fillId="16" borderId="0" xfId="0" applyNumberFormat="1" applyFont="1" applyFill="1" applyBorder="1"/>
    <x:xf numFmtId="0" fontId="3" fillId="16" borderId="0" xfId="0" applyNumberFormat="1" applyFont="1" applyFill="1" applyBorder="1"/>
    <x:xf numFmtId="0" fontId="3" fillId="16" borderId="0" xfId="0" applyNumberFormat="1" applyFont="1" applyFill="1" applyBorder="1" applyAlignment="1">
      <x:alignment wrapText="1"/>
    </x:xf>
    <x:xf numFmtId="0" fontId="3" fillId="16" borderId="0" xfId="0" applyNumberFormat="1" applyFont="1" applyFill="1" applyBorder="1" applyAlignment="1">
      <x:alignment vertical="center" wrapText="1"/>
    </x:xf>
    <x:xf numFmtId="0" fontId="0" fillId="17" borderId="0" xfId="0" applyNumberFormat="1" applyFont="1" applyFill="1" applyBorder="1"/>
    <x:xf numFmtId="0" fontId="5" fillId="17" borderId="0" xfId="0" applyNumberFormat="1" applyFont="1" applyFill="1" applyBorder="1"/>
    <x:xf numFmtId="0" fontId="5" fillId="17" borderId="0" xfId="0" applyNumberFormat="1" applyFont="1" applyFill="1" applyBorder="1" applyAlignment="1">
      <x:alignment wrapText="1"/>
    </x:xf>
    <x:xf numFmtId="0" fontId="5" fillId="17" borderId="0" xfId="0" applyNumberFormat="1" applyFont="1" applyFill="1" applyBorder="1" applyAlignment="1">
      <x:alignment vertical="center" wrapText="1"/>
    </x:xf>
    <x:xf numFmtId="0" fontId="4" fillId="15" borderId="0" xfId="0" applyNumberFormat="1" applyFont="1" applyFill="1" applyBorder="1"/>
    <x:xf numFmtId="0" fontId="4" fillId="15" borderId="1" xfId="0" applyNumberFormat="1" applyFont="1" applyFill="1" applyBorder="1"/>
    <x:xf numFmtId="0" fontId="4" fillId="15" borderId="1" xfId="0" applyNumberFormat="1" applyFont="1" applyFill="1" applyBorder="1" applyAlignment="1">
      <x:alignment wrapText="1"/>
    </x:xf>
    <x:xf numFmtId="0" fontId="4" fillId="15" borderId="1" xfId="0" applyNumberFormat="1" applyFont="1" applyFill="1" applyBorder="1" applyAlignment="1">
      <x:alignment horizontal="center" wrapText="1"/>
    </x:xf>
    <x:xf numFmtId="0" fontId="4" fillId="15" borderId="1" xfId="0" applyNumberFormat="1" applyFont="1" applyFill="1" applyBorder="1" applyAlignment="1">
      <x:alignment horizontal="center" vertical="center" wrapText="1"/>
    </x:xf>
    <x:xf numFmtId="0" fontId="3" fillId="18" borderId="1" xfId="0" applyNumberFormat="1" applyFont="1" applyFill="1" applyBorder="1" applyAlignment="1">
      <x:alignment vertical="center" wrapText="1"/>
    </x:xf>
    <x:xf numFmtId="200" fontId="3" fillId="18" borderId="1" xfId="0" applyNumberFormat="1" applyFont="1" applyFill="1" applyBorder="1" applyAlignment="1">
      <x:alignment vertical="center" wrapText="1"/>
    </x:xf>
    <x:xf numFmtId="205" fontId="3" fillId="0" borderId="1" xfId="0" applyNumberFormat="1" applyFont="1" applyFill="1" applyBorder="1" applyAlignment="1">
      <x:alignment vertical="center" wrapText="1"/>
    </x:xf>
    <x:xf numFmtId="205" fontId="3" fillId="18" borderId="1" xfId="0" applyNumberFormat="1" applyFont="1" applyFill="1" applyBorder="1" applyAlignment="1">
      <x:alignment vertical="center" wrapText="1"/>
    </x:xf>
    <x:xf numFmtId="200" fontId="3" fillId="16" borderId="1" xfId="0" applyNumberFormat="1" applyFont="1" applyFill="1" applyBorder="1" applyAlignment="1">
      <x:alignment vertical="center" wrapText="1"/>
    </x:xf>
    <x:xf numFmtId="200" fontId="3" fillId="17" borderId="1" xfId="0" applyNumberFormat="1" applyFont="1" applyFill="1" applyBorder="1" applyAlignment="1">
      <x:alignment vertical="center" wrapText="1"/>
    </x:xf>
    <x:xf numFmtId="205" fontId="3" fillId="19" borderId="1" xfId="0" applyNumberFormat="1" applyFont="1" applyFill="1" applyBorder="1" applyAlignment="1">
      <x:alignment vertical="center" wrapText="1"/>
    </x:xf>
    <x:xf numFmtId="200" fontId="3" fillId="19" borderId="1" xfId="0" applyNumberFormat="1" applyFont="1" applyFill="1" applyBorder="1" applyAlignment="1">
      <x:alignment vertical="center" wrapText="1"/>
    </x:xf>
    <x:xf numFmtId="200" fontId="9" fillId="19" borderId="1" xfId="0" applyNumberFormat="1" applyFont="1" applyFill="1" applyBorder="1" applyAlignment="1">
      <x:alignment vertical="center" wrapText="1"/>
    </x:xf>
    <x:xf numFmtId="200" fontId="9" fillId="18" borderId="1" xfId="0" applyNumberFormat="1" applyFont="1" applyFill="1" applyBorder="1" applyAlignment="1">
      <x:alignment vertical="center" wrapText="1"/>
    </x:xf>
    <x:xf numFmtId="0" fontId="0" fillId="18" borderId="0" xfId="0" applyNumberFormat="1" applyFont="1" applyFill="1" applyBorder="1"/>
    <x:xf numFmtId="0" fontId="3" fillId="19" borderId="1" xfId="0" applyNumberFormat="1" applyFont="1" applyFill="1" applyBorder="1" applyAlignment="1">
      <x:alignment vertical="center" wrapText="1"/>
    </x:xf>
    <x:xf numFmtId="0" fontId="9" fillId="19" borderId="1" xfId="0" applyNumberFormat="1" applyFont="1" applyFill="1" applyBorder="1" applyAlignment="1">
      <x:alignment vertical="center" wrapText="1"/>
    </x:xf>
    <x:xf numFmtId="205" fontId="9" fillId="19" borderId="1" xfId="0" applyNumberFormat="1" applyFont="1" applyFill="1" applyBorder="1" applyAlignment="1">
      <x:alignment vertical="center" wrapText="1"/>
    </x:xf>
    <x:xf numFmtId="206" fontId="3" fillId="0" borderId="1" xfId="0" applyNumberFormat="1" applyFont="1" applyFill="1" applyBorder="1" applyAlignment="1">
      <x:alignment vertical="center" wrapText="1"/>
    </x:xf>
    <x:xf numFmtId="0" fontId="10" fillId="16" borderId="0" xfId="0" applyNumberFormat="1" applyFont="1" applyFill="1" applyBorder="1"/>
    <x:xf numFmtId="0" fontId="10" fillId="16" borderId="0" xfId="0" applyNumberFormat="1" applyFont="1" applyFill="1" applyBorder="1" applyAlignment="1">
      <x:alignment wrapText="1"/>
    </x:xf>
    <x:xf numFmtId="0" fontId="10" fillId="16" borderId="0" xfId="0" applyNumberFormat="1" applyFont="1" applyFill="1" applyBorder="1" applyAlignment="1">
      <x:alignment vertical="center" wrapText="1"/>
    </x:xf>
    <x:xf numFmtId="0" fontId="0" fillId="20" borderId="0" xfId="0" applyNumberFormat="1" applyFont="1" applyFill="1" applyBorder="1"/>
    <x:xf numFmtId="0" fontId="11" fillId="20" borderId="0" xfId="0" applyNumberFormat="1" applyFont="1" applyFill="1" applyBorder="1"/>
    <x:xf numFmtId="0" fontId="11" fillId="20" borderId="0" xfId="0" applyNumberFormat="1" applyFont="1" applyFill="1" applyBorder="1" applyAlignment="1">
      <x:alignment vertical="center"/>
    </x:xf>
    <x:xf numFmtId="0" fontId="3" fillId="16" borderId="1" xfId="0" applyNumberFormat="1" applyFont="1" applyFill="1" applyBorder="1" applyAlignment="1">
      <x:alignment vertical="center" wrapText="1"/>
    </x:xf>
    <x:xf numFmtId="0" fontId="3" fillId="21" borderId="1" xfId="0" applyNumberFormat="1" applyFont="1" applyFill="1" applyBorder="1" applyAlignment="1">
      <x:alignment vertical="center" wrapText="1"/>
    </x:xf>
    <x:xf numFmtId="0" fontId="3" fillId="17" borderId="1" xfId="0" applyNumberFormat="1" applyFont="1" applyFill="1" applyBorder="1" applyAlignment="1">
      <x:alignment vertical="center" wrapText="1"/>
    </x:xf>
    <x:xf numFmtId="200" fontId="3" fillId="21" borderId="1" xfId="0" applyNumberFormat="1" applyFont="1" applyFill="1" applyBorder="1" applyAlignment="1">
      <x:alignment vertical="center" wrapText="1"/>
    </x:xf>
    <x:xf numFmtId="0" fontId="3" fillId="22" borderId="1" xfId="0" applyNumberFormat="1" applyFont="1" applyFill="1" applyBorder="1" applyAlignment="1">
      <x:alignment vertical="center" wrapText="1"/>
    </x:xf>
    <x:xf numFmtId="200" fontId="3" fillId="22" borderId="1" xfId="0" applyNumberFormat="1" applyFont="1" applyFill="1" applyBorder="1" applyAlignment="1">
      <x:alignment vertical="center" wrapText="1"/>
    </x:xf>
    <x:xf numFmtId="0" fontId="0" fillId="19" borderId="0" xfId="0" applyNumberFormat="1" applyFont="1" applyFill="1" applyBorder="1"/>
    <x:xf numFmtId="0" fontId="12" fillId="19" borderId="0" xfId="0" applyNumberFormat="1" applyFont="1" applyFill="1" applyBorder="1"/>
    <x:xf numFmtId="0" fontId="12" fillId="19" borderId="0" xfId="0" applyNumberFormat="1" applyFont="1" applyFill="1" applyBorder="1" applyAlignment="1">
      <x:alignment wrapText="1"/>
    </x:xf>
    <x:xf numFmtId="0" fontId="12" fillId="19" borderId="0" xfId="0" applyNumberFormat="1" applyFont="1" applyFill="1" applyBorder="1" applyAlignment="1">
      <x:alignment vertical="center" wrapText="1"/>
    </x:xf>
    <x:xf numFmtId="207" fontId="3" fillId="0" borderId="1" xfId="0" applyNumberFormat="1" applyFont="1" applyFill="1" applyBorder="1" applyAlignment="1">
      <x:alignment vertical="center" wrapText="1"/>
    </x:xf>
    <x:xf numFmtId="207" fontId="3" fillId="18" borderId="1" xfId="0" applyNumberFormat="1" applyFont="1" applyFill="1" applyBorder="1" applyAlignment="1">
      <x:alignment vertical="center" wrapText="1"/>
    </x:xf>
    <x:xf numFmtId="207" fontId="3" fillId="19" borderId="1" xfId="0" applyNumberFormat="1" applyFont="1" applyFill="1" applyBorder="1" applyAlignment="1">
      <x:alignment vertical="center" wrapText="1"/>
    </x:xf>
    <x:xf numFmtId="0" fontId="2" fillId="15" borderId="0" xfId="0" applyNumberFormat="1" applyFont="1" applyFill="1" applyBorder="1" applyAlignment="1">
      <x:alignment horizontal="center"/>
    </x:xf>
    <x:xf numFmtId="0" fontId="13" fillId="17" borderId="0" xfId="0" applyNumberFormat="1" applyFont="1" applyFill="1" applyBorder="1"/>
    <x:xf numFmtId="0" fontId="13" fillId="17" borderId="0" xfId="0" applyNumberFormat="1" applyFont="1" applyFill="1" applyBorder="1" applyAlignment="1">
      <x:alignment wrapText="1"/>
    </x:xf>
    <x:xf numFmtId="0" fontId="13" fillId="17" borderId="0" xfId="0" applyNumberFormat="1" applyFont="1" applyFill="1" applyBorder="1" applyAlignment="1">
      <x:alignment vertical="center" wrapText="1"/>
    </x:xf>
    <x:xf numFmtId="205" fontId="3" fillId="17" borderId="1" xfId="0" applyNumberFormat="1" applyFont="1" applyFill="1" applyBorder="1" applyAlignment="1">
      <x:alignment vertical="center" wrapText="1"/>
    </x:xf>
    <x:xf numFmtId="202" fontId="9" fillId="19" borderId="1" xfId="0" applyNumberFormat="1" applyFont="1" applyFill="1" applyBorder="1" applyAlignment="1">
      <x:alignment vertical="center" wrapText="1"/>
    </x:xf>
    <x:xf numFmtId="0" fontId="7" fillId="18" borderId="1" xfId="0" applyNumberFormat="1" applyFont="1" applyFill="1" applyBorder="1" applyAlignment="1">
      <x:alignment vertical="center" wrapText="1"/>
    </x:xf>
    <x:xf numFmtId="202" fontId="7" fillId="0" borderId="1" xfId="0" applyNumberFormat="1" applyFont="1" applyFill="1" applyBorder="1" applyAlignment="1">
      <x:alignment vertical="center" wrapText="1"/>
    </x:xf>
    <x:xf numFmtId="202" fontId="7" fillId="18" borderId="1" xfId="0" applyNumberFormat="1" applyFont="1" applyFill="1" applyBorder="1" applyAlignment="1">
      <x:alignment vertical="center" wrapText="1"/>
    </x:xf>
    <x:xf numFmtId="0" fontId="0" fillId="23" borderId="0" xfId="0" applyNumberFormat="1" applyFont="1" applyFill="1" applyBorder="1"/>
    <x:xf numFmtId="0" fontId="1" fillId="23" borderId="0" xfId="0" applyNumberFormat="1" applyFont="1" applyFill="1" applyBorder="1"/>
    <x:xf numFmtId="0" fontId="1" fillId="23" borderId="0" xfId="0" applyNumberFormat="1" applyFont="1" applyFill="1" applyBorder="1" applyAlignment="1">
      <x:alignment vertical="center"/>
    </x:xf>
    <x:xf numFmtId="0" fontId="0" fillId="24" borderId="0" xfId="0" applyNumberFormat="1" applyFont="1" applyFill="1" applyBorder="1"/>
    <x:xf numFmtId="0" fontId="2" fillId="24" borderId="0" xfId="0" applyNumberFormat="1" applyFont="1" applyFill="1" applyBorder="1"/>
    <x:xf numFmtId="0" fontId="2" fillId="24" borderId="0" xfId="0" applyNumberFormat="1" applyFont="1" applyFill="1" applyBorder="1" applyAlignment="1">
      <x:alignment vertical="center"/>
    </x:xf>
    <x:xf numFmtId="0" fontId="0" fillId="25" borderId="0" xfId="0" applyNumberFormat="1" applyFont="1" applyFill="1" applyBorder="1"/>
    <x:xf numFmtId="0" fontId="3" fillId="25" borderId="0" xfId="0" applyNumberFormat="1" applyFont="1" applyFill="1" applyBorder="1"/>
    <x:xf numFmtId="0" fontId="3" fillId="25" borderId="0" xfId="0" applyNumberFormat="1" applyFont="1" applyFill="1" applyBorder="1" applyAlignment="1">
      <x:alignment wrapText="1"/>
    </x:xf>
    <x:xf numFmtId="0" fontId="3" fillId="25" borderId="0" xfId="0" applyNumberFormat="1" applyFont="1" applyFill="1" applyBorder="1" applyAlignment="1">
      <x:alignment vertical="center" wrapText="1"/>
    </x:xf>
    <x:xf numFmtId="0" fontId="4" fillId="24" borderId="0" xfId="0" applyNumberFormat="1" applyFont="1" applyFill="1" applyBorder="1"/>
    <x:xf numFmtId="0" fontId="4" fillId="24" borderId="1" xfId="0" applyNumberFormat="1" applyFont="1" applyFill="1" applyBorder="1"/>
    <x:xf numFmtId="0" fontId="4" fillId="24" borderId="1" xfId="0" applyNumberFormat="1" applyFont="1" applyFill="1" applyBorder="1" applyAlignment="1">
      <x:alignment wrapText="1"/>
    </x:xf>
    <x:xf numFmtId="0" fontId="4" fillId="24" borderId="1" xfId="0" applyNumberFormat="1" applyFont="1" applyFill="1" applyBorder="1" applyAlignment="1">
      <x:alignment horizontal="center" wrapText="1"/>
    </x:xf>
    <x:xf numFmtId="0" fontId="4" fillId="24" borderId="1" xfId="0" applyNumberFormat="1" applyFont="1" applyFill="1" applyBorder="1" applyAlignment="1">
      <x:alignment horizontal="center" vertical="center" wrapText="1"/>
    </x:xf>
    <x:xf numFmtId="0" fontId="3" fillId="26" borderId="1" xfId="0" applyNumberFormat="1" applyFont="1" applyFill="1" applyBorder="1" applyAlignment="1">
      <x:alignment vertical="center" wrapText="1"/>
    </x:xf>
    <x:xf numFmtId="200" fontId="3" fillId="26" borderId="1" xfId="0" applyNumberFormat="1" applyFont="1" applyFill="1" applyBorder="1" applyAlignment="1">
      <x:alignment vertical="center" wrapText="1"/>
    </x:xf>
    <x:xf numFmtId="208" fontId="3" fillId="0" borderId="1" xfId="0" applyNumberFormat="1" applyFont="1" applyFill="1" applyBorder="1" applyAlignment="1">
      <x:alignment vertical="center" wrapText="1"/>
    </x:xf>
    <x:xf numFmtId="208" fontId="3" fillId="26" borderId="1" xfId="0" applyNumberFormat="1" applyFont="1" applyFill="1" applyBorder="1" applyAlignment="1">
      <x:alignment vertical="center" wrapText="1"/>
    </x:xf>
    <x:xf numFmtId="200" fontId="7" fillId="0" borderId="1" xfId="0" applyNumberFormat="1" applyFont="1" applyFill="1" applyBorder="1" applyAlignment="1">
      <x:alignment vertical="center" wrapText="1"/>
    </x:xf>
    <x:xf numFmtId="200" fontId="7" fillId="26" borderId="1" xfId="0" applyNumberFormat="1" applyFont="1" applyFill="1" applyBorder="1" applyAlignment="1">
      <x:alignment vertical="center" wrapText="1"/>
    </x:xf>
    <x:xf numFmtId="0" fontId="3" fillId="27" borderId="1" xfId="0" applyNumberFormat="1" applyFont="1" applyFill="1" applyBorder="1" applyAlignment="1">
      <x:alignment vertical="center" wrapText="1"/>
    </x:xf>
    <x:xf numFmtId="0" fontId="14" fillId="27" borderId="1" xfId="0" applyNumberFormat="1" applyFont="1" applyFill="1" applyBorder="1" applyAlignment="1">
      <x:alignment vertical="center" wrapText="1"/>
    </x:xf>
    <x:xf numFmtId="0" fontId="3" fillId="28" borderId="1" xfId="0" applyNumberFormat="1" applyFont="1" applyFill="1" applyBorder="1" applyAlignment="1">
      <x:alignment vertical="center" wrapText="1"/>
    </x:xf>
    <x:xf numFmtId="0" fontId="15" fillId="28" borderId="1" xfId="0" applyNumberFormat="1" applyFont="1" applyFill="1" applyBorder="1" applyAlignment="1">
      <x:alignment vertical="center" wrapText="1"/>
    </x:xf>
    <x:xf numFmtId="205" fontId="15" fillId="28" borderId="1" xfId="0" applyNumberFormat="1" applyFont="1" applyFill="1" applyBorder="1" applyAlignment="1">
      <x:alignment vertical="center" wrapText="1"/>
    </x:xf>
    <x:xf numFmtId="0" fontId="0" fillId="29" borderId="0" xfId="0" applyNumberFormat="1" applyFont="1" applyFill="1" applyBorder="1"/>
    <x:xf numFmtId="0" fontId="13" fillId="29" borderId="0" xfId="0" applyNumberFormat="1" applyFont="1" applyFill="1" applyBorder="1"/>
    <x:xf numFmtId="0" fontId="13" fillId="29" borderId="0" xfId="0" applyNumberFormat="1" applyFont="1" applyFill="1" applyBorder="1" applyAlignment="1">
      <x:alignment wrapText="1"/>
    </x:xf>
    <x:xf numFmtId="0" fontId="13" fillId="29" borderId="0" xfId="0" applyNumberFormat="1" applyFont="1" applyFill="1" applyBorder="1" applyAlignment="1">
      <x:alignment vertical="center" wrapText="1"/>
    </x:xf>
    <x:xf numFmtId="0" fontId="5" fillId="29" borderId="0" xfId="0" applyNumberFormat="1" applyFont="1" applyFill="1" applyBorder="1"/>
    <x:xf numFmtId="0" fontId="5" fillId="29" borderId="0" xfId="0" applyNumberFormat="1" applyFont="1" applyFill="1" applyBorder="1" applyAlignment="1">
      <x:alignment wrapText="1"/>
    </x:xf>
    <x:xf numFmtId="0" fontId="5" fillId="29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horizontal="center" vertical="center" wrapText="1"/>
    </x:xf>
    <x:xf numFmtId="0" fontId="3" fillId="26" borderId="1" xfId="0" applyNumberFormat="1" applyFont="1" applyFill="1" applyBorder="1" applyAlignment="1">
      <x:alignment horizontal="center" vertical="center" wrapText="1"/>
    </x:xf>
    <x:xf numFmtId="200" fontId="3" fillId="29" borderId="1" xfId="0" applyNumberFormat="1" applyFont="1" applyFill="1" applyBorder="1" applyAlignment="1">
      <x:alignment vertical="center" wrapText="1"/>
    </x:xf>
    <x:xf numFmtId="0" fontId="10" fillId="25" borderId="0" xfId="0" applyNumberFormat="1" applyFont="1" applyFill="1" applyBorder="1"/>
    <x:xf numFmtId="0" fontId="10" fillId="25" borderId="0" xfId="0" applyNumberFormat="1" applyFont="1" applyFill="1" applyBorder="1" applyAlignment="1">
      <x:alignment wrapText="1"/>
    </x:xf>
    <x:xf numFmtId="0" fontId="10" fillId="25" borderId="0" xfId="0" applyNumberFormat="1" applyFont="1" applyFill="1" applyBorder="1" applyAlignment="1">
      <x:alignment vertical="center" wrapText="1"/>
    </x:xf>
    <x:xf numFmtId="209" fontId="3" fillId="0" borderId="1" xfId="0" applyNumberFormat="1" applyFont="1" applyFill="1" applyBorder="1" applyAlignment="1">
      <x:alignment vertical="center" wrapText="1"/>
    </x:xf>
    <x:xf numFmtId="209" fontId="3" fillId="26" borderId="1" xfId="0" applyNumberFormat="1" applyFont="1" applyFill="1" applyBorder="1" applyAlignment="1">
      <x:alignment vertical="center" wrapText="1"/>
    </x:xf>
    <x:xf numFmtId="200" fontId="3" fillId="25" borderId="1" xfId="0" applyNumberFormat="1" applyFont="1" applyFill="1" applyBorder="1" applyAlignment="1">
      <x:alignment vertical="center" wrapText="1"/>
    </x:xf>
    <x:xf numFmtId="200" fontId="3" fillId="28" borderId="1" xfId="0" applyNumberFormat="1" applyFont="1" applyFill="1" applyBorder="1" applyAlignment="1">
      <x:alignment vertical="center" wrapText="1"/>
    </x:xf>
    <x:xf numFmtId="206" fontId="3" fillId="26" borderId="1" xfId="0" applyNumberFormat="1" applyFont="1" applyFill="1" applyBorder="1" applyAlignment="1">
      <x:alignment vertical="center" wrapText="1"/>
    </x:xf>
    <x:xf numFmtId="210" fontId="3" fillId="0" borderId="1" xfId="0" applyNumberFormat="1" applyFont="1" applyFill="1" applyBorder="1" applyAlignment="1">
      <x:alignment vertical="center" wrapText="1"/>
    </x:xf>
    <x:xf numFmtId="210" fontId="3" fillId="28" borderId="1" xfId="0" applyNumberFormat="1" applyFont="1" applyFill="1" applyBorder="1" applyAlignment="1">
      <x:alignment vertical="center" wrapText="1"/>
    </x:xf>
    <x:xf numFmtId="0" fontId="0" fillId="30" borderId="0" xfId="0" applyNumberFormat="1" applyFont="1" applyFill="1" applyBorder="1"/>
    <x:xf numFmtId="0" fontId="11" fillId="30" borderId="0" xfId="0" applyNumberFormat="1" applyFont="1" applyFill="1" applyBorder="1"/>
    <x:xf numFmtId="0" fontId="11" fillId="30" borderId="0" xfId="0" applyNumberFormat="1" applyFont="1" applyFill="1" applyBorder="1" applyAlignment="1">
      <x:alignment vertical="center"/>
    </x:xf>
    <x:xf numFmtId="0" fontId="0" fillId="26" borderId="0" xfId="0" applyNumberFormat="1" applyFont="1" applyFill="1" applyBorder="1"/>
    <x:xf numFmtId="0" fontId="3" fillId="26" borderId="0" xfId="0" applyNumberFormat="1" applyFont="1" applyFill="1" applyBorder="1"/>
    <x:xf numFmtId="0" fontId="3" fillId="26" borderId="1" xfId="0" applyNumberFormat="1" applyFont="1" applyFill="1" applyBorder="1"/>
    <x:xf numFmtId="0" fontId="3" fillId="26" borderId="1" xfId="0" applyNumberFormat="1" applyFont="1" applyFill="1" applyBorder="1" applyAlignment="1">
      <x:alignment wrapText="1"/>
    </x:xf>
    <x:xf numFmtId="0" fontId="0" fillId="31" borderId="0" xfId="0" applyNumberFormat="1" applyFont="1" applyFill="1" applyBorder="1"/>
    <x:xf numFmtId="0" fontId="3" fillId="31" borderId="0" xfId="0" applyNumberFormat="1" applyFont="1" applyFill="1" applyBorder="1"/>
    <x:xf numFmtId="0" fontId="3" fillId="31" borderId="1" xfId="0" applyNumberFormat="1" applyFont="1" applyFill="1" applyBorder="1"/>
    <x:xf numFmtId="0" fontId="3" fillId="31" borderId="1" xfId="0" applyNumberFormat="1" applyFont="1" applyFill="1" applyBorder="1" applyAlignment="1">
      <x:alignment wrapText="1"/>
    </x:xf>
    <x:xf numFmtId="0" fontId="3" fillId="31" borderId="1" xfId="0" applyNumberFormat="1" applyFont="1" applyFill="1" applyBorder="1" applyAlignment="1">
      <x:alignment vertical="center" wrapText="1"/>
    </x:xf>
    <x:xf numFmtId="0" fontId="3" fillId="25" borderId="1" xfId="0" applyNumberFormat="1" applyFont="1" applyFill="1" applyBorder="1" applyAlignment="1">
      <x:alignment vertical="center" wrapText="1"/>
    </x:xf>
    <x:xf numFmtId="0" fontId="16" fillId="25" borderId="1" xfId="0" applyNumberFormat="1" applyFont="1" applyFill="1" applyBorder="1" applyAlignment="1">
      <x:alignment vertical="center" wrapText="1"/>
    </x:xf>
    <x:xf numFmtId="0" fontId="16" fillId="25" borderId="1" xfId="0" applyNumberFormat="1" applyFont="1" applyFill="1" applyBorder="1" applyAlignment="1">
      <x:alignment horizontal="center" vertical="center" wrapText="1"/>
    </x:xf>
    <x:xf numFmtId="0" fontId="0" fillId="32" borderId="0" xfId="0" applyNumberFormat="1" applyFont="1" applyFill="1" applyBorder="1"/>
    <x:xf numFmtId="0" fontId="17" fillId="32" borderId="0" xfId="0" applyNumberFormat="1" applyFont="1" applyFill="1" applyBorder="1"/>
    <x:xf numFmtId="0" fontId="17" fillId="32" borderId="0" xfId="0" applyNumberFormat="1" applyFont="1" applyFill="1" applyBorder="1" applyAlignment="1">
      <x:alignment wrapText="1"/>
    </x:xf>
    <x:xf numFmtId="0" fontId="17" fillId="32" borderId="0" xfId="0" applyNumberFormat="1" applyFont="1" applyFill="1" applyBorder="1" applyAlignment="1">
      <x:alignment vertical="center" wrapText="1"/>
    </x:xf>
    <x:xf numFmtId="0" fontId="5" fillId="29" borderId="0" xfId="0" applyNumberFormat="1" applyFont="1" applyFill="1" applyBorder="1" applyAlignment="1">
      <x:alignment vertical="center"/>
    </x:xf>
    <x:xf numFmtId="202" fontId="3" fillId="26" borderId="1" xfId="0" applyNumberFormat="1" applyFont="1" applyFill="1" applyBorder="1" applyAlignment="1">
      <x:alignment vertical="center" wrapText="1"/>
    </x:xf>
    <x:xf numFmtId="202" fontId="3" fillId="28" borderId="1" xfId="0" applyNumberFormat="1" applyFont="1" applyFill="1" applyBorder="1" applyAlignment="1">
      <x:alignment vertical="center" wrapText="1"/>
    </x:xf>
    <x:xf numFmtId="202" fontId="9" fillId="28" borderId="1" xfId="0" applyNumberFormat="1" applyFont="1" applyFill="1" applyBorder="1" applyAlignment="1">
      <x:alignment vertical="center" wrapText="1"/>
    </x:xf>
    <x:xf numFmtId="202" fontId="7" fillId="26" borderId="1" xfId="0" applyNumberFormat="1" applyFont="1" applyFill="1" applyBorder="1" applyAlignment="1">
      <x:alignment vertical="center" wrapText="1"/>
    </x:xf>
    <x:xf numFmtId="0" fontId="0" fillId="33" borderId="0" xfId="0" applyNumberFormat="1" applyFont="1" applyFill="1" applyBorder="1"/>
    <x:xf numFmtId="0" fontId="1" fillId="33" borderId="0" xfId="0" applyNumberFormat="1" applyFont="1" applyFill="1" applyBorder="1"/>
    <x:xf numFmtId="0" fontId="1" fillId="33" borderId="0" xfId="0" applyNumberFormat="1" applyFont="1" applyFill="1" applyBorder="1" applyAlignment="1">
      <x:alignment vertical="center"/>
    </x:xf>
    <x:xf numFmtId="0" fontId="0" fillId="34" borderId="0" xfId="0" applyNumberFormat="1" applyFont="1" applyFill="1" applyBorder="1"/>
    <x:xf numFmtId="0" fontId="2" fillId="34" borderId="0" xfId="0" applyNumberFormat="1" applyFont="1" applyFill="1" applyBorder="1"/>
    <x:xf numFmtId="0" fontId="2" fillId="34" borderId="0" xfId="0" applyNumberFormat="1" applyFont="1" applyFill="1" applyBorder="1" applyAlignment="1">
      <x:alignment vertical="center"/>
    </x:xf>
    <x:xf numFmtId="0" fontId="0" fillId="35" borderId="0" xfId="0" applyNumberFormat="1" applyFont="1" applyFill="1" applyBorder="1"/>
    <x:xf numFmtId="0" fontId="3" fillId="35" borderId="0" xfId="0" applyNumberFormat="1" applyFont="1" applyFill="1" applyBorder="1"/>
    <x:xf numFmtId="0" fontId="3" fillId="35" borderId="0" xfId="0" applyNumberFormat="1" applyFont="1" applyFill="1" applyBorder="1" applyAlignment="1">
      <x:alignment wrapText="1"/>
    </x:xf>
    <x:xf numFmtId="0" fontId="3" fillId="35" borderId="0" xfId="0" applyNumberFormat="1" applyFont="1" applyFill="1" applyBorder="1" applyAlignment="1">
      <x:alignment vertical="center" wrapText="1"/>
    </x:xf>
    <x:xf numFmtId="0" fontId="4" fillId="34" borderId="0" xfId="0" applyNumberFormat="1" applyFont="1" applyFill="1" applyBorder="1"/>
    <x:xf numFmtId="0" fontId="4" fillId="34" borderId="1" xfId="0" applyNumberFormat="1" applyFont="1" applyFill="1" applyBorder="1"/>
    <x:xf numFmtId="0" fontId="4" fillId="34" borderId="1" xfId="0" applyNumberFormat="1" applyFont="1" applyFill="1" applyBorder="1" applyAlignment="1">
      <x:alignment wrapText="1"/>
    </x:xf>
    <x:xf numFmtId="0" fontId="4" fillId="34" borderId="1" xfId="0" applyNumberFormat="1" applyFont="1" applyFill="1" applyBorder="1" applyAlignment="1">
      <x:alignment horizontal="center" wrapText="1"/>
    </x:xf>
    <x:xf numFmtId="0" fontId="4" fillId="34" borderId="1" xfId="0" applyNumberFormat="1" applyFont="1" applyFill="1" applyBorder="1" applyAlignment="1">
      <x:alignment horizontal="center" vertical="center" wrapText="1"/>
    </x:xf>
    <x:xf numFmtId="0" fontId="3" fillId="36" borderId="1" xfId="0" applyNumberFormat="1" applyFont="1" applyFill="1" applyBorder="1" applyAlignment="1">
      <x:alignment vertical="center" wrapText="1"/>
    </x:xf>
    <x:xf numFmtId="0" fontId="0" fillId="36" borderId="0" xfId="0" applyNumberFormat="1" applyFont="1" applyFill="1" applyBorder="1"/>
    <x:xf numFmtId="211" fontId="3" fillId="0" borderId="1" xfId="0" applyNumberFormat="1" applyFont="1" applyFill="1" applyBorder="1" applyAlignment="1">
      <x:alignment vertical="center" wrapText="1"/>
    </x:xf>
    <x:xf numFmtId="205" fontId="3" fillId="36" borderId="1" xfId="0" applyNumberFormat="1" applyFont="1" applyFill="1" applyBorder="1" applyAlignment="1">
      <x:alignment vertical="center" wrapText="1"/>
    </x:xf>
    <x:xf numFmtId="211" fontId="3" fillId="37" borderId="1" xfId="0" applyNumberFormat="1" applyFont="1" applyFill="1" applyBorder="1" applyAlignment="1">
      <x:alignment vertical="center" wrapText="1"/>
    </x:xf>
    <x:xf numFmtId="205" fontId="3" fillId="37" borderId="1" xfId="0" applyNumberFormat="1" applyFont="1" applyFill="1" applyBorder="1" applyAlignment="1">
      <x:alignment vertical="center" wrapText="1"/>
    </x:xf>
    <x:xf numFmtId="0" fontId="0" fillId="38" borderId="0" xfId="0" applyNumberFormat="1" applyFont="1" applyFill="1" applyBorder="1"/>
    <x:xf numFmtId="0" fontId="11" fillId="38" borderId="0" xfId="0" applyNumberFormat="1" applyFont="1" applyFill="1" applyBorder="1"/>
    <x:xf numFmtId="0" fontId="3" fillId="35" borderId="1" xfId="0" applyNumberFormat="1" applyFont="1" applyFill="1" applyBorder="1" applyAlignment="1">
      <x:alignment vertical="center" wrapText="1"/>
    </x:xf>
    <x:xf numFmtId="0" fontId="18" fillId="35" borderId="1" xfId="0" applyNumberFormat="1" applyFont="1" applyFill="1" applyBorder="1" applyAlignment="1">
      <x:alignment vertical="center" wrapText="1"/>
    </x:xf>
    <x:xf numFmtId="0" fontId="18" fillId="36" borderId="1" xfId="0" applyNumberFormat="1" applyFont="1" applyFill="1" applyBorder="1" applyAlignment="1">
      <x:alignment vertical="center" wrapText="1"/>
    </x:xf>
    <x:xf numFmtId="202" fontId="3" fillId="36" borderId="1" xfId="0" applyNumberFormat="1" applyFont="1" applyFill="1" applyBorder="1" applyAlignment="1">
      <x:alignment vertical="center" wrapText="1"/>
    </x:xf>
    <x:xf numFmtId="202" fontId="3" fillId="37" borderId="1" xfId="0" applyNumberFormat="1" applyFont="1" applyFill="1" applyBorder="1" applyAlignment="1">
      <x:alignment vertical="center" wrapText="1"/>
    </x:xf>
    <x:xf numFmtId="0" fontId="3" fillId="37" borderId="1" xfId="0" applyNumberFormat="1" applyFont="1" applyFill="1" applyBorder="1" applyAlignment="1">
      <x:alignment vertical="center" wrapText="1"/>
    </x:xf>
    <x:xf numFmtId="0" fontId="19" fillId="0" borderId="1" xfId="0" applyNumberFormat="1" applyFont="1" applyFill="1" applyBorder="1" applyAlignment="1">
      <x:alignment vertical="center" wrapText="1"/>
    </x:xf>
    <x:xf numFmtId="0" fontId="19" fillId="36" borderId="1" xfId="0" applyNumberFormat="1" applyFont="1" applyFill="1" applyBorder="1" applyAlignment="1">
      <x:alignment vertical="center" wrapText="1"/>
    </x:xf>
    <x:xf numFmtId="0" fontId="3" fillId="39" borderId="1" xfId="0" applyNumberFormat="1" applyFont="1" applyFill="1" applyBorder="1" applyAlignment="1">
      <x:alignment vertical="center" wrapText="1"/>
    </x:xf>
    <x:xf numFmtId="0" fontId="14" fillId="39" borderId="1" xfId="0" applyNumberFormat="1" applyFont="1" applyFill="1" applyBorder="1" applyAlignment="1">
      <x:alignment vertical="center" wrapText="1"/>
    </x:xf>
    <x:xf numFmtId="0" fontId="15" fillId="37" borderId="1" xfId="0" applyNumberFormat="1" applyFont="1" applyFill="1" applyBorder="1" applyAlignment="1">
      <x:alignment vertical="center" wrapText="1"/>
    </x:xf>
    <x:xf numFmtId="202" fontId="15" fillId="37" borderId="1" xfId="0" applyNumberFormat="1" applyFont="1" applyFill="1" applyBorder="1" applyAlignment="1">
      <x:alignment vertical="center" wrapText="1"/>
    </x:xf>
    <x:xf numFmtId="0" fontId="3" fillId="40" borderId="1" xfId="0" applyNumberFormat="1" applyFont="1" applyFill="1" applyBorder="1" applyAlignment="1">
      <x:alignment vertical="center" wrapText="1"/>
    </x:xf>
    <x:xf numFmtId="0" fontId="13" fillId="40" borderId="1" xfId="0" applyNumberFormat="1" applyFont="1" applyFill="1" applyBorder="1" applyAlignment="1">
      <x:alignment vertical="center" wrapText="1"/>
    </x:xf>
    <x:xf numFmtId="0" fontId="0" fillId="41" borderId="0" xfId="0" applyNumberFormat="1" applyFont="1" applyFill="1" applyBorder="1"/>
    <x:xf numFmtId="0" fontId="17" fillId="41" borderId="0" xfId="0" applyNumberFormat="1" applyFont="1" applyFill="1" applyBorder="1"/>
    <x:xf numFmtId="0" fontId="17" fillId="41" borderId="0" xfId="0" applyNumberFormat="1" applyFont="1" applyFill="1" applyBorder="1" applyAlignment="1">
      <x:alignment wrapText="1"/>
    </x:xf>
    <x:xf numFmtId="0" fontId="17" fillId="41" borderId="0" xfId="0" applyNumberFormat="1" applyFont="1" applyFill="1" applyBorder="1" applyAlignment="1">
      <x:alignment vertical="center" wrapText="1"/>
    </x:xf>
    <x:xf numFmtId="202" fontId="3" fillId="35" borderId="1" xfId="0" applyNumberFormat="1" applyFont="1" applyFill="1" applyBorder="1" applyAlignment="1">
      <x:alignment vertical="center" wrapText="1"/>
    </x:xf>
    <x:xf numFmtId="0" fontId="3" fillId="42" borderId="1" xfId="0" applyNumberFormat="1" applyFont="1" applyFill="1" applyBorder="1" applyAlignment="1">
      <x:alignment vertical="center" wrapText="1"/>
    </x:xf>
    <x:xf numFmtId="0" fontId="15" fillId="42" borderId="1" xfId="0" applyNumberFormat="1" applyFont="1" applyFill="1" applyBorder="1" applyAlignment="1">
      <x:alignment vertical="center" wrapText="1"/>
    </x:xf>
    <x:xf numFmtId="202" fontId="3" fillId="39" borderId="1" xfId="0" applyNumberFormat="1" applyFont="1" applyFill="1" applyBorder="1" applyAlignment="1">
      <x:alignment vertical="center" wrapText="1"/>
    </x:xf>
    <x:xf numFmtId="202" fontId="14" fillId="39" borderId="1" xfId="0" applyNumberFormat="1" applyFont="1" applyFill="1" applyBorder="1" applyAlignment="1">
      <x:alignment vertical="center" wrapText="1"/>
    </x:xf>
    <x:xf numFmtId="0" fontId="0" fillId="43" borderId="0" xfId="0" applyNumberFormat="1" applyFont="1" applyFill="1" applyBorder="1"/>
    <x:xf numFmtId="0" fontId="3" fillId="43" borderId="0" xfId="0" applyNumberFormat="1" applyFont="1" applyFill="1" applyBorder="1"/>
    <x:xf numFmtId="0" fontId="3" fillId="43" borderId="1" xfId="0" applyNumberFormat="1" applyFont="1" applyFill="1" applyBorder="1"/>
    <x:xf numFmtId="0" fontId="3" fillId="43" borderId="1" xfId="0" applyNumberFormat="1" applyFont="1" applyFill="1" applyBorder="1" applyAlignment="1">
      <x:alignment wrapText="1"/>
    </x:xf>
    <x:xf numFmtId="0" fontId="3" fillId="43" borderId="1" xfId="0" applyNumberFormat="1" applyFont="1" applyFill="1" applyBorder="1" applyAlignment="1">
      <x:alignment vertical="center" wrapText="1"/>
    </x:xf>
    <x:xf numFmtId="0" fontId="3" fillId="36" borderId="0" xfId="0" applyNumberFormat="1" applyFont="1" applyFill="1" applyBorder="1"/>
    <x:xf numFmtId="0" fontId="3" fillId="36" borderId="1" xfId="0" applyNumberFormat="1" applyFont="1" applyFill="1" applyBorder="1"/>
    <x:xf numFmtId="0" fontId="3" fillId="36" borderId="1" xfId="0" applyNumberFormat="1" applyFont="1" applyFill="1" applyBorder="1" applyAlignment="1">
      <x:alignment wrapText="1"/>
    </x:xf>
    <x:xf numFmtId="0" fontId="20" fillId="41" borderId="0" xfId="0" applyNumberFormat="1" applyFont="1" applyFill="1" applyBorder="1"/>
    <x:xf numFmtId="0" fontId="20" fillId="41" borderId="0" xfId="0" applyNumberFormat="1" applyFont="1" applyFill="1" applyBorder="1" applyAlignment="1">
      <x:alignment wrapText="1"/>
    </x:xf>
    <x:xf numFmtId="0" fontId="20" fillId="41" borderId="0" xfId="0" applyNumberFormat="1" applyFont="1" applyFill="1" applyBorder="1" applyAlignment="1">
      <x:alignment vertical="center" wrapText="1"/>
    </x:xf>
    <x:xf numFmtId="202" fontId="9" fillId="37" borderId="1" xfId="0" applyNumberFormat="1" applyFont="1" applyFill="1" applyBorder="1" applyAlignment="1">
      <x:alignment vertical="center" wrapText="1"/>
    </x:xf>
    <x:xf numFmtId="202" fontId="7" fillId="36" borderId="1" xfId="0" applyNumberFormat="1" applyFont="1" applyFill="1" applyBorder="1" applyAlignment="1">
      <x:alignment vertical="center" wrapText="1"/>
    </x:xf>
    <x:xf numFmtId="0" fontId="0" fillId="44" borderId="0" xfId="0" applyNumberFormat="1" applyFont="1" applyFill="1" applyBorder="1"/>
    <x:xf numFmtId="0" fontId="1" fillId="44" borderId="0" xfId="0" applyNumberFormat="1" applyFont="1" applyFill="1" applyBorder="1"/>
    <x:xf numFmtId="0" fontId="1" fillId="44" borderId="0" xfId="0" applyNumberFormat="1" applyFont="1" applyFill="1" applyBorder="1" applyAlignment="1">
      <x:alignment vertical="center"/>
    </x:xf>
    <x:xf numFmtId="0" fontId="0" fillId="45" borderId="0" xfId="0" applyNumberFormat="1" applyFont="1" applyFill="1" applyBorder="1"/>
    <x:xf numFmtId="0" fontId="2" fillId="45" borderId="0" xfId="0" applyNumberFormat="1" applyFont="1" applyFill="1" applyBorder="1"/>
    <x:xf numFmtId="0" fontId="2" fillId="45" borderId="0" xfId="0" applyNumberFormat="1" applyFont="1" applyFill="1" applyBorder="1" applyAlignment="1">
      <x:alignment vertical="center"/>
    </x:xf>
    <x:xf numFmtId="0" fontId="0" fillId="46" borderId="0" xfId="0" applyNumberFormat="1" applyFont="1" applyFill="1" applyBorder="1"/>
    <x:xf numFmtId="0" fontId="3" fillId="46" borderId="0" xfId="0" applyNumberFormat="1" applyFont="1" applyFill="1" applyBorder="1"/>
    <x:xf numFmtId="0" fontId="3" fillId="46" borderId="0" xfId="0" applyNumberFormat="1" applyFont="1" applyFill="1" applyBorder="1" applyAlignment="1">
      <x:alignment wrapText="1"/>
    </x:xf>
    <x:xf numFmtId="0" fontId="3" fillId="46" borderId="0" xfId="0" applyNumberFormat="1" applyFont="1" applyFill="1" applyBorder="1" applyAlignment="1">
      <x:alignment vertical="center" wrapText="1"/>
    </x:xf>
    <x:xf numFmtId="0" fontId="4" fillId="45" borderId="0" xfId="0" applyNumberFormat="1" applyFont="1" applyFill="1" applyBorder="1"/>
    <x:xf numFmtId="0" fontId="4" fillId="45" borderId="1" xfId="0" applyNumberFormat="1" applyFont="1" applyFill="1" applyBorder="1"/>
    <x:xf numFmtId="0" fontId="4" fillId="45" borderId="1" xfId="0" applyNumberFormat="1" applyFont="1" applyFill="1" applyBorder="1" applyAlignment="1">
      <x:alignment wrapText="1"/>
    </x:xf>
    <x:xf numFmtId="0" fontId="4" fillId="45" borderId="1" xfId="0" applyNumberFormat="1" applyFont="1" applyFill="1" applyBorder="1" applyAlignment="1">
      <x:alignment horizontal="center" wrapText="1"/>
    </x:xf>
    <x:xf numFmtId="0" fontId="4" fillId="45" borderId="1" xfId="0" applyNumberFormat="1" applyFont="1" applyFill="1" applyBorder="1" applyAlignment="1">
      <x:alignment horizontal="center" vertical="center" wrapText="1"/>
    </x:xf>
    <x:xf numFmtId="0" fontId="3" fillId="47" borderId="1" xfId="0" applyNumberFormat="1" applyFont="1" applyFill="1" applyBorder="1" applyAlignment="1">
      <x:alignment vertical="center" wrapText="1"/>
    </x:xf>
    <x:xf numFmtId="0" fontId="0" fillId="47" borderId="0" xfId="0" applyNumberFormat="1" applyFont="1" applyFill="1" applyBorder="1"/>
    <x:xf numFmtId="0" fontId="0" fillId="48" borderId="0" xfId="0" applyNumberFormat="1" applyFont="1" applyFill="1" applyBorder="1"/>
    <x:xf numFmtId="0" fontId="11" fillId="48" borderId="0" xfId="0" applyNumberFormat="1" applyFont="1" applyFill="1" applyBorder="1"/>
    <x:xf numFmtId="0" fontId="11" fillId="48" borderId="0" xfId="0" applyNumberFormat="1" applyFont="1" applyFill="1" applyBorder="1" applyAlignment="1">
      <x:alignment vertical="center"/>
    </x:xf>
    <x:xf numFmtId="0" fontId="0" fillId="49" borderId="0" xfId="0" applyNumberFormat="1" applyFont="1" applyFill="1" applyBorder="1"/>
    <x:xf numFmtId="0" fontId="21" fillId="49" borderId="0" xfId="0" applyNumberFormat="1" applyFont="1" applyFill="1" applyBorder="1"/>
    <x:xf numFmtId="0" fontId="21" fillId="49" borderId="0" xfId="0" applyNumberFormat="1" applyFont="1" applyFill="1" applyBorder="1" applyAlignment="1">
      <x:alignment wrapText="1"/>
    </x:xf>
    <x:xf numFmtId="0" fontId="21" fillId="49" borderId="0" xfId="0" applyNumberFormat="1" applyFont="1" applyFill="1" applyBorder="1" applyAlignment="1">
      <x:alignment horizontal="center" wrapText="1"/>
    </x:xf>
    <x:xf numFmtId="0" fontId="21" fillId="49" borderId="0" xfId="0" applyNumberFormat="1" applyFont="1" applyFill="1" applyBorder="1" applyAlignment="1">
      <x:alignment horizontal="center" vertical="center" wrapText="1"/>
    </x:xf>
    <x:xf numFmtId="0" fontId="3" fillId="46" borderId="1" xfId="0" applyNumberFormat="1" applyFont="1" applyFill="1" applyBorder="1" applyAlignment="1">
      <x:alignment vertical="center" wrapText="1"/>
    </x:xf>
    <x:xf numFmtId="0" fontId="18" fillId="46" borderId="1" xfId="0" applyNumberFormat="1" applyFont="1" applyFill="1" applyBorder="1" applyAlignment="1">
      <x:alignment vertical="center" wrapText="1"/>
    </x:xf>
    <x:xf numFmtId="0" fontId="18" fillId="47" borderId="1" xfId="0" applyNumberFormat="1" applyFont="1" applyFill="1" applyBorder="1" applyAlignment="1">
      <x:alignment vertical="center" wrapText="1"/>
    </x:xf>
    <x:xf numFmtId="206" fontId="3" fillId="47" borderId="1" xfId="0" applyNumberFormat="1" applyFont="1" applyFill="1" applyBorder="1" applyAlignment="1">
      <x:alignment vertical="center" wrapText="1"/>
    </x:xf>
    <x:xf numFmtId="0" fontId="0" fillId="50" borderId="0" xfId="0" applyNumberFormat="1" applyFont="1" applyFill="1" applyBorder="1"/>
    <x:xf numFmtId="0" fontId="22" fillId="50" borderId="0" xfId="0" applyNumberFormat="1" applyFont="1" applyFill="1" applyBorder="1"/>
    <x:xf numFmtId="0" fontId="22" fillId="50" borderId="0" xfId="0" applyNumberFormat="1" applyFont="1" applyFill="1" applyBorder="1" applyAlignment="1">
      <x:alignment wrapText="1"/>
    </x:xf>
    <x:xf numFmtId="0" fontId="22" fillId="50" borderId="0" xfId="0" applyNumberFormat="1" applyFont="1" applyFill="1" applyBorder="1" applyAlignment="1">
      <x:alignment vertical="center" wrapText="1"/>
    </x:xf>
    <x:xf numFmtId="202" fontId="3" fillId="47" borderId="1" xfId="0" applyNumberFormat="1" applyFont="1" applyFill="1" applyBorder="1" applyAlignment="1">
      <x:alignment vertical="center" wrapText="1"/>
    </x:xf>
    <x:xf numFmtId="212" fontId="3" fillId="0" borderId="1" xfId="0" applyNumberFormat="1" applyFont="1" applyFill="1" applyBorder="1" applyAlignment="1">
      <x:alignment vertical="center" wrapText="1"/>
    </x:xf>
    <x:xf numFmtId="212" fontId="3" fillId="47" borderId="1" xfId="0" applyNumberFormat="1" applyFont="1" applyFill="1" applyBorder="1" applyAlignment="1">
      <x:alignment vertical="center" wrapText="1"/>
    </x:xf>
    <x:xf numFmtId="202" fontId="3" fillId="46" borderId="1" xfId="0" applyNumberFormat="1" applyFont="1" applyFill="1" applyBorder="1" applyAlignment="1">
      <x:alignment vertical="center" wrapText="1"/>
    </x:xf>
    <x:xf numFmtId="212" fontId="3" fillId="51" borderId="1" xfId="0" applyNumberFormat="1" applyFont="1" applyFill="1" applyBorder="1" applyAlignment="1">
      <x:alignment vertical="center" wrapText="1"/>
    </x:xf>
    <x:xf numFmtId="0" fontId="8" fillId="47" borderId="1" xfId="0" applyNumberFormat="1" applyFont="1" applyFill="1" applyBorder="1" applyAlignment="1">
      <x:alignment vertical="center" wrapText="1"/>
    </x:xf>
    <x:xf numFmtId="202" fontId="8" fillId="46" borderId="1" xfId="0" applyNumberFormat="1" applyFont="1" applyFill="1" applyBorder="1" applyAlignment="1">
      <x:alignment vertical="center" wrapText="1"/>
    </x:xf>
    <x:xf numFmtId="202" fontId="8" fillId="47" borderId="1" xfId="0" applyNumberFormat="1" applyFont="1" applyFill="1" applyBorder="1" applyAlignment="1">
      <x:alignment vertical="center" wrapText="1"/>
    </x:xf>
    <x:xf numFmtId="212" fontId="3" fillId="49" borderId="1" xfId="0" applyNumberFormat="1" applyFont="1" applyFill="1" applyBorder="1" applyAlignment="1">
      <x:alignment vertical="center" wrapText="1"/>
    </x:xf>
    <x:xf numFmtId="212" fontId="14" fillId="49" borderId="1" xfId="0" applyNumberFormat="1" applyFont="1" applyFill="1" applyBorder="1" applyAlignment="1">
      <x:alignment vertical="center" wrapText="1"/>
    </x:xf>
    <x:xf numFmtId="213" fontId="3" fillId="47" borderId="1" xfId="0" applyNumberFormat="1" applyFont="1" applyFill="1" applyBorder="1" applyAlignment="1">
      <x:alignment vertical="center" wrapText="1"/>
    </x:xf>
    <x:xf numFmtId="213" fontId="3" fillId="50" borderId="1" xfId="0" applyNumberFormat="1" applyFont="1" applyFill="1" applyBorder="1" applyAlignment="1">
      <x:alignment vertical="center" wrapText="1"/>
    </x:xf>
    <x:xf numFmtId="213" fontId="13" fillId="50" borderId="1" xfId="0" applyNumberFormat="1" applyFont="1" applyFill="1" applyBorder="1" applyAlignment="1">
      <x:alignment vertical="center" wrapText="1"/>
    </x:xf>
    <x:xf numFmtId="202" fontId="3" fillId="51" borderId="1" xfId="0" applyNumberFormat="1" applyFont="1" applyFill="1" applyBorder="1" applyAlignment="1">
      <x:alignment vertical="center" wrapText="1"/>
    </x:xf>
    <x:xf numFmtId="212" fontId="8" fillId="0" borderId="1" xfId="0" applyNumberFormat="1" applyFont="1" applyFill="1" applyBorder="1" applyAlignment="1">
      <x:alignment vertical="center" wrapText="1"/>
    </x:xf>
    <x:xf numFmtId="212" fontId="8" fillId="47" borderId="1" xfId="0" applyNumberFormat="1" applyFont="1" applyFill="1" applyBorder="1" applyAlignment="1">
      <x:alignment vertical="center" wrapText="1"/>
    </x:xf>
    <x:xf numFmtId="212" fontId="8" fillId="51" borderId="1" xfId="0" applyNumberFormat="1" applyFont="1" applyFill="1" applyBorder="1" applyAlignment="1">
      <x:alignment vertical="center" wrapText="1"/>
    </x:xf>
    <x:xf numFmtId="202" fontId="23" fillId="51" borderId="1" xfId="0" applyNumberFormat="1" applyFont="1" applyFill="1" applyBorder="1" applyAlignment="1">
      <x:alignment vertical="center" wrapText="1"/>
    </x:xf>
    <x:xf numFmtId="202" fontId="3" fillId="49" borderId="1" xfId="0" applyNumberFormat="1" applyFont="1" applyFill="1" applyBorder="1" applyAlignment="1">
      <x:alignment vertical="center" wrapText="1"/>
    </x:xf>
    <x:xf numFmtId="202" fontId="14" fillId="49" borderId="1" xfId="0" applyNumberFormat="1" applyFont="1" applyFill="1" applyBorder="1" applyAlignment="1">
      <x:alignment vertical="center" wrapText="1"/>
    </x:xf>
    <x:xf numFmtId="205" fontId="3" fillId="47" borderId="1" xfId="0" applyNumberFormat="1" applyFont="1" applyFill="1" applyBorder="1" applyAlignment="1">
      <x:alignment vertical="center" wrapText="1"/>
    </x:xf>
    <x:xf numFmtId="205" fontId="3" fillId="51" borderId="1" xfId="0" applyNumberFormat="1" applyFont="1" applyFill="1" applyBorder="1" applyAlignment="1">
      <x:alignment vertical="center" wrapText="1"/>
    </x:xf>
    <x:xf numFmtId="205" fontId="23" fillId="51" borderId="1" xfId="0" applyNumberFormat="1" applyFont="1" applyFill="1" applyBorder="1" applyAlignment="1">
      <x:alignment vertical="center" wrapText="1"/>
    </x:xf>
    <x:xf numFmtId="0" fontId="24" fillId="49" borderId="0" xfId="0" applyNumberFormat="1" applyFont="1" applyFill="1" applyBorder="1"/>
    <x:xf numFmtId="0" fontId="24" fillId="49" borderId="0" xfId="0" applyNumberFormat="1" applyFont="1" applyFill="1" applyBorder="1" applyAlignment="1">
      <x:alignment wrapText="1"/>
    </x:xf>
    <x:xf numFmtId="0" fontId="24" fillId="49" borderId="0" xfId="0" applyNumberFormat="1" applyFont="1" applyFill="1" applyBorder="1" applyAlignment="1">
      <x:alignment vertical="center" wrapText="1"/>
    </x:xf>
    <x:xf numFmtId="212" fontId="3" fillId="5" borderId="1" xfId="0" applyNumberFormat="1" applyFont="1" applyFill="1" applyBorder="1" applyAlignment="1">
      <x:alignment vertical="center" wrapText="1"/>
    </x:xf>
    <x:xf numFmtId="0" fontId="0" fillId="52" borderId="0" xfId="0" applyNumberFormat="1" applyFont="1" applyFill="1" applyBorder="1"/>
    <x:xf numFmtId="0" fontId="1" fillId="52" borderId="0" xfId="0" applyNumberFormat="1" applyFont="1" applyFill="1" applyBorder="1"/>
    <x:xf numFmtId="0" fontId="1" fillId="52" borderId="0" xfId="0" applyNumberFormat="1" applyFont="1" applyFill="1" applyBorder="1" applyAlignment="1">
      <x:alignment vertical="center"/>
    </x:xf>
    <x:xf numFmtId="0" fontId="0" fillId="53" borderId="0" xfId="0" applyNumberFormat="1" applyFont="1" applyFill="1" applyBorder="1"/>
    <x:xf numFmtId="0" fontId="2" fillId="53" borderId="0" xfId="0" applyNumberFormat="1" applyFont="1" applyFill="1" applyBorder="1"/>
    <x:xf numFmtId="0" fontId="2" fillId="53" borderId="0" xfId="0" applyNumberFormat="1" applyFont="1" applyFill="1" applyBorder="1" applyAlignment="1">
      <x:alignment vertical="center"/>
    </x:xf>
    <x:xf numFmtId="0" fontId="0" fillId="54" borderId="0" xfId="0" applyNumberFormat="1" applyFont="1" applyFill="1" applyBorder="1"/>
    <x:xf numFmtId="0" fontId="3" fillId="54" borderId="0" xfId="0" applyNumberFormat="1" applyFont="1" applyFill="1" applyBorder="1"/>
    <x:xf numFmtId="0" fontId="3" fillId="54" borderId="0" xfId="0" applyNumberFormat="1" applyFont="1" applyFill="1" applyBorder="1" applyAlignment="1">
      <x:alignment wrapText="1"/>
    </x:xf>
    <x:xf numFmtId="0" fontId="3" fillId="54" borderId="0" xfId="0" applyNumberFormat="1" applyFont="1" applyFill="1" applyBorder="1" applyAlignment="1">
      <x:alignment vertical="center" wrapText="1"/>
    </x:xf>
    <x:xf numFmtId="0" fontId="4" fillId="53" borderId="0" xfId="0" applyNumberFormat="1" applyFont="1" applyFill="1" applyBorder="1"/>
    <x:xf numFmtId="0" fontId="4" fillId="53" borderId="1" xfId="0" applyNumberFormat="1" applyFont="1" applyFill="1" applyBorder="1"/>
    <x:xf numFmtId="0" fontId="4" fillId="53" borderId="1" xfId="0" applyNumberFormat="1" applyFont="1" applyFill="1" applyBorder="1" applyAlignment="1">
      <x:alignment wrapText="1"/>
    </x:xf>
    <x:xf numFmtId="0" fontId="4" fillId="53" borderId="1" xfId="0" applyNumberFormat="1" applyFont="1" applyFill="1" applyBorder="1" applyAlignment="1">
      <x:alignment horizontal="center" wrapText="1"/>
    </x:xf>
    <x:xf numFmtId="0" fontId="4" fillId="53" borderId="1" xfId="0" applyNumberFormat="1" applyFont="1" applyFill="1" applyBorder="1" applyAlignment="1">
      <x:alignment horizontal="center" vertical="center" wrapText="1"/>
    </x:xf>
    <x:xf numFmtId="0" fontId="3" fillId="55" borderId="1" xfId="0" applyNumberFormat="1" applyFont="1" applyFill="1" applyBorder="1" applyAlignment="1">
      <x:alignment vertical="center" wrapText="1"/>
    </x:xf>
    <x:xf numFmtId="0" fontId="0" fillId="56" borderId="0" xfId="0" applyNumberFormat="1" applyFont="1" applyFill="1" applyBorder="1"/>
    <x:xf numFmtId="0" fontId="11" fillId="56" borderId="0" xfId="0" applyNumberFormat="1" applyFont="1" applyFill="1" applyBorder="1"/>
    <x:xf numFmtId="0" fontId="11" fillId="56" borderId="0" xfId="0" applyNumberFormat="1" applyFont="1" applyFill="1" applyBorder="1" applyAlignment="1">
      <x:alignment vertical="center"/>
    </x:xf>
    <x:xf numFmtId="211" fontId="3" fillId="55" borderId="1" xfId="0" applyNumberFormat="1" applyFont="1" applyFill="1" applyBorder="1" applyAlignment="1">
      <x:alignment vertical="center" wrapText="1"/>
    </x:xf>
    <x:xf numFmtId="208" fontId="3" fillId="55" borderId="1" xfId="0" applyNumberFormat="1" applyFont="1" applyFill="1" applyBorder="1" applyAlignment="1">
      <x:alignment vertical="center" wrapText="1"/>
    </x:xf>
    <x:xf numFmtId="211" fontId="3" fillId="57" borderId="1" xfId="0" applyNumberFormat="1" applyFont="1" applyFill="1" applyBorder="1" applyAlignment="1">
      <x:alignment vertical="center" wrapText="1"/>
    </x:xf>
    <x:xf numFmtId="211" fontId="9" fillId="57" borderId="1" xfId="0" applyNumberFormat="1" applyFont="1" applyFill="1" applyBorder="1" applyAlignment="1">
      <x:alignment vertical="center" wrapText="1"/>
    </x:xf>
    <x:xf numFmtId="214" fontId="3" fillId="0" borderId="1" xfId="0" applyNumberFormat="1" applyFont="1" applyFill="1" applyBorder="1" applyAlignment="1">
      <x:alignment vertical="center" wrapText="1"/>
    </x:xf>
    <x:xf numFmtId="214" fontId="3" fillId="55" borderId="1" xfId="0" applyNumberFormat="1" applyFont="1" applyFill="1" applyBorder="1" applyAlignment="1">
      <x:alignment vertical="center" wrapText="1"/>
    </x:xf>
    <x:xf numFmtId="0" fontId="0" fillId="58" borderId="0" xfId="0" applyNumberFormat="1" applyFont="1" applyFill="1" applyBorder="1"/>
    <x:xf numFmtId="0" fontId="21" fillId="58" borderId="0" xfId="0" applyNumberFormat="1" applyFont="1" applyFill="1" applyBorder="1"/>
    <x:xf numFmtId="0" fontId="21" fillId="58" borderId="1" xfId="0" applyNumberFormat="1" applyFont="1" applyFill="1" applyBorder="1"/>
    <x:xf numFmtId="0" fontId="21" fillId="58" borderId="1" xfId="0" applyNumberFormat="1" applyFont="1" applyFill="1" applyBorder="1" applyAlignment="1">
      <x:alignment wrapText="1"/>
    </x:xf>
    <x:xf numFmtId="0" fontId="21" fillId="58" borderId="1" xfId="0" applyNumberFormat="1" applyFont="1" applyFill="1" applyBorder="1" applyAlignment="1">
      <x:alignment vertical="center" wrapText="1"/>
    </x:xf>
    <x:xf numFmtId="0" fontId="0" fillId="59" borderId="0" xfId="0" applyNumberFormat="1" applyFont="1" applyFill="1" applyBorder="1"/>
    <x:xf numFmtId="0" fontId="1" fillId="59" borderId="0" xfId="0" applyNumberFormat="1" applyFont="1" applyFill="1" applyBorder="1"/>
    <x:xf numFmtId="0" fontId="1" fillId="59" borderId="0" xfId="0" applyNumberFormat="1" applyFont="1" applyFill="1" applyBorder="1" applyAlignment="1">
      <x:alignment vertical="center"/>
    </x:xf>
    <x:xf numFmtId="0" fontId="0" fillId="60" borderId="0" xfId="0" applyNumberFormat="1" applyFont="1" applyFill="1" applyBorder="1"/>
    <x:xf numFmtId="0" fontId="2" fillId="60" borderId="0" xfId="0" applyNumberFormat="1" applyFont="1" applyFill="1" applyBorder="1"/>
    <x:xf numFmtId="0" fontId="2" fillId="60" borderId="0" xfId="0" applyNumberFormat="1" applyFont="1" applyFill="1" applyBorder="1" applyAlignment="1">
      <x:alignment vertical="center"/>
    </x:xf>
    <x:xf numFmtId="0" fontId="0" fillId="61" borderId="0" xfId="0" applyNumberFormat="1" applyFont="1" applyFill="1" applyBorder="1"/>
    <x:xf numFmtId="0" fontId="3" fillId="61" borderId="0" xfId="0" applyNumberFormat="1" applyFont="1" applyFill="1" applyBorder="1"/>
    <x:xf numFmtId="0" fontId="3" fillId="61" borderId="0" xfId="0" applyNumberFormat="1" applyFont="1" applyFill="1" applyBorder="1" applyAlignment="1">
      <x:alignment wrapText="1"/>
    </x:xf>
    <x:xf numFmtId="0" fontId="3" fillId="61" borderId="0" xfId="0" applyNumberFormat="1" applyFont="1" applyFill="1" applyBorder="1" applyAlignment="1">
      <x:alignment vertical="center" wrapText="1"/>
    </x:xf>
    <x:xf numFmtId="0" fontId="4" fillId="60" borderId="0" xfId="0" applyNumberFormat="1" applyFont="1" applyFill="1" applyBorder="1"/>
    <x:xf numFmtId="0" fontId="4" fillId="60" borderId="1" xfId="0" applyNumberFormat="1" applyFont="1" applyFill="1" applyBorder="1"/>
    <x:xf numFmtId="0" fontId="4" fillId="60" borderId="1" xfId="0" applyNumberFormat="1" applyFont="1" applyFill="1" applyBorder="1" applyAlignment="1">
      <x:alignment wrapText="1"/>
    </x:xf>
    <x:xf numFmtId="0" fontId="4" fillId="60" borderId="1" xfId="0" applyNumberFormat="1" applyFont="1" applyFill="1" applyBorder="1" applyAlignment="1">
      <x:alignment horizontal="center" wrapText="1"/>
    </x:xf>
    <x:xf numFmtId="0" fontId="4" fillId="60" borderId="1" xfId="0" applyNumberFormat="1" applyFont="1" applyFill="1" applyBorder="1" applyAlignment="1">
      <x:alignment horizontal="center" vertical="center" wrapText="1"/>
    </x:xf>
    <x:xf numFmtId="0" fontId="3" fillId="62" borderId="1" xfId="0" applyNumberFormat="1" applyFont="1" applyFill="1" applyBorder="1" applyAlignment="1">
      <x:alignment vertical="center" wrapText="1"/>
    </x:xf>
    <x:xf numFmtId="0" fontId="0" fillId="63" borderId="0" xfId="0" applyNumberFormat="1" applyFont="1" applyFill="1" applyBorder="1"/>
    <x:xf numFmtId="0" fontId="11" fillId="63" borderId="0" xfId="0" applyNumberFormat="1" applyFont="1" applyFill="1" applyBorder="1"/>
    <x:xf numFmtId="0" fontId="11" fillId="63" borderId="0" xfId="0" applyNumberFormat="1" applyFont="1" applyFill="1" applyBorder="1" applyAlignment="1">
      <x:alignment vertical="center"/>
    </x:xf>
    <x:xf numFmtId="208" fontId="3" fillId="62" borderId="1" xfId="0" applyNumberFormat="1" applyFont="1" applyFill="1" applyBorder="1" applyAlignment="1">
      <x:alignment vertical="center" wrapText="1"/>
    </x:xf>
    <x:xf numFmtId="211" fontId="3" fillId="62" borderId="1" xfId="0" applyNumberFormat="1" applyFont="1" applyFill="1" applyBorder="1" applyAlignment="1">
      <x:alignment vertical="center" wrapText="1"/>
    </x:xf>
    <x:xf numFmtId="206" fontId="3" fillId="5" borderId="1" xfId="0" applyNumberFormat="1" applyFont="1" applyFill="1" applyBorder="1" applyAlignment="1">
      <x:alignment vertical="center" wrapText="1"/>
    </x:xf>
    <x:xf numFmtId="0" fontId="0" fillId="64" borderId="0" xfId="0" applyNumberFormat="1" applyFont="1" applyFill="1" applyBorder="1"/>
    <x:xf numFmtId="0" fontId="1" fillId="64" borderId="0" xfId="0" applyNumberFormat="1" applyFont="1" applyFill="1" applyBorder="1"/>
    <x:xf numFmtId="0" fontId="1" fillId="64" borderId="0" xfId="0" applyNumberFormat="1" applyFont="1" applyFill="1" applyBorder="1" applyAlignment="1">
      <x:alignment vertical="center"/>
    </x:xf>
    <x:xf numFmtId="0" fontId="0" fillId="65" borderId="0" xfId="0" applyNumberFormat="1" applyFont="1" applyFill="1" applyBorder="1"/>
    <x:xf numFmtId="0" fontId="2" fillId="65" borderId="0" xfId="0" applyNumberFormat="1" applyFont="1" applyFill="1" applyBorder="1"/>
    <x:xf numFmtId="0" fontId="2" fillId="65" borderId="0" xfId="0" applyNumberFormat="1" applyFont="1" applyFill="1" applyBorder="1" applyAlignment="1">
      <x:alignment vertical="center"/>
    </x:xf>
    <x:xf numFmtId="0" fontId="0" fillId="66" borderId="0" xfId="0" applyNumberFormat="1" applyFont="1" applyFill="1" applyBorder="1"/>
    <x:xf numFmtId="0" fontId="3" fillId="66" borderId="0" xfId="0" applyNumberFormat="1" applyFont="1" applyFill="1" applyBorder="1"/>
    <x:xf numFmtId="0" fontId="3" fillId="66" borderId="0" xfId="0" applyNumberFormat="1" applyFont="1" applyFill="1" applyBorder="1" applyAlignment="1">
      <x:alignment wrapText="1"/>
    </x:xf>
    <x:xf numFmtId="0" fontId="3" fillId="66" borderId="0" xfId="0" applyNumberFormat="1" applyFont="1" applyFill="1" applyBorder="1" applyAlignment="1">
      <x:alignment vertical="center" wrapText="1"/>
    </x:xf>
    <x:xf numFmtId="0" fontId="4" fillId="65" borderId="0" xfId="0" applyNumberFormat="1" applyFont="1" applyFill="1" applyBorder="1"/>
    <x:xf numFmtId="0" fontId="4" fillId="65" borderId="1" xfId="0" applyNumberFormat="1" applyFont="1" applyFill="1" applyBorder="1"/>
    <x:xf numFmtId="0" fontId="4" fillId="65" borderId="1" xfId="0" applyNumberFormat="1" applyFont="1" applyFill="1" applyBorder="1" applyAlignment="1">
      <x:alignment wrapText="1"/>
    </x:xf>
    <x:xf numFmtId="0" fontId="4" fillId="65" borderId="1" xfId="0" applyNumberFormat="1" applyFont="1" applyFill="1" applyBorder="1" applyAlignment="1">
      <x:alignment horizontal="center" wrapText="1"/>
    </x:xf>
    <x:xf numFmtId="0" fontId="4" fillId="65" borderId="1" xfId="0" applyNumberFormat="1" applyFont="1" applyFill="1" applyBorder="1" applyAlignment="1">
      <x:alignment horizontal="center" vertical="center" wrapText="1"/>
    </x:xf>
    <x:xf numFmtId="0" fontId="3" fillId="67" borderId="1" xfId="0" applyNumberFormat="1" applyFont="1" applyFill="1" applyBorder="1" applyAlignment="1">
      <x:alignment vertical="center" wrapText="1"/>
    </x:xf>
    <x:xf numFmtId="0" fontId="0" fillId="68" borderId="0" xfId="0" applyNumberFormat="1" applyFont="1" applyFill="1" applyBorder="1"/>
    <x:xf numFmtId="0" fontId="11" fillId="68" borderId="0" xfId="0" applyNumberFormat="1" applyFont="1" applyFill="1" applyBorder="1"/>
    <x:xf numFmtId="0" fontId="11" fillId="68" borderId="0" xfId="0" applyNumberFormat="1" applyFont="1" applyFill="1" applyBorder="1" applyAlignment="1">
      <x:alignment vertical="center"/>
    </x:xf>
    <x:xf numFmtId="0" fontId="0" fillId="69" borderId="0" xfId="0" applyNumberFormat="1" applyFont="1" applyFill="1" applyBorder="1"/>
    <x:xf numFmtId="0" fontId="1" fillId="69" borderId="0" xfId="0" applyNumberFormat="1" applyFont="1" applyFill="1" applyBorder="1"/>
    <x:xf numFmtId="0" fontId="1" fillId="69" borderId="0" xfId="0" applyNumberFormat="1" applyFont="1" applyFill="1" applyBorder="1" applyAlignment="1">
      <x:alignment vertical="center"/>
    </x:xf>
    <x:xf numFmtId="0" fontId="0" fillId="70" borderId="0" xfId="0" applyNumberFormat="1" applyFont="1" applyFill="1" applyBorder="1"/>
    <x:xf numFmtId="0" fontId="2" fillId="70" borderId="0" xfId="0" applyNumberFormat="1" applyFont="1" applyFill="1" applyBorder="1"/>
    <x:xf numFmtId="0" fontId="2" fillId="70" borderId="0" xfId="0" applyNumberFormat="1" applyFont="1" applyFill="1" applyBorder="1" applyAlignment="1">
      <x:alignment vertical="center"/>
    </x:xf>
    <x:xf numFmtId="0" fontId="0" fillId="71" borderId="0" xfId="0" applyNumberFormat="1" applyFont="1" applyFill="1" applyBorder="1"/>
    <x:xf numFmtId="0" fontId="3" fillId="71" borderId="0" xfId="0" applyNumberFormat="1" applyFont="1" applyFill="1" applyBorder="1"/>
    <x:xf numFmtId="0" fontId="3" fillId="71" borderId="0" xfId="0" applyNumberFormat="1" applyFont="1" applyFill="1" applyBorder="1" applyAlignment="1">
      <x:alignment wrapText="1"/>
    </x:xf>
    <x:xf numFmtId="0" fontId="3" fillId="71" borderId="0" xfId="0" applyNumberFormat="1" applyFont="1" applyFill="1" applyBorder="1" applyAlignment="1">
      <x:alignment vertical="center" wrapText="1"/>
    </x:xf>
    <x:xf numFmtId="0" fontId="4" fillId="70" borderId="0" xfId="0" applyNumberFormat="1" applyFont="1" applyFill="1" applyBorder="1"/>
    <x:xf numFmtId="0" fontId="4" fillId="70" borderId="1" xfId="0" applyNumberFormat="1" applyFont="1" applyFill="1" applyBorder="1"/>
    <x:xf numFmtId="0" fontId="4" fillId="70" borderId="1" xfId="0" applyNumberFormat="1" applyFont="1" applyFill="1" applyBorder="1" applyAlignment="1">
      <x:alignment wrapText="1"/>
    </x:xf>
    <x:xf numFmtId="0" fontId="4" fillId="70" borderId="1" xfId="0" applyNumberFormat="1" applyFont="1" applyFill="1" applyBorder="1" applyAlignment="1">
      <x:alignment horizontal="center" wrapText="1"/>
    </x:xf>
    <x:xf numFmtId="0" fontId="4" fillId="70" borderId="1" xfId="0" applyNumberFormat="1" applyFont="1" applyFill="1" applyBorder="1" applyAlignment="1">
      <x:alignment horizontal="center" vertical="center" wrapText="1"/>
    </x:xf>
    <x:xf numFmtId="0" fontId="3" fillId="72" borderId="1" xfId="0" applyNumberFormat="1" applyFont="1" applyFill="1" applyBorder="1" applyAlignment="1">
      <x:alignment vertical="center" wrapText="1"/>
    </x:xf>
    <x:xf numFmtId="0" fontId="0" fillId="73" borderId="0" xfId="0" applyNumberFormat="1" applyFont="1" applyFill="1" applyBorder="1"/>
    <x:xf numFmtId="0" fontId="11" fillId="73" borderId="0" xfId="0" applyNumberFormat="1" applyFont="1" applyFill="1" applyBorder="1"/>
    <x:xf numFmtId="0" fontId="11" fillId="73" borderId="0" xfId="0" applyNumberFormat="1" applyFont="1" applyFill="1" applyBorder="1" applyAlignment="1">
      <x:alignment vertical="center"/>
    </x:xf>
    <x:xf numFmtId="215" fontId="3" fillId="0" borderId="1" xfId="0" applyNumberFormat="1" applyFont="1" applyFill="1" applyBorder="1" applyAlignment="1">
      <x:alignment vertical="center" wrapText="1"/>
    </x:xf>
    <x:xf numFmtId="215" fontId="3" fillId="72" borderId="1" xfId="0" applyNumberFormat="1" applyFont="1" applyFill="1" applyBorder="1" applyAlignment="1">
      <x:alignment vertical="center" wrapText="1"/>
    </x:xf>
    <x:xf numFmtId="216" fontId="3" fillId="0" borderId="1" xfId="0" applyNumberFormat="1" applyFont="1" applyFill="1" applyBorder="1" applyAlignment="1">
      <x:alignment vertical="center" wrapText="1"/>
    </x:xf>
    <x:xf numFmtId="216" fontId="3" fillId="72" borderId="1" xfId="0" applyNumberFormat="1" applyFont="1" applyFill="1" applyBorder="1" applyAlignment="1">
      <x:alignment vertical="center" wrapText="1"/>
    </x:xf>
    <x:xf numFmtId="201" fontId="3" fillId="72" borderId="1" xfId="0" applyNumberFormat="1" applyFont="1" applyFill="1" applyBorder="1" applyAlignment="1">
      <x:alignment vertical="center" wrapText="1"/>
    </x:xf>
    <x:xf numFmtId="213" fontId="3" fillId="72" borderId="1" xfId="0" applyNumberFormat="1" applyFont="1" applyFill="1" applyBorder="1" applyAlignment="1">
      <x:alignment vertical="center" wrapText="1"/>
    </x:xf>
    <x:xf numFmtId="213" fontId="3" fillId="0" borderId="1" xfId="0" applyNumberFormat="1" applyFont="1" applyFill="1" applyBorder="1" applyAlignment="1">
      <x:alignment vertical="center" wrapText="1"/>
    </x:xf>
    <x:xf numFmtId="217" fontId="3" fillId="72" borderId="1" xfId="0" applyNumberFormat="1" applyFont="1" applyFill="1" applyBorder="1" applyAlignment="1">
      <x:alignment vertical="center" wrapText="1"/>
    </x:xf>
    <x:xf numFmtId="217" fontId="3" fillId="0" borderId="1" xfId="0" applyNumberFormat="1" applyFont="1" applyFill="1" applyBorder="1" applyAlignment="1">
      <x:alignment vertical="center" wrapText="1"/>
    </x:xf>
    <x:xf numFmtId="0" fontId="0" fillId="72" borderId="0" xfId="0" applyNumberFormat="1" applyFont="1" applyFill="1" applyBorder="1"/>
    <x:xf numFmtId="0" fontId="0" fillId="74" borderId="0" xfId="0" applyNumberFormat="1" applyFont="1" applyFill="1" applyBorder="1"/>
    <x:xf numFmtId="0" fontId="3" fillId="74" borderId="0" xfId="0" applyNumberFormat="1" applyFont="1" applyFill="1" applyBorder="1"/>
    <x:xf numFmtId="0" fontId="3" fillId="74" borderId="1" xfId="0" applyNumberFormat="1" applyFont="1" applyFill="1" applyBorder="1"/>
    <x:xf numFmtId="0" fontId="3" fillId="74" borderId="1" xfId="0" applyNumberFormat="1" applyFont="1" applyFill="1" applyBorder="1" applyAlignment="1">
      <x:alignment wrapText="1"/>
    </x:xf>
    <x:xf numFmtId="0" fontId="3" fillId="74" borderId="1" xfId="0" applyNumberFormat="1" applyFont="1" applyFill="1" applyBorder="1" applyAlignment="1">
      <x:alignment vertical="center" wrapText="1"/>
    </x:xf>
    <x:xf numFmtId="213" fontId="3" fillId="74" borderId="1" xfId="0" applyNumberFormat="1" applyFont="1" applyFill="1" applyBorder="1" applyAlignment="1">
      <x:alignment vertical="center" wrapText="1"/>
    </x:xf>
    <x:xf numFmtId="0" fontId="0" fillId="75" borderId="0" xfId="0" applyNumberFormat="1" applyFont="1" applyFill="1" applyBorder="1"/>
    <x:xf numFmtId="0" fontId="1" fillId="75" borderId="0" xfId="0" applyNumberFormat="1" applyFont="1" applyFill="1" applyBorder="1"/>
    <x:xf numFmtId="0" fontId="1" fillId="75" borderId="0" xfId="0" applyNumberFormat="1" applyFont="1" applyFill="1" applyBorder="1" applyAlignment="1">
      <x:alignment vertical="center"/>
    </x:xf>
    <x:xf numFmtId="0" fontId="0" fillId="76" borderId="0" xfId="0" applyNumberFormat="1" applyFont="1" applyFill="1" applyBorder="1"/>
    <x:xf numFmtId="0" fontId="2" fillId="76" borderId="0" xfId="0" applyNumberFormat="1" applyFont="1" applyFill="1" applyBorder="1"/>
    <x:xf numFmtId="0" fontId="2" fillId="76" borderId="0" xfId="0" applyNumberFormat="1" applyFont="1" applyFill="1" applyBorder="1" applyAlignment="1">
      <x:alignment vertical="center"/>
    </x:xf>
    <x:xf numFmtId="0" fontId="0" fillId="77" borderId="0" xfId="0" applyNumberFormat="1" applyFont="1" applyFill="1" applyBorder="1"/>
    <x:xf numFmtId="0" fontId="3" fillId="77" borderId="0" xfId="0" applyNumberFormat="1" applyFont="1" applyFill="1" applyBorder="1"/>
    <x:xf numFmtId="0" fontId="3" fillId="77" borderId="0" xfId="0" applyNumberFormat="1" applyFont="1" applyFill="1" applyBorder="1" applyAlignment="1">
      <x:alignment wrapText="1"/>
    </x:xf>
    <x:xf numFmtId="0" fontId="3" fillId="77" borderId="0" xfId="0" applyNumberFormat="1" applyFont="1" applyFill="1" applyBorder="1" applyAlignment="1">
      <x:alignment vertical="center" wrapText="1"/>
    </x:xf>
    <x:xf numFmtId="0" fontId="4" fillId="76" borderId="0" xfId="0" applyNumberFormat="1" applyFont="1" applyFill="1" applyBorder="1"/>
    <x:xf numFmtId="0" fontId="4" fillId="76" borderId="1" xfId="0" applyNumberFormat="1" applyFont="1" applyFill="1" applyBorder="1"/>
    <x:xf numFmtId="0" fontId="4" fillId="76" borderId="1" xfId="0" applyNumberFormat="1" applyFont="1" applyFill="1" applyBorder="1" applyAlignment="1">
      <x:alignment wrapText="1"/>
    </x:xf>
    <x:xf numFmtId="0" fontId="4" fillId="76" borderId="1" xfId="0" applyNumberFormat="1" applyFont="1" applyFill="1" applyBorder="1" applyAlignment="1">
      <x:alignment horizontal="center" wrapText="1"/>
    </x:xf>
    <x:xf numFmtId="0" fontId="4" fillId="76" borderId="1" xfId="0" applyNumberFormat="1" applyFont="1" applyFill="1" applyBorder="1" applyAlignment="1">
      <x:alignment horizontal="center" vertical="center" wrapText="1"/>
    </x:xf>
    <x:xf numFmtId="0" fontId="3" fillId="78" borderId="1" xfId="0" applyNumberFormat="1" applyFont="1" applyFill="1" applyBorder="1" applyAlignment="1">
      <x:alignment vertical="center" wrapText="1"/>
    </x:xf>
    <x:xf numFmtId="0" fontId="0" fillId="79" borderId="0" xfId="0" applyNumberFormat="1" applyFont="1" applyFill="1" applyBorder="1"/>
    <x:xf numFmtId="0" fontId="11" fillId="79" borderId="0" xfId="0" applyNumberFormat="1" applyFont="1" applyFill="1" applyBorder="1"/>
    <x:xf numFmtId="0" fontId="11" fillId="79" borderId="0" xfId="0" applyNumberFormat="1" applyFont="1" applyFill="1" applyBorder="1" applyAlignment="1">
      <x:alignment vertical="center"/>
    </x:xf>
    <x:xf numFmtId="218" fontId="3" fillId="0" borderId="1" xfId="0" applyNumberFormat="1" applyFont="1" applyFill="1" applyBorder="1" applyAlignment="1">
      <x:alignment vertical="center" wrapText="1"/>
    </x:xf>
    <x:xf numFmtId="218" fontId="3" fillId="78" borderId="1" xfId="0" applyNumberFormat="1" applyFont="1" applyFill="1" applyBorder="1" applyAlignment="1">
      <x:alignment vertical="center" wrapText="1"/>
    </x:xf>
    <x:xf numFmtId="201" fontId="3" fillId="78" borderId="1" xfId="0" applyNumberFormat="1" applyFont="1" applyFill="1" applyBorder="1" applyAlignment="1">
      <x:alignment vertical="center" wrapText="1"/>
    </x:xf>
    <x:xf numFmtId="213" fontId="3" fillId="78" borderId="1" xfId="0" applyNumberFormat="1" applyFont="1" applyFill="1" applyBorder="1" applyAlignment="1">
      <x:alignment vertical="center" wrapText="1"/>
    </x:xf>
    <x:xf numFmtId="215" fontId="3" fillId="78" borderId="1" xfId="0" applyNumberFormat="1" applyFont="1" applyFill="1" applyBorder="1" applyAlignment="1">
      <x:alignment vertical="center" wrapText="1"/>
    </x:xf>
    <x:xf numFmtId="201" fontId="25" fillId="0" borderId="1" xfId="0" applyNumberFormat="1" applyFont="1" applyFill="1" applyBorder="1" applyAlignment="1">
      <x:alignment vertical="center" wrapText="1"/>
    </x:xf>
    <x:xf numFmtId="201" fontId="25" fillId="78" borderId="1" xfId="0" applyNumberFormat="1" applyFont="1" applyFill="1" applyBorder="1" applyAlignment="1">
      <x:alignment vertical="center" wrapText="1"/>
    </x:xf>
    <x:xf numFmtId="215" fontId="25" fillId="0" borderId="1" xfId="0" applyNumberFormat="1" applyFont="1" applyFill="1" applyBorder="1" applyAlignment="1">
      <x:alignment vertical="center" wrapText="1"/>
    </x:xf>
    <x:xf numFmtId="213" fontId="25" fillId="78" borderId="1" xfId="0" applyNumberFormat="1" applyFont="1" applyFill="1" applyBorder="1" applyAlignment="1">
      <x:alignment vertical="center" wrapText="1"/>
    </x:xf>
    <x:xf numFmtId="215" fontId="25" fillId="78" borderId="1" xfId="0" applyNumberFormat="1" applyFont="1" applyFill="1" applyBorder="1" applyAlignment="1">
      <x:alignment vertical="center" wrapText="1"/>
    </x:xf>
    <x:xf numFmtId="0" fontId="25" fillId="0" borderId="1" xfId="0" applyNumberFormat="1" applyFont="1" applyFill="1" applyBorder="1" applyAlignment="1">
      <x:alignment vertical="center" wrapText="1"/>
    </x:xf>
    <x:xf numFmtId="204" fontId="3" fillId="0" borderId="1" xfId="0" applyNumberFormat="1" applyFont="1" applyFill="1" applyBorder="1" applyAlignment="1">
      <x:alignment vertical="center" wrapText="1"/>
    </x:xf>
    <x:xf numFmtId="0" fontId="0" fillId="80" borderId="0" xfId="0" applyNumberFormat="1" applyFont="1" applyFill="1" applyBorder="1"/>
    <x:xf numFmtId="0" fontId="26" fillId="80" borderId="0" xfId="0" applyNumberFormat="1" applyFont="1" applyFill="1" applyBorder="1"/>
    <x:xf numFmtId="0" fontId="26" fillId="80" borderId="1" xfId="0" applyNumberFormat="1" applyFont="1" applyFill="1" applyBorder="1"/>
    <x:xf numFmtId="0" fontId="26" fillId="80" borderId="1" xfId="0" applyNumberFormat="1" applyFont="1" applyFill="1" applyBorder="1" applyAlignment="1">
      <x:alignment wrapText="1"/>
    </x:xf>
    <x:xf numFmtId="0" fontId="26" fillId="80" borderId="1" xfId="0" applyNumberFormat="1" applyFont="1" applyFill="1" applyBorder="1" applyAlignment="1">
      <x:alignment vertical="center" wrapText="1"/>
    </x:xf>
    <x:xf numFmtId="0" fontId="0" fillId="78" borderId="0" xfId="0" applyNumberFormat="1" applyFont="1" applyFill="1" applyBorder="1"/>
    <x:xf numFmtId="215" fontId="0" fillId="0" borderId="0" xfId="0" applyNumberFormat="1" applyFont="1" applyFill="1" applyBorder="1"/>
    <x:xf numFmtId="215" fontId="3" fillId="0" borderId="0" xfId="0" applyNumberFormat="1" applyFont="1" applyFill="1" applyBorder="1"/>
    <x:xf numFmtId="215" fontId="3" fillId="0" borderId="1" xfId="0" applyNumberFormat="1" applyFont="1" applyFill="1" applyBorder="1"/>
    <x:xf numFmtId="215" fontId="3" fillId="0" borderId="1" xfId="0" applyNumberFormat="1" applyFont="1" applyFill="1" applyBorder="1" applyAlignment="1">
      <x:alignment wrapText="1"/>
    </x:xf>
    <x:xf numFmtId="0" fontId="0" fillId="81" borderId="0" xfId="0" applyNumberFormat="1" applyFont="1" applyFill="1" applyBorder="1"/>
    <x:xf numFmtId="0" fontId="1" fillId="81" borderId="0" xfId="0" applyNumberFormat="1" applyFont="1" applyFill="1" applyBorder="1"/>
    <x:xf numFmtId="0" fontId="1" fillId="81" borderId="0" xfId="0" applyNumberFormat="1" applyFont="1" applyFill="1" applyBorder="1" applyAlignment="1">
      <x:alignment vertical="center"/>
    </x:xf>
    <x:xf numFmtId="0" fontId="0" fillId="82" borderId="0" xfId="0" applyNumberFormat="1" applyFont="1" applyFill="1" applyBorder="1"/>
    <x:xf numFmtId="0" fontId="2" fillId="82" borderId="0" xfId="0" applyNumberFormat="1" applyFont="1" applyFill="1" applyBorder="1"/>
    <x:xf numFmtId="0" fontId="2" fillId="82" borderId="0" xfId="0" applyNumberFormat="1" applyFont="1" applyFill="1" applyBorder="1" applyAlignment="1">
      <x:alignment vertical="center"/>
    </x:xf>
    <x:xf numFmtId="0" fontId="0" fillId="83" borderId="0" xfId="0" applyNumberFormat="1" applyFont="1" applyFill="1" applyBorder="1"/>
    <x:xf numFmtId="0" fontId="3" fillId="83" borderId="0" xfId="0" applyNumberFormat="1" applyFont="1" applyFill="1" applyBorder="1"/>
    <x:xf numFmtId="0" fontId="3" fillId="83" borderId="0" xfId="0" applyNumberFormat="1" applyFont="1" applyFill="1" applyBorder="1" applyAlignment="1">
      <x:alignment wrapText="1"/>
    </x:xf>
    <x:xf numFmtId="0" fontId="3" fillId="83" borderId="0" xfId="0" applyNumberFormat="1" applyFont="1" applyFill="1" applyBorder="1" applyAlignment="1">
      <x:alignment vertical="center" wrapText="1"/>
    </x:xf>
    <x:xf numFmtId="0" fontId="4" fillId="82" borderId="0" xfId="0" applyNumberFormat="1" applyFont="1" applyFill="1" applyBorder="1"/>
    <x:xf numFmtId="0" fontId="4" fillId="82" borderId="1" xfId="0" applyNumberFormat="1" applyFont="1" applyFill="1" applyBorder="1"/>
    <x:xf numFmtId="0" fontId="4" fillId="82" borderId="1" xfId="0" applyNumberFormat="1" applyFont="1" applyFill="1" applyBorder="1" applyAlignment="1">
      <x:alignment wrapText="1"/>
    </x:xf>
    <x:xf numFmtId="0" fontId="4" fillId="82" borderId="1" xfId="0" applyNumberFormat="1" applyFont="1" applyFill="1" applyBorder="1" applyAlignment="1">
      <x:alignment horizontal="center" wrapText="1"/>
    </x:xf>
    <x:xf numFmtId="0" fontId="4" fillId="82" borderId="1" xfId="0" applyNumberFormat="1" applyFont="1" applyFill="1" applyBorder="1" applyAlignment="1">
      <x:alignment horizontal="center" vertical="center" wrapText="1"/>
    </x:xf>
    <x:xf numFmtId="0" fontId="3" fillId="84" borderId="1" xfId="0" applyNumberFormat="1" applyFont="1" applyFill="1" applyBorder="1" applyAlignment="1">
      <x:alignment vertical="center" wrapText="1"/>
    </x:xf>
    <x:xf numFmtId="0" fontId="25" fillId="84" borderId="1" xfId="0" applyNumberFormat="1" applyFont="1" applyFill="1" applyBorder="1" applyAlignment="1">
      <x:alignment vertical="center" wrapText="1"/>
    </x:xf>
    <x:xf numFmtId="213" fontId="25" fillId="0" borderId="1" xfId="0" applyNumberFormat="1" applyFont="1" applyFill="1" applyBorder="1" applyAlignment="1">
      <x:alignment vertical="center" wrapText="1"/>
    </x:xf>
    <x:xf numFmtId="0" fontId="0" fillId="85" borderId="0" xfId="0" applyNumberFormat="1" applyFont="1" applyFill="1" applyBorder="1"/>
    <x:xf numFmtId="0" fontId="11" fillId="85" borderId="0" xfId="0" applyNumberFormat="1" applyFont="1" applyFill="1" applyBorder="1"/>
    <x:xf numFmtId="0" fontId="11" fillId="85" borderId="0" xfId="0" applyNumberFormat="1" applyFont="1" applyFill="1" applyBorder="1" applyAlignment="1">
      <x:alignment vertical="center"/>
    </x:xf>
    <x:xf numFmtId="215" fontId="3" fillId="84" borderId="1" xfId="0" applyNumberFormat="1" applyFont="1" applyFill="1" applyBorder="1" applyAlignment="1">
      <x:alignment vertical="center" wrapText="1"/>
    </x:xf>
    <x:xf numFmtId="215" fontId="25" fillId="84" borderId="1" xfId="0" applyNumberFormat="1" applyFont="1" applyFill="1" applyBorder="1" applyAlignment="1">
      <x:alignment vertical="center" wrapText="1"/>
    </x:xf>
    <x:xf numFmtId="219" fontId="25" fillId="0" borderId="1" xfId="0" applyNumberFormat="1" applyFont="1" applyFill="1" applyBorder="1" applyAlignment="1">
      <x:alignment vertical="center" wrapText="1"/>
    </x:xf>
    <x:xf numFmtId="219" fontId="25" fillId="84" borderId="1" xfId="0" applyNumberFormat="1" applyFont="1" applyFill="1" applyBorder="1" applyAlignment="1">
      <x:alignment vertical="center" wrapText="1"/>
    </x:xf>
    <x:xf numFmtId="213" fontId="25" fillId="84" borderId="1" xfId="0" applyNumberFormat="1" applyFont="1" applyFill="1" applyBorder="1" applyAlignment="1">
      <x:alignment vertical="center" wrapText="1"/>
    </x:xf>
    <x:xf numFmtId="201" fontId="25" fillId="84" borderId="1" xfId="0" applyNumberFormat="1" applyFont="1" applyFill="1" applyBorder="1" applyAlignment="1">
      <x:alignment vertical="center" wrapText="1"/>
    </x:xf>
    <x:xf numFmtId="201" fontId="3" fillId="84" borderId="1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/>
    <x:xf numFmtId="201" fontId="3" fillId="0" borderId="0" xfId="0" applyNumberFormat="1" applyFont="1" applyFill="1" applyBorder="1"/>
    <x:xf numFmtId="201" fontId="3" fillId="0" borderId="1" xfId="0" applyNumberFormat="1" applyFont="1" applyFill="1" applyBorder="1"/>
    <x:xf numFmtId="201" fontId="3" fillId="0" borderId="1" xfId="0" applyNumberFormat="1" applyFont="1" applyFill="1" applyBorder="1" applyAlignment="1">
      <x:alignment wrapText="1"/>
    </x:xf>
    <x:xf numFmtId="220" fontId="3" fillId="0" borderId="1" xfId="0" applyNumberFormat="1" applyFont="1" applyFill="1" applyBorder="1" applyAlignment="1">
      <x:alignment vertical="center" wrapText="1"/>
    </x:xf>
    <x:xf numFmtId="220" fontId="3" fillId="84" borderId="1" xfId="0" applyNumberFormat="1" applyFont="1" applyFill="1" applyBorder="1" applyAlignment="1">
      <x:alignment vertical="center" wrapText="1"/>
    </x:xf>
    <x:xf numFmtId="0" fontId="0" fillId="84" borderId="0" xfId="0" applyNumberFormat="1" applyFont="1" applyFill="1" applyBorder="1"/>
    <x:xf numFmtId="0" fontId="0" fillId="86" borderId="0" xfId="0" applyNumberFormat="1" applyFont="1" applyFill="1" applyBorder="1"/>
    <x:xf numFmtId="0" fontId="1" fillId="86" borderId="0" xfId="0" applyNumberFormat="1" applyFont="1" applyFill="1" applyBorder="1"/>
    <x:xf numFmtId="0" fontId="1" fillId="86" borderId="0" xfId="0" applyNumberFormat="1" applyFont="1" applyFill="1" applyBorder="1" applyAlignment="1">
      <x:alignment vertical="center"/>
    </x:xf>
    <x:xf numFmtId="0" fontId="0" fillId="87" borderId="0" xfId="0" applyNumberFormat="1" applyFont="1" applyFill="1" applyBorder="1"/>
    <x:xf numFmtId="0" fontId="2" fillId="87" borderId="0" xfId="0" applyNumberFormat="1" applyFont="1" applyFill="1" applyBorder="1"/>
    <x:xf numFmtId="0" fontId="2" fillId="87" borderId="0" xfId="0" applyNumberFormat="1" applyFont="1" applyFill="1" applyBorder="1" applyAlignment="1">
      <x:alignment vertical="center"/>
    </x:xf>
    <x:xf numFmtId="0" fontId="0" fillId="88" borderId="0" xfId="0" applyNumberFormat="1" applyFont="1" applyFill="1" applyBorder="1"/>
    <x:xf numFmtId="0" fontId="3" fillId="88" borderId="0" xfId="0" applyNumberFormat="1" applyFont="1" applyFill="1" applyBorder="1"/>
    <x:xf numFmtId="0" fontId="3" fillId="88" borderId="0" xfId="0" applyNumberFormat="1" applyFont="1" applyFill="1" applyBorder="1" applyAlignment="1">
      <x:alignment wrapText="1"/>
    </x:xf>
    <x:xf numFmtId="0" fontId="3" fillId="88" borderId="0" xfId="0" applyNumberFormat="1" applyFont="1" applyFill="1" applyBorder="1" applyAlignment="1">
      <x:alignment vertical="center" wrapText="1"/>
    </x:xf>
    <x:xf numFmtId="0" fontId="4" fillId="87" borderId="0" xfId="0" applyNumberFormat="1" applyFont="1" applyFill="1" applyBorder="1"/>
    <x:xf numFmtId="0" fontId="4" fillId="87" borderId="1" xfId="0" applyNumberFormat="1" applyFont="1" applyFill="1" applyBorder="1"/>
    <x:xf numFmtId="0" fontId="4" fillId="87" borderId="1" xfId="0" applyNumberFormat="1" applyFont="1" applyFill="1" applyBorder="1" applyAlignment="1">
      <x:alignment wrapText="1"/>
    </x:xf>
    <x:xf numFmtId="0" fontId="4" fillId="87" borderId="1" xfId="0" applyNumberFormat="1" applyFont="1" applyFill="1" applyBorder="1" applyAlignment="1">
      <x:alignment horizontal="center" wrapText="1"/>
    </x:xf>
    <x:xf numFmtId="0" fontId="4" fillId="87" borderId="1" xfId="0" applyNumberFormat="1" applyFont="1" applyFill="1" applyBorder="1" applyAlignment="1">
      <x:alignment horizontal="center" vertical="center" wrapText="1"/>
    </x:xf>
    <x:xf numFmtId="0" fontId="3" fillId="89" borderId="1" xfId="0" applyNumberFormat="1" applyFont="1" applyFill="1" applyBorder="1" applyAlignment="1">
      <x:alignment vertical="center" wrapText="1"/>
    </x:xf>
    <x:xf numFmtId="0" fontId="0" fillId="90" borderId="0" xfId="0" applyNumberFormat="1" applyFont="1" applyFill="1" applyBorder="1"/>
    <x:xf numFmtId="0" fontId="11" fillId="90" borderId="0" xfId="0" applyNumberFormat="1" applyFont="1" applyFill="1" applyBorder="1"/>
    <x:xf numFmtId="0" fontId="11" fillId="90" borderId="0" xfId="0" applyNumberFormat="1" applyFont="1" applyFill="1" applyBorder="1" applyAlignment="1">
      <x:alignment vertical="center"/>
    </x:xf>
    <x:xf numFmtId="215" fontId="3" fillId="89" borderId="1" xfId="0" applyNumberFormat="1" applyFont="1" applyFill="1" applyBorder="1" applyAlignment="1">
      <x:alignment vertical="center" wrapText="1"/>
    </x:xf>
    <x:xf numFmtId="201" fontId="3" fillId="89" borderId="1" xfId="0" applyNumberFormat="1" applyFont="1" applyFill="1" applyBorder="1" applyAlignment="1">
      <x:alignment vertical="center" wrapText="1"/>
    </x:xf>
    <x:xf numFmtId="0" fontId="19" fillId="89" borderId="1" xfId="0" applyNumberFormat="1" applyFont="1" applyFill="1" applyBorder="1" applyAlignment="1">
      <x:alignment vertical="center" wrapText="1"/>
    </x:xf>
    <x:xf numFmtId="201" fontId="9" fillId="0" borderId="1" xfId="0" applyNumberFormat="1" applyFont="1" applyFill="1" applyBorder="1" applyAlignment="1">
      <x:alignment vertical="center" wrapText="1"/>
    </x:xf>
    <x:xf numFmtId="201" fontId="9" fillId="89" borderId="1" xfId="0" applyNumberFormat="1" applyFont="1" applyFill="1" applyBorder="1" applyAlignment="1">
      <x:alignment vertical="center" wrapText="1"/>
    </x:xf>
    <x:xf numFmtId="0" fontId="4" fillId="90" borderId="1" xfId="0" applyNumberFormat="1" applyFont="1" applyFill="1" applyBorder="1" applyAlignment="1">
      <x:alignment horizontal="center" vertical="center" wrapText="1"/>
    </x:xf>
    <x:xf numFmtId="0" fontId="11" fillId="90" borderId="1" xfId="0" applyNumberFormat="1" applyFont="1" applyFill="1" applyBorder="1" applyAlignment="1">
      <x:alignment horizontal="center" vertical="center" wrapText="1"/>
    </x:xf>
    <x:xf numFmtId="0" fontId="3" fillId="87" borderId="1" xfId="0" applyNumberFormat="1" applyFont="1" applyFill="1" applyBorder="1" applyAlignment="1">
      <x:alignment vertical="center" wrapText="1"/>
    </x:xf>
    <x:xf numFmtId="200" fontId="3" fillId="87" borderId="1" xfId="0" applyNumberFormat="1" applyFont="1" applyFill="1" applyBorder="1" applyAlignment="1">
      <x:alignment vertical="center" wrapText="1"/>
    </x:xf>
    <x:xf numFmtId="201" fontId="3" fillId="87" borderId="1" xfId="0" applyNumberFormat="1" applyFont="1" applyFill="1" applyBorder="1" applyAlignment="1">
      <x:alignment vertical="center" wrapText="1"/>
    </x:xf>
    <x:xf numFmtId="0" fontId="4" fillId="87" borderId="1" xfId="0" applyNumberFormat="1" applyFont="1" applyFill="1" applyBorder="1" applyAlignment="1">
      <x:alignment vertical="center" wrapText="1"/>
    </x:xf>
    <x:xf numFmtId="200" fontId="4" fillId="87" borderId="1" xfId="0" applyNumberFormat="1" applyFont="1" applyFill="1" applyBorder="1" applyAlignment="1">
      <x:alignment vertical="center" wrapText="1"/>
    </x:xf>
    <x:xf numFmtId="201" fontId="4" fillId="87" borderId="1" xfId="0" applyNumberFormat="1" applyFont="1" applyFill="1" applyBorder="1" applyAlignment="1">
      <x:alignment vertical="center" wrapText="1"/>
    </x:xf>
    <x:xf numFmtId="200" fontId="4" fillId="87" borderId="1" xfId="0" applyNumberFormat="1" applyFont="1" applyFill="1" applyBorder="1" applyAlignment="1">
      <x:alignment horizontal="center" vertical="center" wrapText="1"/>
    </x:xf>
    <x:xf numFmtId="201" fontId="4" fillId="87" borderId="1" xfId="0" applyNumberFormat="1" applyFont="1" applyFill="1" applyBorder="1" applyAlignment="1">
      <x:alignment horizontal="center" vertical="center" wrapText="1"/>
    </x:xf>
    <x:xf numFmtId="200" fontId="3" fillId="89" borderId="1" xfId="0" applyNumberFormat="1" applyFont="1" applyFill="1" applyBorder="1" applyAlignment="1">
      <x:alignment vertical="center" wrapText="1"/>
    </x:xf>
    <x:xf numFmtId="215" fontId="3" fillId="5" borderId="1" xfId="0" applyNumberFormat="1" applyFont="1" applyFill="1" applyBorder="1" applyAlignment="1">
      <x:alignment vertical="center" wrapText="1"/>
    </x:xf>
    <x:xf numFmtId="0" fontId="0" fillId="91" borderId="0" xfId="0" applyNumberFormat="1" applyFont="1" applyFill="1" applyBorder="1"/>
    <x:xf numFmtId="0" fontId="1" fillId="91" borderId="0" xfId="0" applyNumberFormat="1" applyFont="1" applyFill="1" applyBorder="1"/>
    <x:xf numFmtId="0" fontId="1" fillId="91" borderId="0" xfId="0" applyNumberFormat="1" applyFont="1" applyFill="1" applyBorder="1" applyAlignment="1">
      <x:alignment vertical="center"/>
    </x:xf>
    <x:xf numFmtId="0" fontId="0" fillId="92" borderId="0" xfId="0" applyNumberFormat="1" applyFont="1" applyFill="1" applyBorder="1"/>
    <x:xf numFmtId="0" fontId="2" fillId="92" borderId="0" xfId="0" applyNumberFormat="1" applyFont="1" applyFill="1" applyBorder="1"/>
    <x:xf numFmtId="0" fontId="2" fillId="92" borderId="0" xfId="0" applyNumberFormat="1" applyFont="1" applyFill="1" applyBorder="1" applyAlignment="1">
      <x:alignment vertical="center"/>
    </x:xf>
    <x:xf numFmtId="0" fontId="0" fillId="93" borderId="0" xfId="0" applyNumberFormat="1" applyFont="1" applyFill="1" applyBorder="1"/>
    <x:xf numFmtId="0" fontId="3" fillId="93" borderId="0" xfId="0" applyNumberFormat="1" applyFont="1" applyFill="1" applyBorder="1"/>
    <x:xf numFmtId="0" fontId="3" fillId="93" borderId="0" xfId="0" applyNumberFormat="1" applyFont="1" applyFill="1" applyBorder="1" applyAlignment="1">
      <x:alignment wrapText="1"/>
    </x:xf>
    <x:xf numFmtId="0" fontId="3" fillId="93" borderId="0" xfId="0" applyNumberFormat="1" applyFont="1" applyFill="1" applyBorder="1" applyAlignment="1">
      <x:alignment vertical="center" wrapText="1"/>
    </x:xf>
    <x:xf numFmtId="0" fontId="4" fillId="92" borderId="0" xfId="0" applyNumberFormat="1" applyFont="1" applyFill="1" applyBorder="1"/>
    <x:xf numFmtId="0" fontId="4" fillId="92" borderId="1" xfId="0" applyNumberFormat="1" applyFont="1" applyFill="1" applyBorder="1"/>
    <x:xf numFmtId="0" fontId="4" fillId="92" borderId="1" xfId="0" applyNumberFormat="1" applyFont="1" applyFill="1" applyBorder="1" applyAlignment="1">
      <x:alignment wrapText="1"/>
    </x:xf>
    <x:xf numFmtId="0" fontId="4" fillId="92" borderId="1" xfId="0" applyNumberFormat="1" applyFont="1" applyFill="1" applyBorder="1" applyAlignment="1">
      <x:alignment horizontal="center" wrapText="1"/>
    </x:xf>
    <x:xf numFmtId="0" fontId="4" fillId="92" borderId="1" xfId="0" applyNumberFormat="1" applyFont="1" applyFill="1" applyBorder="1" applyAlignment="1">
      <x:alignment horizontal="center" vertical="center" wrapText="1"/>
    </x:xf>
    <x:xf numFmtId="0" fontId="3" fillId="94" borderId="1" xfId="0" applyNumberFormat="1" applyFont="1" applyFill="1" applyBorder="1" applyAlignment="1">
      <x:alignment vertical="center" wrapText="1"/>
    </x:xf>
    <x:xf numFmtId="0" fontId="0" fillId="95" borderId="0" xfId="0" applyNumberFormat="1" applyFont="1" applyFill="1" applyBorder="1"/>
    <x:xf numFmtId="0" fontId="11" fillId="95" borderId="0" xfId="0" applyNumberFormat="1" applyFont="1" applyFill="1" applyBorder="1"/>
    <x:xf numFmtId="0" fontId="11" fillId="95" borderId="0" xfId="0" applyNumberFormat="1" applyFont="1" applyFill="1" applyBorder="1" applyAlignment="1">
      <x:alignment vertical="center"/>
    </x:xf>
    <x:xf numFmtId="215" fontId="3" fillId="94" borderId="1" xfId="0" applyNumberFormat="1" applyFont="1" applyFill="1" applyBorder="1" applyAlignment="1">
      <x:alignment vertical="center" wrapText="1"/>
    </x:xf>
    <x:xf numFmtId="201" fontId="3" fillId="94" borderId="1" xfId="0" applyNumberFormat="1" applyFont="1" applyFill="1" applyBorder="1" applyAlignment="1">
      <x:alignment vertical="center" wrapText="1"/>
    </x:xf>
    <x:xf numFmtId="206" fontId="3" fillId="94" borderId="1" xfId="0" applyNumberFormat="1" applyFont="1" applyFill="1" applyBorder="1" applyAlignment="1">
      <x:alignment vertical="center" wrapText="1"/>
    </x:xf>
    <x:xf numFmtId="201" fontId="9" fillId="94" borderId="1" xfId="0" applyNumberFormat="1" applyFont="1" applyFill="1" applyBorder="1" applyAlignment="1">
      <x:alignment vertical="center" wrapText="1"/>
    </x:xf>
    <x:xf numFmtId="0" fontId="11" fillId="95" borderId="1" xfId="0" applyNumberFormat="1" applyFont="1" applyFill="1" applyBorder="1" applyAlignment="1">
      <x:alignment horizontal="center" vertical="center" wrapText="1"/>
    </x:xf>
    <x:xf numFmtId="200" fontId="4" fillId="92" borderId="1" xfId="0" applyNumberFormat="1" applyFont="1" applyFill="1" applyBorder="1" applyAlignment="1">
      <x:alignment horizontal="center" vertical="center" wrapText="1"/>
    </x:xf>
    <x:xf numFmtId="201" fontId="4" fillId="92" borderId="1" xfId="0" applyNumberFormat="1" applyFont="1" applyFill="1" applyBorder="1" applyAlignment="1">
      <x:alignment horizontal="center" vertical="center" wrapText="1"/>
    </x:xf>
    <x:xf numFmtId="200" fontId="3" fillId="94" borderId="1" xfId="0" applyNumberFormat="1" applyFont="1" applyFill="1" applyBorder="1" applyAlignment="1">
      <x:alignment vertical="center" wrapText="1"/>
    </x:xf>
    <x:xf numFmtId="0" fontId="0" fillId="96" borderId="0" xfId="0" applyNumberFormat="1" applyFont="1" applyFill="1" applyBorder="1"/>
    <x:xf numFmtId="0" fontId="1" fillId="96" borderId="0" xfId="0" applyNumberFormat="1" applyFont="1" applyFill="1" applyBorder="1"/>
    <x:xf numFmtId="0" fontId="1" fillId="96" borderId="0" xfId="0" applyNumberFormat="1" applyFont="1" applyFill="1" applyBorder="1" applyAlignment="1">
      <x:alignment vertical="center"/>
    </x:xf>
    <x:xf numFmtId="0" fontId="0" fillId="97" borderId="0" xfId="0" applyNumberFormat="1" applyFont="1" applyFill="1" applyBorder="1"/>
    <x:xf numFmtId="0" fontId="2" fillId="97" borderId="0" xfId="0" applyNumberFormat="1" applyFont="1" applyFill="1" applyBorder="1"/>
    <x:xf numFmtId="0" fontId="2" fillId="97" borderId="0" xfId="0" applyNumberFormat="1" applyFont="1" applyFill="1" applyBorder="1" applyAlignment="1">
      <x:alignment vertical="center"/>
    </x:xf>
    <x:xf numFmtId="0" fontId="0" fillId="98" borderId="0" xfId="0" applyNumberFormat="1" applyFont="1" applyFill="1" applyBorder="1"/>
    <x:xf numFmtId="0" fontId="3" fillId="98" borderId="0" xfId="0" applyNumberFormat="1" applyFont="1" applyFill="1" applyBorder="1"/>
    <x:xf numFmtId="0" fontId="3" fillId="98" borderId="0" xfId="0" applyNumberFormat="1" applyFont="1" applyFill="1" applyBorder="1" applyAlignment="1">
      <x:alignment wrapText="1"/>
    </x:xf>
    <x:xf numFmtId="0" fontId="3" fillId="98" borderId="0" xfId="0" applyNumberFormat="1" applyFont="1" applyFill="1" applyBorder="1" applyAlignment="1">
      <x:alignment vertical="center" wrapText="1"/>
    </x:xf>
    <x:xf numFmtId="0" fontId="4" fillId="97" borderId="0" xfId="0" applyNumberFormat="1" applyFont="1" applyFill="1" applyBorder="1"/>
    <x:xf numFmtId="0" fontId="4" fillId="97" borderId="1" xfId="0" applyNumberFormat="1" applyFont="1" applyFill="1" applyBorder="1"/>
    <x:xf numFmtId="0" fontId="4" fillId="97" borderId="1" xfId="0" applyNumberFormat="1" applyFont="1" applyFill="1" applyBorder="1" applyAlignment="1">
      <x:alignment wrapText="1"/>
    </x:xf>
    <x:xf numFmtId="0" fontId="4" fillId="97" borderId="1" xfId="0" applyNumberFormat="1" applyFont="1" applyFill="1" applyBorder="1" applyAlignment="1">
      <x:alignment horizontal="center" wrapText="1"/>
    </x:xf>
    <x:xf numFmtId="0" fontId="4" fillId="97" borderId="1" xfId="0" applyNumberFormat="1" applyFont="1" applyFill="1" applyBorder="1" applyAlignment="1">
      <x:alignment horizontal="center" vertical="center" wrapText="1"/>
    </x:xf>
    <x:xf numFmtId="0" fontId="3" fillId="99" borderId="1" xfId="0" applyNumberFormat="1" applyFont="1" applyFill="1" applyBorder="1" applyAlignment="1">
      <x:alignment vertical="center" wrapText="1"/>
    </x:xf>
    <x:xf numFmtId="0" fontId="0" fillId="100" borderId="0" xfId="0" applyNumberFormat="1" applyFont="1" applyFill="1" applyBorder="1"/>
    <x:xf numFmtId="0" fontId="11" fillId="100" borderId="0" xfId="0" applyNumberFormat="1" applyFont="1" applyFill="1" applyBorder="1"/>
    <x:xf numFmtId="0" fontId="11" fillId="100" borderId="0" xfId="0" applyNumberFormat="1" applyFont="1" applyFill="1" applyBorder="1" applyAlignment="1">
      <x:alignment vertical="center"/>
    </x:xf>
    <x:xf numFmtId="201" fontId="3" fillId="99" borderId="1" xfId="0" applyNumberFormat="1" applyFont="1" applyFill="1" applyBorder="1" applyAlignment="1">
      <x:alignment vertical="center" wrapText="1"/>
    </x:xf>
    <x:xf numFmtId="204" fontId="3" fillId="99" borderId="1" xfId="0" applyNumberFormat="1" applyFont="1" applyFill="1" applyBorder="1" applyAlignment="1">
      <x:alignment vertical="center" wrapText="1"/>
    </x:xf>
    <x:xf numFmtId="206" fontId="3" fillId="99" borderId="1" xfId="0" applyNumberFormat="1" applyFont="1" applyFill="1" applyBorder="1" applyAlignment="1">
      <x:alignment vertical="center" wrapText="1"/>
    </x:xf>
    <x:xf numFmtId="213" fontId="3" fillId="99" borderId="1" xfId="0" applyNumberFormat="1" applyFont="1" applyFill="1" applyBorder="1" applyAlignment="1">
      <x:alignment vertical="center" wrapText="1"/>
    </x:xf>
    <x:xf numFmtId="0" fontId="0" fillId="99" borderId="0" xfId="0" applyNumberFormat="1" applyFont="1" applyFill="1" applyBorder="1"/>
    <x:xf numFmtId="204" fontId="3" fillId="5" borderId="1" xfId="0" applyNumberFormat="1" applyFont="1" applyFill="1" applyBorder="1" applyAlignment="1">
      <x:alignment vertical="center" wrapText="1"/>
    </x:xf>
    <x:xf numFmtId="0" fontId="0" fillId="101" borderId="0" xfId="0" applyNumberFormat="1" applyFont="1" applyFill="1" applyBorder="1"/>
    <x:xf numFmtId="0" fontId="1" fillId="101" borderId="0" xfId="0" applyNumberFormat="1" applyFont="1" applyFill="1" applyBorder="1"/>
    <x:xf numFmtId="0" fontId="1" fillId="101" borderId="0" xfId="0" applyNumberFormat="1" applyFont="1" applyFill="1" applyBorder="1" applyAlignment="1">
      <x:alignment vertical="center"/>
    </x:xf>
    <x:xf numFmtId="0" fontId="0" fillId="102" borderId="0" xfId="0" applyNumberFormat="1" applyFont="1" applyFill="1" applyBorder="1"/>
    <x:xf numFmtId="0" fontId="2" fillId="102" borderId="0" xfId="0" applyNumberFormat="1" applyFont="1" applyFill="1" applyBorder="1"/>
    <x:xf numFmtId="0" fontId="2" fillId="102" borderId="0" xfId="0" applyNumberFormat="1" applyFont="1" applyFill="1" applyBorder="1" applyAlignment="1">
      <x:alignment vertical="center"/>
    </x:xf>
    <x:xf numFmtId="0" fontId="0" fillId="103" borderId="0" xfId="0" applyNumberFormat="1" applyFont="1" applyFill="1" applyBorder="1"/>
    <x:xf numFmtId="0" fontId="3" fillId="103" borderId="0" xfId="0" applyNumberFormat="1" applyFont="1" applyFill="1" applyBorder="1"/>
    <x:xf numFmtId="0" fontId="3" fillId="103" borderId="0" xfId="0" applyNumberFormat="1" applyFont="1" applyFill="1" applyBorder="1" applyAlignment="1">
      <x:alignment wrapText="1"/>
    </x:xf>
    <x:xf numFmtId="0" fontId="3" fillId="103" borderId="0" xfId="0" applyNumberFormat="1" applyFont="1" applyFill="1" applyBorder="1" applyAlignment="1">
      <x:alignment vertical="center" wrapText="1"/>
    </x:xf>
    <x:xf numFmtId="0" fontId="4" fillId="102" borderId="0" xfId="0" applyNumberFormat="1" applyFont="1" applyFill="1" applyBorder="1"/>
    <x:xf numFmtId="0" fontId="4" fillId="102" borderId="1" xfId="0" applyNumberFormat="1" applyFont="1" applyFill="1" applyBorder="1"/>
    <x:xf numFmtId="0" fontId="4" fillId="102" borderId="1" xfId="0" applyNumberFormat="1" applyFont="1" applyFill="1" applyBorder="1" applyAlignment="1">
      <x:alignment wrapText="1"/>
    </x:xf>
    <x:xf numFmtId="0" fontId="4" fillId="102" borderId="1" xfId="0" applyNumberFormat="1" applyFont="1" applyFill="1" applyBorder="1" applyAlignment="1">
      <x:alignment horizontal="center" wrapText="1"/>
    </x:xf>
    <x:xf numFmtId="0" fontId="4" fillId="102" borderId="1" xfId="0" applyNumberFormat="1" applyFont="1" applyFill="1" applyBorder="1" applyAlignment="1">
      <x:alignment horizontal="center" vertical="center" wrapText="1"/>
    </x:xf>
    <x:xf numFmtId="0" fontId="3" fillId="104" borderId="1" xfId="0" applyNumberFormat="1" applyFont="1" applyFill="1" applyBorder="1" applyAlignment="1">
      <x:alignment vertical="center" wrapText="1"/>
    </x:xf>
    <x:xf numFmtId="0" fontId="0" fillId="105" borderId="0" xfId="0" applyNumberFormat="1" applyFont="1" applyFill="1" applyBorder="1"/>
    <x:xf numFmtId="0" fontId="11" fillId="105" borderId="0" xfId="0" applyNumberFormat="1" applyFont="1" applyFill="1" applyBorder="1"/>
    <x:xf numFmtId="0" fontId="11" fillId="105" borderId="0" xfId="0" applyNumberFormat="1" applyFont="1" applyFill="1" applyBorder="1" applyAlignment="1">
      <x:alignment vertical="center"/>
    </x:xf>
    <x:xf numFmtId="201" fontId="3" fillId="104" borderId="1" xfId="0" applyNumberFormat="1" applyFont="1" applyFill="1" applyBorder="1" applyAlignment="1">
      <x:alignment vertical="center" wrapText="1"/>
    </x:xf>
    <x:xf numFmtId="204" fontId="3" fillId="104" borderId="1" xfId="0" applyNumberFormat="1" applyFont="1" applyFill="1" applyBorder="1" applyAlignment="1">
      <x:alignment vertical="center" wrapText="1"/>
    </x:xf>
    <x:xf numFmtId="204" fontId="0" fillId="0" borderId="0" xfId="0" applyNumberFormat="1" applyFont="1" applyFill="1" applyBorder="1"/>
    <x:xf numFmtId="204" fontId="3" fillId="0" borderId="0" xfId="0" applyNumberFormat="1" applyFont="1" applyFill="1" applyBorder="1"/>
    <x:xf numFmtId="204" fontId="3" fillId="0" borderId="1" xfId="0" applyNumberFormat="1" applyFont="1" applyFill="1" applyBorder="1"/>
    <x:xf numFmtId="204" fontId="3" fillId="0" borderId="1" xfId="0" applyNumberFormat="1" applyFont="1" applyFill="1" applyBorder="1" applyAlignment="1">
      <x:alignment wrapText="1"/>
    </x:xf>
    <x:xf numFmtId="206" fontId="3" fillId="104" borderId="1" xfId="0" applyNumberFormat="1" applyFont="1" applyFill="1" applyBorder="1" applyAlignment="1">
      <x:alignment vertical="center" wrapText="1"/>
    </x:xf>
    <x:xf numFmtId="0" fontId="0" fillId="104" borderId="0" xfId="0" applyNumberFormat="1" applyFont="1" applyFill="1" applyBorder="1"/>
    <x:xf numFmtId="0" fontId="1" fillId="106" borderId="0" xfId="0" applyNumberFormat="1" applyFont="1" applyFill="1" applyBorder="1" applyAlignment="1">
      <x:alignment vertical="center"/>
    </x:xf>
    <x:xf numFmtId="0" fontId="0" fillId="106" borderId="0" xfId="0" applyNumberFormat="1" applyFont="1" applyFill="1" applyBorder="1"/>
    <x:xf numFmtId="0" fontId="2" fillId="106" borderId="0" xfId="0" applyNumberFormat="1" applyFont="1" applyFill="1" applyBorder="1" applyAlignment="1">
      <x:alignment vertical="center"/>
    </x:xf>
    <x:xf numFmtId="0" fontId="27" fillId="106" borderId="0" xfId="0" applyNumberFormat="1" applyFont="1" applyFill="1" applyBorder="1" applyAlignment="1">
      <x:alignment vertical="center"/>
    </x:xf>
    <x:xf numFmtId="0" fontId="27" fillId="106" borderId="0" xfId="0" applyNumberFormat="1" applyFont="1" applyFill="1" applyBorder="1"/>
    <x:xf numFmtId="0" fontId="27" fillId="106" borderId="0" xfId="0" applyNumberFormat="1" applyFont="1" applyFill="1" applyBorder="1" applyAlignment="1">
      <x:alignment vertical="center" wrapText="1"/>
    </x:xf>
    <x:xf numFmtId="0" fontId="27" fillId="106" borderId="0" xfId="0" applyNumberFormat="1" applyFont="1" applyFill="1" applyBorder="1" applyAlignment="1">
      <x:alignment wrapText="1"/>
    </x:xf>
    <x:xf numFmtId="0" fontId="0" fillId="107" borderId="0" xfId="0" applyNumberFormat="1" applyFont="1" applyFill="1" applyBorder="1"/>
    <x:xf numFmtId="0" fontId="1" fillId="107" borderId="0" xfId="0" applyNumberFormat="1" applyFont="1" applyFill="1" applyBorder="1"/>
    <x:xf numFmtId="0" fontId="1" fillId="107" borderId="0" xfId="0" applyNumberFormat="1" applyFont="1" applyFill="1" applyBorder="1" applyAlignment="1">
      <x:alignment vertical="center"/>
    </x:xf>
    <x:xf numFmtId="0" fontId="0" fillId="108" borderId="0" xfId="0" applyNumberFormat="1" applyFont="1" applyFill="1" applyBorder="1"/>
    <x:xf numFmtId="0" fontId="2" fillId="108" borderId="0" xfId="0" applyNumberFormat="1" applyFont="1" applyFill="1" applyBorder="1"/>
    <x:xf numFmtId="0" fontId="2" fillId="108" borderId="0" xfId="0" applyNumberFormat="1" applyFont="1" applyFill="1" applyBorder="1" applyAlignment="1">
      <x:alignment vertical="center"/>
    </x:xf>
    <x:xf numFmtId="0" fontId="0" fillId="109" borderId="0" xfId="0" applyNumberFormat="1" applyFont="1" applyFill="1" applyBorder="1"/>
    <x:xf numFmtId="0" fontId="3" fillId="109" borderId="0" xfId="0" applyNumberFormat="1" applyFont="1" applyFill="1" applyBorder="1"/>
    <x:xf numFmtId="0" fontId="3" fillId="109" borderId="0" xfId="0" applyNumberFormat="1" applyFont="1" applyFill="1" applyBorder="1" applyAlignment="1">
      <x:alignment wrapText="1"/>
    </x:xf>
    <x:xf numFmtId="0" fontId="3" fillId="109" borderId="0" xfId="0" applyNumberFormat="1" applyFont="1" applyFill="1" applyBorder="1" applyAlignment="1">
      <x:alignment vertical="center" wrapText="1"/>
    </x:xf>
    <x:xf numFmtId="0" fontId="4" fillId="108" borderId="0" xfId="0" applyNumberFormat="1" applyFont="1" applyFill="1" applyBorder="1"/>
    <x:xf numFmtId="0" fontId="4" fillId="108" borderId="1" xfId="0" applyNumberFormat="1" applyFont="1" applyFill="1" applyBorder="1"/>
    <x:xf numFmtId="0" fontId="4" fillId="108" borderId="1" xfId="0" applyNumberFormat="1" applyFont="1" applyFill="1" applyBorder="1" applyAlignment="1">
      <x:alignment wrapText="1"/>
    </x:xf>
    <x:xf numFmtId="0" fontId="4" fillId="108" borderId="1" xfId="0" applyNumberFormat="1" applyFont="1" applyFill="1" applyBorder="1" applyAlignment="1">
      <x:alignment horizontal="center" wrapText="1"/>
    </x:xf>
    <x:xf numFmtId="0" fontId="4" fillId="108" borderId="1" xfId="0" applyNumberFormat="1" applyFont="1" applyFill="1" applyBorder="1" applyAlignment="1">
      <x:alignment horizontal="center" vertical="center" wrapText="1"/>
    </x:xf>
    <x:xf numFmtId="0" fontId="3" fillId="110" borderId="1" xfId="0" applyNumberFormat="1" applyFont="1" applyFill="1" applyBorder="1" applyAlignment="1">
      <x:alignment vertical="center" wrapText="1"/>
    </x:xf>
    <x:xf numFmtId="0" fontId="0" fillId="111" borderId="0" xfId="0" applyNumberFormat="1" applyFont="1" applyFill="1" applyBorder="1"/>
    <x:xf numFmtId="0" fontId="11" fillId="111" borderId="0" xfId="0" applyNumberFormat="1" applyFont="1" applyFill="1" applyBorder="1"/>
    <x:xf numFmtId="0" fontId="11" fillId="111" borderId="0" xfId="0" applyNumberFormat="1" applyFont="1" applyFill="1" applyBorder="1" applyAlignment="1">
      <x:alignment vertical="center"/>
    </x:xf>
    <x:xf numFmtId="204" fontId="3" fillId="110" borderId="1" xfId="0" applyNumberFormat="1" applyFont="1" applyFill="1" applyBorder="1" applyAlignment="1">
      <x:alignment vertical="center" wrapText="1"/>
    </x:xf>
    <x:xf numFmtId="201" fontId="3" fillId="110" borderId="1" xfId="0" applyNumberFormat="1" applyFont="1" applyFill="1" applyBorder="1" applyAlignment="1">
      <x:alignment vertical="center" wrapText="1"/>
    </x:xf>
    <x:xf numFmtId="0" fontId="0" fillId="110" borderId="0" xfId="0" applyNumberFormat="1" applyFont="1" applyFill="1" applyBorder="1"/>
    <x:xf numFmtId="0" fontId="11" fillId="111" borderId="1" xfId="0" applyNumberFormat="1" applyFont="1" applyFill="1" applyBorder="1" applyAlignment="1">
      <x:alignment horizontal="center" vertical="center" wrapText="1"/>
    </x:xf>
    <x:xf numFmtId="200" fontId="4" fillId="108" borderId="1" xfId="0" applyNumberFormat="1" applyFont="1" applyFill="1" applyBorder="1" applyAlignment="1">
      <x:alignment horizontal="center" vertical="center" wrapText="1"/>
    </x:xf>
    <x:xf numFmtId="201" fontId="4" fillId="108" borderId="1" xfId="0" applyNumberFormat="1" applyFont="1" applyFill="1" applyBorder="1" applyAlignment="1">
      <x:alignment horizontal="center" vertical="center" wrapText="1"/>
    </x:xf>
    <x:xf numFmtId="215" fontId="3" fillId="110" borderId="1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4195"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64748B"/>
      </x:font>
      <x:fill>
        <x:patternFill>
          <x:bgColor rgb="FFF3F5F7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64748B"/>
      </x:font>
      <x:fill>
        <x:patternFill>
          <x:bgColor rgb="FFF3F5F7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64748B"/>
      </x:font>
      <x:fill>
        <x:patternFill>
          <x:bgColor rgb="FFF3F5F7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64748B"/>
      </x:font>
      <x:fill>
        <x:patternFill>
          <x:bgColor rgb="FFF3F5F7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64748B"/>
      </x:font>
      <x:fill>
        <x:patternFill>
          <x:bgColor rgb="FFF3F5F7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64748B"/>
      </x:font>
      <x:fill>
        <x:patternFill>
          <x:bgColor rgb="FFF3F5F7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2563EB"/>
      </x:font>
      <x:fill>
        <x:patternFill>
          <x:bgColor rgb="FFEAF2FF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0F766E"/>
      </x:font>
      <x:fill>
        <x:patternFill>
          <x:bgColor rgb="FFE6F7F5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15803D"/>
      </x:font>
      <x:fill>
        <x:patternFill>
          <x:bgColor rgb="FFEAF7EE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B45309"/>
      </x:font>
      <x:fill>
        <x:patternFill>
          <x:bgColor rgb="FFFFF6D8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7C3AED"/>
      </x:font>
      <x:fill>
        <x:patternFill>
          <x:bgColor rgb="FFF3E8FF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B91C1C"/>
      </x:font>
      <x:fill>
        <x:patternFill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15803D"/>
      </x:font>
      <x:fill>
        <x:patternFill patternType="solid">
          <x:bgColor rgb="FFEAF7EE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B45309"/>
      </x:font>
      <x:fill>
        <x:patternFill patternType="solid">
          <x:bgColor rgb="FFFFF6D8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7C3AED"/>
      </x:font>
      <x:fill>
        <x:patternFill patternType="solid">
          <x:bgColor rgb="FFF3E8FF"/>
        </x:patternFill>
      </x:fill>
    </x:dxf>
    <x:dxf>
      <x:font>
        <x:b/>
        <x:color rgb="FF0F766E"/>
      </x:font>
      <x:fill>
        <x:patternFill patternType="solid">
          <x:bgColor rgb="FFE6F7F5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  <x:dxf>
      <x:font>
        <x:b/>
        <x:color rgb="FFB91C1C"/>
      </x:font>
      <x:fill>
        <x:patternFill patternType="solid">
          <x:bgColor rgb="FFFDECE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dd7111d801429b" /><Relationship Type="http://schemas.openxmlformats.org/officeDocument/2006/relationships/theme" Target="/xl/theme/theme1.xml" Id="Rfe1b362b23024199" /><Relationship Type="http://schemas.openxmlformats.org/officeDocument/2006/relationships/sharedStrings" Target="/xl/sharedStrings.xml" Id="R3fe2ba54e01c470c" /><Relationship Type="http://schemas.openxmlformats.org/officeDocument/2006/relationships/worksheet" Target="/xl/worksheets/sheet1.xml" Id="Rbd85647960614439" /><Relationship Type="http://schemas.openxmlformats.org/officeDocument/2006/relationships/worksheet" Target="/xl/worksheets/sheet2.xml" Id="R1f80cfb8fea0432d" /><Relationship Type="http://schemas.openxmlformats.org/officeDocument/2006/relationships/worksheet" Target="/xl/worksheets/sheet3.xml" Id="Raa65a9715e6047da" /><Relationship Type="http://schemas.openxmlformats.org/officeDocument/2006/relationships/worksheet" Target="/xl/worksheets/sheet4.xml" Id="R4b18ed324fd84617" /><Relationship Type="http://schemas.openxmlformats.org/officeDocument/2006/relationships/worksheet" Target="/xl/worksheets/sheet5.xml" Id="R14cc1cc584e843dd" /><Relationship Type="http://schemas.openxmlformats.org/officeDocument/2006/relationships/worksheet" Target="/xl/worksheets/sheet6.xml" Id="Rab81830edad54664" /><Relationship Type="http://schemas.openxmlformats.org/officeDocument/2006/relationships/worksheet" Target="/xl/worksheets/sheet7.xml" Id="R6b442fd153524cb0" /><Relationship Type="http://schemas.openxmlformats.org/officeDocument/2006/relationships/worksheet" Target="/xl/worksheets/sheet8.xml" Id="R48007461eb7b4b9c" /><Relationship Type="http://schemas.openxmlformats.org/officeDocument/2006/relationships/worksheet" Target="/xl/worksheets/sheet9.xml" Id="Rc964092fa3874583" /><Relationship Type="http://schemas.openxmlformats.org/officeDocument/2006/relationships/worksheet" Target="/xl/worksheets/sheet10.xml" Id="R73a29264e02347dc" /><Relationship Type="http://schemas.openxmlformats.org/officeDocument/2006/relationships/worksheet" Target="/xl/worksheets/sheet11.xml" Id="Rac976d8132f1493a" /><Relationship Type="http://schemas.openxmlformats.org/officeDocument/2006/relationships/worksheet" Target="/xl/worksheets/sheet12.xml" Id="R9c98d13d38fa4634" /><Relationship Type="http://schemas.openxmlformats.org/officeDocument/2006/relationships/worksheet" Target="/xl/worksheets/sheet13.xml" Id="R23c215ead8404702" /><Relationship Type="http://schemas.openxmlformats.org/officeDocument/2006/relationships/worksheet" Target="/xl/worksheets/sheet14.xml" Id="R3a63f24dc19e4f13" /><Relationship Type="http://schemas.openxmlformats.org/officeDocument/2006/relationships/worksheet" Target="/xl/worksheets/sheet15.xml" Id="R7b0fe8a779d5441e" /><Relationship Type="http://schemas.openxmlformats.org/officeDocument/2006/relationships/worksheet" Target="/xl/worksheets/sheet16.xml" Id="Re41a476f6a7a4d69" /><Relationship Type="http://schemas.openxmlformats.org/officeDocument/2006/relationships/worksheet" Target="/xl/worksheets/sheet17.xml" Id="R045c380ba0b647cc" /><Relationship Type="http://schemas.openxmlformats.org/officeDocument/2006/relationships/worksheet" Target="/xl/worksheets/sheet18.xml" Id="R43f344d5b46b42a8" /><Relationship Type="http://schemas.openxmlformats.org/officeDocument/2006/relationships/worksheet" Target="/xl/worksheets/sheet19.xml" Id="R852badb7f4a748b8" /><Relationship Type="http://schemas.openxmlformats.org/officeDocument/2006/relationships/worksheet" Target="/xl/worksheets/sheet20.xml" Id="Rbcd8f850b7e74bce" /><Relationship Type="http://schemas.openxmlformats.org/officeDocument/2006/relationships/worksheet" Target="/xl/worksheets/sheet21.xml" Id="Ra91b1589e0f64b34" /><Relationship Type="http://schemas.openxmlformats.org/officeDocument/2006/relationships/worksheet" Target="/xl/worksheets/sheet22.xml" Id="R231fa434a8234512" /><Relationship Type="http://schemas.openxmlformats.org/officeDocument/2006/relationships/worksheet" Target="/xl/worksheets/sheet23.xml" Id="R3c01267aed1a4066" /><Relationship Type="http://schemas.openxmlformats.org/officeDocument/2006/relationships/worksheet" Target="/xl/worksheets/sheet24.xml" Id="R2bb62ee121ab43a4" /><Relationship Type="http://schemas.openxmlformats.org/officeDocument/2006/relationships/worksheet" Target="/xl/worksheets/sheet25.xml" Id="Rd110fdc3a3004756" /><Relationship Type="http://schemas.openxmlformats.org/officeDocument/2006/relationships/worksheet" Target="/xl/worksheets/sheet26.xml" Id="Rd85758c0412b413d" /><Relationship Type="http://schemas.openxmlformats.org/officeDocument/2006/relationships/worksheet" Target="/xl/worksheets/sheet27.xml" Id="R64732090cc644475" /><Relationship Type="http://schemas.openxmlformats.org/officeDocument/2006/relationships/worksheet" Target="/xl/worksheets/sheet28.xml" Id="R23a494431a514d74" /><Relationship Type="http://schemas.openxmlformats.org/officeDocument/2006/relationships/worksheet" Target="/xl/worksheets/sheet29.xml" Id="R596ca40f19394574" /><Relationship Type="http://schemas.openxmlformats.org/officeDocument/2006/relationships/worksheet" Target="/xl/worksheets/sheet30.xml" Id="Rdf90a89188ee47ed" /><Relationship Type="http://schemas.openxmlformats.org/officeDocument/2006/relationships/worksheet" Target="/xl/worksheets/sheet31.xml" Id="Rd8eed9442ed449a1" /><Relationship Type="http://schemas.openxmlformats.org/officeDocument/2006/relationships/worksheet" Target="/xl/worksheets/sheet32.xml" Id="R5b765d522ad84c84" /><Relationship Type="http://schemas.openxmlformats.org/officeDocument/2006/relationships/worksheet" Target="/xl/worksheets/sheet33.xml" Id="R8318d9bdda4b45de" /><Relationship Type="http://schemas.openxmlformats.org/officeDocument/2006/relationships/worksheet" Target="/xl/worksheets/sheet34.xml" Id="R054c3ebc82074a5d" /><Relationship Type="http://schemas.openxmlformats.org/officeDocument/2006/relationships/worksheet" Target="/xl/worksheets/sheet35.xml" Id="Rad7af17037fa4c4f" /><Relationship Type="http://schemas.openxmlformats.org/officeDocument/2006/relationships/worksheet" Target="/xl/worksheets/sheet36.xml" Id="Ref8942494daa4562" /><Relationship Type="http://schemas.openxmlformats.org/officeDocument/2006/relationships/worksheet" Target="/xl/worksheets/sheet37.xml" Id="R3590a4bea9ce43eb" /><Relationship Type="http://schemas.openxmlformats.org/officeDocument/2006/relationships/worksheet" Target="/xl/worksheets/sheet38.xml" Id="R867c1da117a84d15" /><Relationship Type="http://schemas.openxmlformats.org/officeDocument/2006/relationships/worksheet" Target="/xl/worksheets/sheet39.xml" Id="Re82d16674918423d" /><Relationship Type="http://schemas.openxmlformats.org/officeDocument/2006/relationships/worksheet" Target="/xl/worksheets/sheet40.xml" Id="R2e5c49b76505468c" /><Relationship Type="http://schemas.openxmlformats.org/officeDocument/2006/relationships/worksheet" Target="/xl/worksheets/sheet41.xml" Id="R6daaf74fcf584181" /><Relationship Type="http://schemas.openxmlformats.org/officeDocument/2006/relationships/worksheet" Target="/xl/worksheets/sheet42.xml" Id="R2a173233ad3a4c29" /><Relationship Type="http://schemas.openxmlformats.org/officeDocument/2006/relationships/worksheet" Target="/xl/worksheets/sheet43.xml" Id="R4a03f29c5c834413" /><Relationship Type="http://schemas.openxmlformats.org/officeDocument/2006/relationships/worksheet" Target="/xl/worksheets/sheet44.xml" Id="R83cb7b224c9346ee" /><Relationship Type="http://schemas.openxmlformats.org/officeDocument/2006/relationships/worksheet" Target="/xl/worksheets/sheet45.xml" Id="Rfe45ad0680b84ed1" /><Relationship Type="http://schemas.openxmlformats.org/officeDocument/2006/relationships/worksheet" Target="/xl/worksheets/sheet46.xml" Id="Rfee18d744f204c2d" /><Relationship Type="http://schemas.openxmlformats.org/officeDocument/2006/relationships/worksheet" Target="/xl/worksheets/sheet47.xml" Id="R070041d532034977" /><Relationship Type="http://schemas.openxmlformats.org/officeDocument/2006/relationships/worksheet" Target="/xl/worksheets/sheet48.xml" Id="R9a20fa3cf8ed48bf" /><Relationship Type="http://schemas.openxmlformats.org/officeDocument/2006/relationships/worksheet" Target="/xl/worksheets/sheet49.xml" Id="R22f5a2e8138a422b" /><Relationship Type="http://schemas.openxmlformats.org/officeDocument/2006/relationships/worksheet" Target="/xl/worksheets/sheet50.xml" Id="Raa218a663719448c" /><Relationship Type="http://schemas.openxmlformats.org/officeDocument/2006/relationships/worksheet" Target="/xl/worksheets/sheet51.xml" Id="Reb4a3530834e408b" /><Relationship Type="http://schemas.openxmlformats.org/officeDocument/2006/relationships/worksheet" Target="/xl/worksheets/sheet52.xml" Id="Rb3e16a12afc841cc" /><Relationship Type="http://schemas.openxmlformats.org/officeDocument/2006/relationships/worksheet" Target="/xl/worksheets/sheet53.xml" Id="R318922a82c344840" /><Relationship Type="http://schemas.openxmlformats.org/officeDocument/2006/relationships/worksheet" Target="/xl/worksheets/sheet54.xml" Id="R57c99188d992498c" /><Relationship Type="http://schemas.openxmlformats.org/officeDocument/2006/relationships/worksheet" Target="/xl/worksheets/sheet55.xml" Id="Ra7a67e6758064b0a" /><Relationship Type="http://schemas.openxmlformats.org/officeDocument/2006/relationships/worksheet" Target="/xl/worksheets/sheet56.xml" Id="R38231555cb01448b" /><Relationship Type="http://schemas.openxmlformats.org/officeDocument/2006/relationships/worksheet" Target="/xl/worksheets/sheet57.xml" Id="R5bba18fda2ce4da5" /><Relationship Type="http://schemas.openxmlformats.org/officeDocument/2006/relationships/worksheet" Target="/xl/worksheets/sheet58.xml" Id="Reb1d03d51a5f40a1" /><Relationship Type="http://schemas.openxmlformats.org/officeDocument/2006/relationships/worksheet" Target="/xl/worksheets/sheet59.xml" Id="R0b049edc2704402b" /><Relationship Type="http://schemas.openxmlformats.org/officeDocument/2006/relationships/worksheet" Target="/xl/worksheets/sheet60.xml" Id="R82b8896879dc42cb" /><Relationship Type="http://schemas.openxmlformats.org/officeDocument/2006/relationships/worksheet" Target="/xl/worksheets/sheet61.xml" Id="R7832f9be485248e1" /><Relationship Type="http://schemas.openxmlformats.org/officeDocument/2006/relationships/worksheet" Target="/xl/worksheets/sheet62.xml" Id="Rc2eac176af124c1b" /><Relationship Type="http://schemas.openxmlformats.org/officeDocument/2006/relationships/worksheet" Target="/xl/worksheets/sheet63.xml" Id="R3665b898ca4f4d91" /><Relationship Type="http://schemas.openxmlformats.org/officeDocument/2006/relationships/worksheet" Target="/xl/worksheets/sheet64.xml" Id="R019b985d6a0b46e3" /><Relationship Type="http://schemas.openxmlformats.org/officeDocument/2006/relationships/worksheet" Target="/xl/worksheets/sheet65.xml" Id="R80c1e41f31194623" /><Relationship Type="http://schemas.openxmlformats.org/officeDocument/2006/relationships/worksheet" Target="/xl/worksheets/sheet66.xml" Id="Rae430a17028f48a4" /><Relationship Type="http://schemas.openxmlformats.org/officeDocument/2006/relationships/worksheet" Target="/xl/worksheets/sheet67.xml" Id="Re3f9db9d6a9c46c0" /><Relationship Type="http://schemas.openxmlformats.org/officeDocument/2006/relationships/worksheet" Target="/xl/worksheets/sheet68.xml" Id="Ra0fa9699655b4bb6" /><Relationship Type="http://schemas.openxmlformats.org/officeDocument/2006/relationships/worksheet" Target="/xl/worksheets/sheet69.xml" Id="Rab5bc7c123b14a09" /><Relationship Type="http://schemas.openxmlformats.org/officeDocument/2006/relationships/worksheet" Target="/xl/worksheets/sheet70.xml" Id="R2c9f7c3214184dca" /><Relationship Type="http://schemas.openxmlformats.org/officeDocument/2006/relationships/worksheet" Target="/xl/worksheets/sheet71.xml" Id="Rf222604f4244462c" /><Relationship Type="http://schemas.openxmlformats.org/officeDocument/2006/relationships/worksheet" Target="/xl/worksheets/sheet72.xml" Id="R4c71e2f295c84d79" /><Relationship Type="http://schemas.openxmlformats.org/officeDocument/2006/relationships/worksheet" Target="/xl/worksheets/sheet73.xml" Id="R8fdaa980ee7a4dfd" /><Relationship Type="http://schemas.openxmlformats.org/officeDocument/2006/relationships/worksheet" Target="/xl/worksheets/sheet74.xml" Id="Rba00300965d947be" /><Relationship Type="http://schemas.openxmlformats.org/officeDocument/2006/relationships/worksheet" Target="/xl/worksheets/sheet75.xml" Id="R4745744ac8d34445" /><Relationship Type="http://schemas.openxmlformats.org/officeDocument/2006/relationships/worksheet" Target="/xl/worksheets/sheet76.xml" Id="R3ad9c05ccd204603" /><Relationship Type="http://schemas.openxmlformats.org/officeDocument/2006/relationships/worksheet" Target="/xl/worksheets/sheet77.xml" Id="Rccebdef5c97640ce" /><Relationship Type="http://schemas.openxmlformats.org/officeDocument/2006/relationships/worksheet" Target="/xl/worksheets/sheet78.xml" Id="R2ed7e04e94ca48d2" /><Relationship Type="http://schemas.openxmlformats.org/officeDocument/2006/relationships/worksheet" Target="/xl/worksheets/sheet79.xml" Id="Rabf27f3040654584" /><Relationship Type="http://schemas.openxmlformats.org/officeDocument/2006/relationships/worksheet" Target="/xl/worksheets/sheet80.xml" Id="R29698eeacee846f1" /><Relationship Type="http://schemas.openxmlformats.org/officeDocument/2006/relationships/worksheet" Target="/xl/worksheets/sheet81.xml" Id="Rde78922da6dd4702" /><Relationship Type="http://schemas.openxmlformats.org/officeDocument/2006/relationships/worksheet" Target="/xl/worksheets/sheet82.xml" Id="Rfcde4bde0a9f4fcc" /><Relationship Type="http://schemas.openxmlformats.org/officeDocument/2006/relationships/worksheet" Target="/xl/worksheets/sheet83.xml" Id="R5162e4970c0b4fd3" /><Relationship Type="http://schemas.openxmlformats.org/officeDocument/2006/relationships/worksheet" Target="/xl/worksheets/sheet84.xml" Id="Red7aa59659eb42f5" /><Relationship Type="http://schemas.openxmlformats.org/officeDocument/2006/relationships/worksheet" Target="/xl/worksheets/sheet85.xml" Id="Ra64e1135fd934307" /><Relationship Type="http://schemas.openxmlformats.org/officeDocument/2006/relationships/worksheet" Target="/xl/worksheets/sheet86.xml" Id="R4a1faf94225a453d" /><Relationship Type="http://schemas.openxmlformats.org/officeDocument/2006/relationships/worksheet" Target="/xl/worksheets/sheet87.xml" Id="Raa451836083b4642" /><Relationship Type="http://schemas.openxmlformats.org/officeDocument/2006/relationships/worksheet" Target="/xl/worksheets/sheet88.xml" Id="R81673860ba774234" /><Relationship Type="http://schemas.openxmlformats.org/officeDocument/2006/relationships/worksheet" Target="/xl/worksheets/sheet89.xml" Id="R80656f07eaf64a1f" /><Relationship Type="http://schemas.openxmlformats.org/officeDocument/2006/relationships/worksheet" Target="/xl/worksheets/sheet90.xml" Id="R075b8df046504fed" /><Relationship Type="http://schemas.openxmlformats.org/officeDocument/2006/relationships/worksheet" Target="/xl/worksheets/sheet91.xml" Id="R4eb342db8b68492d" /><Relationship Type="http://schemas.openxmlformats.org/officeDocument/2006/relationships/worksheet" Target="/xl/worksheets/sheet92.xml" Id="R3d8164e2b6a44a3b" /><Relationship Type="http://schemas.openxmlformats.org/officeDocument/2006/relationships/worksheet" Target="/xl/worksheets/sheet93.xml" Id="R3c9759d88f6f4b43" /><Relationship Type="http://schemas.openxmlformats.org/officeDocument/2006/relationships/worksheet" Target="/xl/worksheets/sheet94.xml" Id="Ra0908db99d534913" /><Relationship Type="http://schemas.openxmlformats.org/officeDocument/2006/relationships/worksheet" Target="/xl/worksheets/sheet95.xml" Id="R3432915df253405e" /><Relationship Type="http://schemas.openxmlformats.org/officeDocument/2006/relationships/worksheet" Target="/xl/worksheets/sheet96.xml" Id="R864bc98d5c044c96" /><Relationship Type="http://schemas.openxmlformats.org/officeDocument/2006/relationships/worksheet" Target="/xl/worksheets/sheet97.xml" Id="R7a66c50058fe4add" /><Relationship Type="http://schemas.openxmlformats.org/officeDocument/2006/relationships/worksheet" Target="/xl/worksheets/sheet98.xml" Id="R697cfd3bf10e4b0a" /><Relationship Type="http://schemas.openxmlformats.org/officeDocument/2006/relationships/worksheet" Target="/xl/worksheets/sheet99.xml" Id="R1ec64851c95a4645" /><Relationship Type="http://schemas.openxmlformats.org/officeDocument/2006/relationships/worksheet" Target="/xl/worksheets/sheet100.xml" Id="R034c9bc1464e40fa" /><Relationship Type="http://schemas.openxmlformats.org/officeDocument/2006/relationships/worksheet" Target="/xl/worksheets/sheet101.xml" Id="R0c459d927d524ffc" /><Relationship Type="http://schemas.openxmlformats.org/officeDocument/2006/relationships/worksheet" Target="/xl/worksheets/sheet102.xml" Id="R6c80912a3f8f4660" /><Relationship Type="http://schemas.openxmlformats.org/officeDocument/2006/relationships/worksheet" Target="/xl/worksheets/sheet103.xml" Id="Rbc6a09185f514c9d" /><Relationship Type="http://schemas.openxmlformats.org/officeDocument/2006/relationships/worksheet" Target="/xl/worksheets/sheet104.xml" Id="R6e6cfcd515f04da2" /><Relationship Type="http://schemas.openxmlformats.org/officeDocument/2006/relationships/worksheet" Target="/xl/worksheets/sheet105.xml" Id="Rca76329ce1eb4d3b" /><Relationship Type="http://schemas.openxmlformats.org/officeDocument/2006/relationships/worksheet" Target="/xl/worksheets/sheet106.xml" Id="Ra5980fb1571c4813" /><Relationship Type="http://schemas.openxmlformats.org/officeDocument/2006/relationships/worksheet" Target="/xl/worksheets/sheet107.xml" Id="Rf0fe0e7b834a4eed" /><Relationship Type="http://schemas.openxmlformats.org/officeDocument/2006/relationships/worksheet" Target="/xl/worksheets/sheet108.xml" Id="R008f5d4799ee4ef0" /><Relationship Type="http://schemas.openxmlformats.org/officeDocument/2006/relationships/worksheet" Target="/xl/worksheets/sheet109.xml" Id="R52c1b59308d242d8" /><Relationship Type="http://schemas.openxmlformats.org/officeDocument/2006/relationships/worksheet" Target="/xl/worksheets/sheet110.xml" Id="Rd481396d88ec43be" /><Relationship Type="http://schemas.openxmlformats.org/officeDocument/2006/relationships/worksheet" Target="/xl/worksheets/sheet111.xml" Id="Ra13050c824e1444c" /><Relationship Type="http://schemas.openxmlformats.org/officeDocument/2006/relationships/worksheet" Target="/xl/worksheets/sheet112.xml" Id="Reb0dc80714724cde" /><Relationship Type="http://schemas.openxmlformats.org/officeDocument/2006/relationships/worksheet" Target="/xl/worksheets/sheet113.xml" Id="Rc58b862c63ea43ae" /><Relationship Type="http://schemas.openxmlformats.org/officeDocument/2006/relationships/worksheet" Target="/xl/worksheets/sheet114.xml" Id="R8d2626bc820f4bf3" /><Relationship Type="http://schemas.openxmlformats.org/officeDocument/2006/relationships/worksheet" Target="/xl/worksheets/sheet115.xml" Id="R3bd6c44523e84e97" /><Relationship Type="http://schemas.openxmlformats.org/officeDocument/2006/relationships/worksheet" Target="/xl/worksheets/sheet116.xml" Id="R19d97f40cfd84dfc" /><Relationship Type="http://schemas.openxmlformats.org/officeDocument/2006/relationships/worksheet" Target="/xl/worksheets/sheet117.xml" Id="R50fe875524804c94" /><Relationship Type="http://schemas.openxmlformats.org/officeDocument/2006/relationships/worksheet" Target="/xl/worksheets/sheet118.xml" Id="R4467a4038f734fa6" /><Relationship Type="http://schemas.openxmlformats.org/officeDocument/2006/relationships/worksheet" Target="/xl/worksheets/sheet119.xml" Id="R30f3223f40bf4bcf" /><Relationship Type="http://schemas.openxmlformats.org/officeDocument/2006/relationships/worksheet" Target="/xl/worksheets/sheet120.xml" Id="R120921cbca424d66" /><Relationship Type="http://schemas.openxmlformats.org/officeDocument/2006/relationships/worksheet" Target="/xl/worksheets/sheet121.xml" Id="R536bbc7a1d954607" /><Relationship Type="http://schemas.openxmlformats.org/officeDocument/2006/relationships/worksheet" Target="/xl/worksheets/sheet122.xml" Id="R97451b1fd0a849b6" /><Relationship Type="http://schemas.openxmlformats.org/officeDocument/2006/relationships/worksheet" Target="/xl/worksheets/sheet123.xml" Id="Rea1dc20cf11140f7" /><Relationship Type="http://schemas.openxmlformats.org/officeDocument/2006/relationships/worksheet" Target="/xl/worksheets/sheet124.xml" Id="Rc3fc6c1d0b4e44b7" /><Relationship Type="http://schemas.openxmlformats.org/officeDocument/2006/relationships/worksheet" Target="/xl/worksheets/sheet125.xml" Id="Ra4e77a2b18d342b7" /><Relationship Type="http://schemas.openxmlformats.org/officeDocument/2006/relationships/worksheet" Target="/xl/worksheets/sheet126.xml" Id="Rc3cd5cd818504cee" /><Relationship Type="http://schemas.openxmlformats.org/officeDocument/2006/relationships/worksheet" Target="/xl/worksheets/sheet127.xml" Id="R8909cf653eea4e50" /><Relationship Type="http://schemas.openxmlformats.org/officeDocument/2006/relationships/worksheet" Target="/xl/worksheets/sheet128.xml" Id="R067c9c3ec2064653" /><Relationship Type="http://schemas.openxmlformats.org/officeDocument/2006/relationships/worksheet" Target="/xl/worksheets/sheet129.xml" Id="R45ac2d725c9f4c8a" /><Relationship Type="http://schemas.openxmlformats.org/officeDocument/2006/relationships/worksheet" Target="/xl/worksheets/sheet130.xml" Id="Rfd8e5663bd774f38" /><Relationship Type="http://schemas.openxmlformats.org/officeDocument/2006/relationships/worksheet" Target="/xl/worksheets/sheet131.xml" Id="R0cc0559c68f548d9" /><Relationship Type="http://schemas.openxmlformats.org/officeDocument/2006/relationships/worksheet" Target="/xl/worksheets/sheet132.xml" Id="R8fe661b4bddb48c8" /><Relationship Type="http://schemas.openxmlformats.org/officeDocument/2006/relationships/worksheet" Target="/xl/worksheets/sheet133.xml" Id="R3e608c0b16834cf3" /><Relationship Type="http://schemas.openxmlformats.org/officeDocument/2006/relationships/worksheet" Target="/xl/worksheets/sheet134.xml" Id="Ra2de69f466f54818" /><Relationship Type="http://schemas.openxmlformats.org/officeDocument/2006/relationships/worksheet" Target="/xl/worksheets/sheet135.xml" Id="Rc4a8d2601c4f40ee" /><Relationship Type="http://schemas.openxmlformats.org/officeDocument/2006/relationships/worksheet" Target="/xl/worksheets/sheet136.xml" Id="R4dbe9cf17d3f4cee" /><Relationship Type="http://schemas.openxmlformats.org/officeDocument/2006/relationships/worksheet" Target="/xl/worksheets/sheet137.xml" Id="Rdc5d4687751a4c6a" /><Relationship Type="http://schemas.openxmlformats.org/officeDocument/2006/relationships/worksheet" Target="/xl/worksheets/sheet138.xml" Id="Raa0782a5b32c4145" /><Relationship Type="http://schemas.openxmlformats.org/officeDocument/2006/relationships/worksheet" Target="/xl/worksheets/sheet139.xml" Id="R97695e4a8780475e" /><Relationship Type="http://schemas.openxmlformats.org/officeDocument/2006/relationships/worksheet" Target="/xl/worksheets/sheet140.xml" Id="R21aad156dd364be8" /><Relationship Type="http://schemas.openxmlformats.org/officeDocument/2006/relationships/worksheet" Target="/xl/worksheets/sheet141.xml" Id="R9d1a30000a0442c5" /><Relationship Type="http://schemas.openxmlformats.org/officeDocument/2006/relationships/worksheet" Target="/xl/worksheets/sheet142.xml" Id="R337445a066eb4df6" /><Relationship Type="http://schemas.openxmlformats.org/officeDocument/2006/relationships/worksheet" Target="/xl/worksheets/sheet143.xml" Id="Rd36e69ae93d7476e" /><Relationship Type="http://schemas.openxmlformats.org/officeDocument/2006/relationships/worksheet" Target="/xl/worksheets/sheet144.xml" Id="Rd7a86f2b66bd4fe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50ef8efae4c745f4" /><Relationship Type="http://schemas.openxmlformats.org/officeDocument/2006/relationships/chart" Target="/xl/drawings/charts/chart2.xml" Id="R27af438ad70b43e8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3.xml" Id="R87e12856455e45b7" /><Relationship Type="http://schemas.openxmlformats.org/officeDocument/2006/relationships/chart" Target="/xl/drawings/charts/chart4.xml" Id="R523c4dd98f0e4206" /><Relationship Type="http://schemas.openxmlformats.org/officeDocument/2006/relationships/chart" Target="/xl/drawings/charts/chart5.xml" Id="R8982da0f1b6748f1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chart" Target="/xl/drawings/charts/chart6.xml" Id="Rd003466d105d48f9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chart" Target="/xl/drawings/charts/chart7.xml" Id="R46902db9874543ba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chart" Target="/xl/drawings/charts/chart8.xml" Id="R2b5bc7c36a46499c" /></Relationships>
</file>

<file path=xl/drawings/_rels/drawing6.xml.rels>&#65279;<?xml version="1.0" encoding="utf-8"?><Relationships xmlns="http://schemas.openxmlformats.org/package/2006/relationships"><Relationship Type="http://schemas.openxmlformats.org/officeDocument/2006/relationships/chart" Target="/xl/drawings/charts/chart9.xml" Id="R7b168491d2d245a4" /></Relationships>
</file>

<file path=xl/drawings/_rels/drawing7.xml.rels>&#65279;<?xml version="1.0" encoding="utf-8"?><Relationships xmlns="http://schemas.openxmlformats.org/package/2006/relationships"><Relationship Type="http://schemas.openxmlformats.org/officeDocument/2006/relationships/chart" Target="/xl/drawings/charts/chart10.xml" Id="Rd6fc8c32711c4562" /></Relationships>
</file>

<file path=xl/drawings/_rels/drawing8.xml.rels>&#65279;<?xml version="1.0" encoding="utf-8"?><Relationships xmlns="http://schemas.openxmlformats.org/package/2006/relationships"><Relationship Type="http://schemas.openxmlformats.org/officeDocument/2006/relationships/chart" Target="/xl/drawings/charts/chart11.xml" Id="R5b837284b19d476f" /></Relationships>
</file>

<file path=xl/drawings/_rels/drawing9.xml.rels>&#65279;<?xml version="1.0" encoding="utf-8"?><Relationships xmlns="http://schemas.openxmlformats.org/package/2006/relationships"><Relationship Type="http://schemas.openxmlformats.org/officeDocument/2006/relationships/chart" Target="/xl/drawings/charts/chart12.xml" Id="R163fb659593d4cfc" /></Relationships>
</file>

<file path=xl/drawings/_rels/drawing10.xml.rels>&#65279;<?xml version="1.0" encoding="utf-8"?><Relationships xmlns="http://schemas.openxmlformats.org/package/2006/relationships"><Relationship Type="http://schemas.openxmlformats.org/officeDocument/2006/relationships/chart" Target="/xl/drawings/charts/chart13.xml" Id="R24364acdbf7e4c46" /></Relationships>
</file>

<file path=xl/drawings/_rels/drawing11.xml.rels>&#65279;<?xml version="1.0" encoding="utf-8"?><Relationships xmlns="http://schemas.openxmlformats.org/package/2006/relationships"><Relationship Type="http://schemas.openxmlformats.org/officeDocument/2006/relationships/chart" Target="/xl/drawings/charts/chart14.xml" Id="R1a82dd069fc143fa" /></Relationships>
</file>

<file path=xl/drawings/_rels/drawing12.xml.rels>&#65279;<?xml version="1.0" encoding="utf-8"?><Relationships xmlns="http://schemas.openxmlformats.org/package/2006/relationships"><Relationship Type="http://schemas.openxmlformats.org/officeDocument/2006/relationships/chart" Target="/xl/drawings/charts/chart15.xml" Id="Rfc6e7be69844458c" /></Relationships>
</file>

<file path=xl/drawings/_rels/drawing13.xml.rels>&#65279;<?xml version="1.0" encoding="utf-8"?><Relationships xmlns="http://schemas.openxmlformats.org/package/2006/relationships"><Relationship Type="http://schemas.openxmlformats.org/officeDocument/2006/relationships/chart" Target="/xl/drawings/charts/chart16.xml" Id="Rd2da483269eb4f53" /></Relationships>
</file>

<file path=xl/drawings/_rels/drawing14.xml.rels>&#65279;<?xml version="1.0" encoding="utf-8"?><Relationships xmlns="http://schemas.openxmlformats.org/package/2006/relationships"><Relationship Type="http://schemas.openxmlformats.org/officeDocument/2006/relationships/chart" Target="/xl/drawings/charts/chart17.xml" Id="Radd5d18c87aa489c" /></Relationships>
</file>

<file path=xl/drawings/_rels/drawing15.xml.rels>&#65279;<?xml version="1.0" encoding="utf-8"?><Relationships xmlns="http://schemas.openxmlformats.org/package/2006/relationships"><Relationship Type="http://schemas.openxmlformats.org/officeDocument/2006/relationships/chart" Target="/xl/drawings/charts/chart18.xml" Id="Rf03daf7a39ca4090" /></Relationships>
</file>

<file path=xl/drawings/_rels/drawing16.xml.rels>&#65279;<?xml version="1.0" encoding="utf-8"?><Relationships xmlns="http://schemas.openxmlformats.org/package/2006/relationships"><Relationship Type="http://schemas.openxmlformats.org/officeDocument/2006/relationships/chart" Target="/xl/drawings/charts/chart19.xml" Id="Rf8177e9ff2704a7b" /></Relationships>
</file>

<file path=xl/drawings/_rels/drawing17.xml.rels>&#65279;<?xml version="1.0" encoding="utf-8"?><Relationships xmlns="http://schemas.openxmlformats.org/package/2006/relationships"><Relationship Type="http://schemas.openxmlformats.org/officeDocument/2006/relationships/chart" Target="/xl/drawings/charts/chart20.xml" Id="Re6adfe3bfb374058" /></Relationships>
</file>

<file path=xl/drawings/_rels/drawing18.xml.rels>&#65279;<?xml version="1.0" encoding="utf-8"?><Relationships xmlns="http://schemas.openxmlformats.org/package/2006/relationships"><Relationship Type="http://schemas.openxmlformats.org/officeDocument/2006/relationships/chart" Target="/xl/drawings/charts/chart21.xml" Id="Ra10c2d12e74c4b0d" /><Relationship Type="http://schemas.openxmlformats.org/officeDocument/2006/relationships/chart" Target="/xl/drawings/charts/chart22.xml" Id="Rf8e70251c8a14fa8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SU7 标准→Pro｜中情景未税价差构成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金额</c:v>
          </c:tx>
          <c:cat>
            <c:strRef>
              <c:f>'13_SU7瀑布'!$A$7:$A$10</c:f>
              <c:strCache>
                <c:ptCount val="0"/>
              </c:strCache>
            </c:strRef>
          </c:cat>
          <c:val>
            <c:numRef>
              <c:f>'13_SU7瀑布'!$B$7:$B$10</c:f>
              <c:numCache>
                <c:formatCode>¥#,##0.00;[Red](¥#,##0.00);-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SU7 Pro→Max｜中情景未税价差构成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金额</c:v>
          </c:tx>
          <c:cat>
            <c:strRef>
              <c:f>'13_SU7瀑布'!$A$25:$A$28</c:f>
              <c:strCache>
                <c:ptCount val="0"/>
              </c:strCache>
            </c:strRef>
          </c:cat>
          <c:val>
            <c:numRef>
              <c:f>'13_SU7瀑布'!$B$25:$B$28</c:f>
              <c:numCache>
                <c:formatCode>¥#,##0.00;[Red](¥#,##0.00);-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YU7 标准→长续航｜中情景未税价差构成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金额</c:v>
          </c:tx>
          <c:cat>
            <c:strRef>
              <c:f>'14_YU7瀑布'!$A$7:$A$10</c:f>
              <c:strCache>
                <c:ptCount val="0"/>
              </c:strCache>
            </c:strRef>
          </c:cat>
          <c:val>
            <c:numRef>
              <c:f>'14_YU7瀑布'!$B$7:$B$10</c:f>
              <c:numCache>
                <c:formatCode>¥#,##0.00;[Red](¥#,##0.00);-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YU7 长续航→Pro｜中情景未税价差构成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金额</c:v>
          </c:tx>
          <c:cat>
            <c:strRef>
              <c:f>'14_YU7瀑布'!$A$25:$A$28</c:f>
              <c:strCache>
                <c:ptCount val="0"/>
              </c:strCache>
            </c:strRef>
          </c:cat>
          <c:val>
            <c:numRef>
              <c:f>'14_YU7瀑布'!$B$25:$B$28</c:f>
              <c:numCache>
                <c:formatCode>¥#,##0.00;[Red](¥#,##0.00);-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5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YU7 Pro→Max｜中情景未税价差构成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金额</c:v>
          </c:tx>
          <c:cat>
            <c:strRef>
              <c:f>'14_YU7瀑布'!$A$43:$A$46</c:f>
              <c:strCache>
                <c:ptCount val="0"/>
              </c:strCache>
            </c:strRef>
          </c:cat>
          <c:val>
            <c:numRef>
              <c:f>'14_YU7瀑布'!$B$43:$B$46</c:f>
              <c:numCache>
                <c:formatCode>¥#,##0.00;[Red](¥#,##0.00);-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6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中情景定价残余排序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中情景定价残余</c:v>
          </c:tx>
          <c:cat>
            <c:strRef>
              <c:f>'16_残余解释'!$J$7:$J$11</c:f>
              <c:strCache>
                <c:ptCount val="0"/>
              </c:strCache>
            </c:strRef>
          </c:cat>
          <c:val>
            <c:numRef>
              <c:f>'16_残余解释'!$K$7:$K$11</c:f>
              <c:numCache>
                <c:formatCode>¥#,##0.00;[Red](¥#,##0.00);-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7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四组可比桥：原始未税价差 vs 已知差异调整后未分配价差（元）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原始未税价差</c:v>
          </c:tx>
          <c:cat>
            <c:strRef>
              <c:f>'21_规则提炼'!$A$23:$A$26</c:f>
              <c:strCache>
                <c:ptCount val="0"/>
              </c:strCache>
            </c:strRef>
          </c:cat>
          <c:val>
            <c:numRef>
              <c:f>'21_规则提炼'!$B$23:$B$26</c:f>
              <c:numCache>
                <c:formatCode>¥#,##0.00;[Red](¥#,##0.00);-</c:formatCode>
                <c:ptCount val="0"/>
              </c:numCache>
            </c:numRef>
          </c:val>
        </c:ser>
        <c:ser>
          <c:idx val="1"/>
          <c:order val="1"/>
          <c:tx>
            <c:v>已知差异调整后未分配价差_中</c:v>
          </c:tx>
          <c:cat>
            <c:strRef>
              <c:f>'21_规则提炼'!$A$23:$A$26</c:f>
              <c:strCache>
                <c:ptCount val="0"/>
              </c:strCache>
            </c:strRef>
          </c:cat>
          <c:val>
            <c:numRef>
              <c:f>'21_规则提炼'!$C$23:$C$26</c:f>
              <c:numCache>
                <c:formatCode>¥#,##0.00;[Red](¥#,##0.00);-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8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四桥待解释价差：严格区间与中值（元）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ResidualMin</c:v>
          </c:tx>
          <c:cat>
            <c:strRef>
              <c:f>'28_四桥残差'!$A$14:$A$17</c:f>
              <c:strCache>
                <c:ptCount val="0"/>
              </c:strCache>
            </c:strRef>
          </c:cat>
          <c:val>
            <c:numRef>
              <c:f>'28_四桥残差'!$B$14:$B$17</c:f>
              <c:numCache>
                <c:formatCode>#,##0.00;[Red](#,##0.00);-</c:formatCode>
                <c:ptCount val="0"/>
              </c:numCache>
            </c:numRef>
          </c:val>
        </c:ser>
        <c:ser>
          <c:idx val="1"/>
          <c:order val="1"/>
          <c:tx>
            <c:v>ResidualMM</c:v>
          </c:tx>
          <c:cat>
            <c:strRef>
              <c:f>'28_四桥残差'!$A$14:$A$17</c:f>
              <c:strCache>
                <c:ptCount val="0"/>
              </c:strCache>
            </c:strRef>
          </c:cat>
          <c:val>
            <c:numRef>
              <c:f>'28_四桥残差'!$C$14:$C$17</c:f>
              <c:numCache>
                <c:formatCode>#,##0.00;[Red](#,##0.00);-</c:formatCode>
                <c:ptCount val="0"/>
              </c:numCache>
            </c:numRef>
          </c:val>
        </c:ser>
        <c:ser>
          <c:idx val="2"/>
          <c:order val="2"/>
          <c:tx>
            <c:v>ResidualMax</c:v>
          </c:tx>
          <c:cat>
            <c:strRef>
              <c:f>'28_四桥残差'!$A$14:$A$17</c:f>
              <c:strCache>
                <c:ptCount val="0"/>
              </c:strCache>
            </c:strRef>
          </c:cat>
          <c:val>
            <c:numRef>
              <c:f>'28_四桥残差'!$D$14:$D$17</c:f>
              <c:numCache>
                <c:formatCode>#,##0.00;[Red](#,##0.00);-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9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五桥中成本价格/成本比（x）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中成本P/C</c:v>
          </c:tx>
          <c:cat>
            <c:strRef>
              <c:f>'32_五桥传导率'!$P$6:$P$10</c:f>
              <c:strCache>
                <c:ptCount val="0"/>
              </c:strCache>
            </c:strRef>
          </c:cat>
          <c:val>
            <c:numRef>
              <c:f>'32_五桥传导率'!$Q$6:$Q$10</c:f>
              <c:numCache>
                <c:formatCode>0.0000x;[Red](0.0000x);-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  <c:min val="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0x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0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4万元预售价差：成本驱动解释与未解释残余（含税元）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成本驱动含税价差</c:v>
          </c:tx>
          <c:cat>
            <c:strRef>
              <c:f>'70_预售价差拆解'!$K$15:$K$17</c:f>
              <c:strCache>
                <c:ptCount val="0"/>
              </c:strCache>
            </c:strRef>
          </c:cat>
          <c:val>
            <c:numRef>
              <c:f>'70_预售价差拆解'!$L$15:$L$17</c:f>
              <c:numCache>
                <c:formatCode>¥#,##0</c:formatCode>
                <c:ptCount val="0"/>
              </c:numCache>
            </c:numRef>
          </c:val>
        </c:ser>
        <c:ser>
          <c:idx val="1"/>
          <c:order val="1"/>
          <c:tx>
            <c:v>未解释含税残余</c:v>
          </c:tx>
          <c:cat>
            <c:strRef>
              <c:f>'70_预售价差拆解'!$K$15:$K$17</c:f>
              <c:strCache>
                <c:ptCount val="0"/>
              </c:strCache>
            </c:strRef>
          </c:cat>
          <c:val>
            <c:numRef>
              <c:f>'70_预售价差拆解'!$M$15:$M$17</c:f>
              <c:numCache>
                <c:formatCode>¥#,##0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  <c:min val="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升顶技术桥未税价格组成：普通κ / 特殊可变 / NRE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varyColors val="0"/>
        <c:ser>
          <c:idx val="0"/>
          <c:order val="0"/>
          <c:tx>
            <c:v>普通硬件κ后</c:v>
          </c:tx>
          <c:cat>
            <c:strRef>
              <c:f>'79_工程情景汇总'!$J$7:$J$9</c:f>
              <c:strCache>
                <c:ptCount val="0"/>
              </c:strCache>
            </c:strRef>
          </c:cat>
          <c:val>
            <c:numRef>
              <c:f>'79_工程情景汇总'!$K$7:$K$9</c:f>
              <c:numCache>
                <c:formatCode>¥#,##0</c:formatCode>
                <c:ptCount val="0"/>
              </c:numCache>
            </c:numRef>
          </c:val>
        </c:ser>
        <c:ser>
          <c:idx val="1"/>
          <c:order val="1"/>
          <c:tx>
            <c:v>特殊可变直传</c:v>
          </c:tx>
          <c:cat>
            <c:strRef>
              <c:f>'79_工程情景汇总'!$J$7:$J$9</c:f>
              <c:strCache>
                <c:ptCount val="0"/>
              </c:strCache>
            </c:strRef>
          </c:cat>
          <c:val>
            <c:numRef>
              <c:f>'79_工程情景汇总'!$L$7:$L$9</c:f>
              <c:numCache>
                <c:formatCode>¥#,##0</c:formatCode>
                <c:ptCount val="0"/>
              </c:numCache>
            </c:numRef>
          </c:val>
        </c:ser>
        <c:ser>
          <c:idx val="2"/>
          <c:order val="2"/>
          <c:tx>
            <c:v>NRE摊销</c:v>
          </c:tx>
          <c:cat>
            <c:strRef>
              <c:f>'79_工程情景汇总'!$J$7:$J$9</c:f>
              <c:strCache>
                <c:ptCount val="0"/>
              </c:strCache>
            </c:strRef>
          </c:cat>
          <c:val>
            <c:numRef>
              <c:f>'79_工程情景汇总'!$M$7:$M$9</c:f>
              <c:numCache>
                <c:formatCode>¥#,##0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  <c:min val="-100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#,##0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澎程四节点正式售价预测：下沿 / 点估计 / 上沿（万元）</a:t>
            </a:r>
          </a:p>
        </c:rich>
      </c:tx>
    </c:title>
    <c:plotArea>
      <c:barChart>
        <c:barDir val="col"/>
        <c:grouping val="clustered"/>
        <c:varyColors val="0"/>
        <c:ser>
          <c:idx val="0"/>
          <c:order val="0"/>
          <c:tx>
            <c:v>区间下沿</c:v>
          </c:tx>
          <c:cat>
            <c:strRef>
              <c:f>'87_商业定价合成'!$P$6:$P$9</c:f>
              <c:strCache>
                <c:ptCount val="0"/>
              </c:strCache>
            </c:strRef>
          </c:cat>
          <c:val>
            <c:numRef>
              <c:f>'87_商业定价合成'!$Q$6:$Q$9</c:f>
              <c:numCache>
                <c:formatCode>0.00"万"</c:formatCode>
                <c:ptCount val="0"/>
              </c:numCache>
            </c:numRef>
          </c:val>
        </c:ser>
        <c:ser>
          <c:idx val="1"/>
          <c:order val="1"/>
          <c:tx>
            <c:v>点估计</c:v>
          </c:tx>
          <c:cat>
            <c:strRef>
              <c:f>'87_商业定价合成'!$P$6:$P$9</c:f>
              <c:strCache>
                <c:ptCount val="0"/>
              </c:strCache>
            </c:strRef>
          </c:cat>
          <c:val>
            <c:numRef>
              <c:f>'87_商业定价合成'!$R$6:$R$9</c:f>
              <c:numCache>
                <c:formatCode>0.00"万"</c:formatCode>
                <c:ptCount val="0"/>
              </c:numCache>
            </c:numRef>
          </c:val>
        </c:ser>
        <c:ser>
          <c:idx val="2"/>
          <c:order val="2"/>
          <c:tx>
            <c:v>区间上沿</c:v>
          </c:tx>
          <c:cat>
            <c:strRef>
              <c:f>'87_商业定价合成'!$P$6:$P$9</c:f>
              <c:strCache>
                <c:ptCount val="0"/>
              </c:strCache>
            </c:strRef>
          </c:cat>
          <c:val>
            <c:numRef>
              <c:f>'87_商业定价合成'!$S$6:$S$9</c:f>
              <c:numCache>
                <c:formatCode>0.00"万"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升顶候选价格情景权重</a:t>
            </a:r>
          </a:p>
        </c:rich>
      </c:tx>
    </c:title>
    <c:plotArea>
      <c:barChart>
        <c:barDir val="col"/>
        <c:grouping val="clustered"/>
        <c:varyColors val="0"/>
        <c:ser>
          <c:idx val="0"/>
          <c:order val="0"/>
          <c:tx>
            <c:v>权重</c:v>
          </c:tx>
          <c:cat>
            <c:strRef>
              <c:f>'91_情景敏感性'!$J$6:$J$9</c:f>
              <c:strCache>
                <c:ptCount val="0"/>
              </c:strCache>
            </c:strRef>
          </c:cat>
          <c:val>
            <c:numRef>
              <c:f>'91_情景敏感性'!$K$6:$K$9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N90固定顶阵容：发布时 vs 生命周期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发布时权重</c:v>
          </c:tx>
          <c:cat>
            <c:strRef>
              <c:f>'103_N90版本树'!$A$14:$A$17</c:f>
              <c:strCache>
                <c:ptCount val="0"/>
              </c:strCache>
            </c:strRef>
          </c:cat>
          <c:val>
            <c:numRef>
              <c:f>'103_N90版本树'!$B$14:$B$17</c:f>
              <c:numCache>
                <c:formatCode>0.0%</c:formatCode>
                <c:ptCount val="0"/>
              </c:numCache>
            </c:numRef>
          </c:val>
        </c:ser>
        <c:ser>
          <c:idx val="1"/>
          <c:order val="1"/>
          <c:tx>
            <c:v>生命周期权重</c:v>
          </c:tx>
          <c:cat>
            <c:strRef>
              <c:f>'103_N90版本树'!$A$14:$A$17</c:f>
              <c:strCache>
                <c:ptCount val="0"/>
              </c:strCache>
            </c:strRef>
          </c:cat>
          <c:val>
            <c:numRef>
              <c:f>'103_N90版本树'!$C$14:$C$17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5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N90 Max无条件正式价分布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无条件权重</c:v>
          </c:tx>
          <c:cat>
            <c:strRef>
              <c:f>'107_N90价格边际'!$A$6:$A$11</c:f>
              <c:strCache>
                <c:ptCount val="0"/>
              </c:strCache>
            </c:strRef>
          </c:cat>
          <c:val>
            <c:numRef>
              <c:f>'107_N90价格边际'!$B$6:$B$11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6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825"/>
              <a:t>车型供应链成本节省：保守情景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825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保守成本节省</c:v>
          </c:tx>
          <c:cat>
            <c:strRef>
              <c:f>'116_车型成本修正'!$A$32:$A$34</c:f>
              <c:strCache>
                <c:ptCount val="0"/>
              </c:strCache>
            </c:strRef>
          </c:cat>
          <c:val>
            <c:numRef>
              <c:f>'116_车型成本修正'!$B$32:$B$34</c:f>
              <c:numCache>
                <c:formatCode>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¥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7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825"/>
              <a:t>N90 Max同版正式价：三情景与加权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825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保守</c:v>
          </c:tx>
          <c:cat>
            <c:strRef>
              <c:f>'117_价格概率传导'!$I$40:$I$45</c:f>
              <c:strCache>
                <c:ptCount val="0"/>
              </c:strCache>
            </c:strRef>
          </c:cat>
          <c:val>
            <c:numRef>
              <c:f>'117_价格概率传导'!$J$40:$J$45</c:f>
              <c:numCache>
                <c:formatCode>0.0%</c:formatCode>
                <c:ptCount val="0"/>
              </c:numCache>
            </c:numRef>
          </c:val>
        </c:ser>
        <c:ser>
          <c:idx val="1"/>
          <c:order val="1"/>
          <c:tx>
            <c:v>中心</c:v>
          </c:tx>
          <c:cat>
            <c:strRef>
              <c:f>'117_价格概率传导'!$I$40:$I$45</c:f>
              <c:strCache>
                <c:ptCount val="0"/>
              </c:strCache>
            </c:strRef>
          </c:cat>
          <c:val>
            <c:numRef>
              <c:f>'117_价格概率传导'!$K$40:$K$45</c:f>
              <c:numCache>
                <c:formatCode>0.0%</c:formatCode>
                <c:ptCount val="0"/>
              </c:numCache>
            </c:numRef>
          </c:val>
        </c:ser>
        <c:ser>
          <c:idx val="2"/>
          <c:order val="2"/>
          <c:tx>
            <c:v>进取</c:v>
          </c:tx>
          <c:cat>
            <c:strRef>
              <c:f>'117_价格概率传导'!$I$40:$I$45</c:f>
              <c:strCache>
                <c:ptCount val="0"/>
              </c:strCache>
            </c:strRef>
          </c:cat>
          <c:val>
            <c:numRef>
              <c:f>'117_价格概率传导'!$L$40:$L$45</c:f>
              <c:numCache>
                <c:formatCode>0.0%</c:formatCode>
                <c:ptCount val="0"/>
              </c:numCache>
            </c:numRef>
          </c:val>
        </c:ser>
        <c:ser>
          <c:idx val="3"/>
          <c:order val="3"/>
          <c:tx>
            <c:v>加权</c:v>
          </c:tx>
          <c:cat>
            <c:strRef>
              <c:f>'117_价格概率传导'!$I$40:$I$45</c:f>
              <c:strCache>
                <c:ptCount val="0"/>
              </c:strCache>
            </c:strRef>
          </c:cat>
          <c:val>
            <c:numRef>
              <c:f>'117_价格概率传导'!$M$40:$M$45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8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825"/>
              <a:t>Standard条件形态工作权重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825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座位</c:v>
          </c:tx>
          <c:cat>
            <c:strRef>
              <c:f>'122_版本形态敏感'!$A$6:$A$10</c:f>
              <c:strCache>
                <c:ptCount val="0"/>
              </c:strCache>
            </c:strRef>
          </c:cat>
          <c:val>
            <c:numRef>
              <c:f>'122_版本形态敏感'!$B$6:$B$10</c:f>
              <c:numCache>
                <c:formatCode>0%</c:formatCode>
                <c:ptCount val="0"/>
              </c:numCache>
            </c:numRef>
          </c:val>
        </c:ser>
        <c:ser>
          <c:idx val="1"/>
          <c:order val="1"/>
          <c:tx>
            <c:v>弹簧</c:v>
          </c:tx>
          <c:cat>
            <c:strRef>
              <c:f>'122_版本形态敏感'!$A$6:$A$10</c:f>
              <c:strCache>
                <c:ptCount val="0"/>
              </c:strCache>
            </c:strRef>
          </c:cat>
          <c:val>
            <c:numRef>
              <c:f>'122_版本形态敏感'!$C$6:$C$10</c:f>
              <c:numCache>
                <c:formatCode>0%</c:formatCode>
                <c:ptCount val="0"/>
              </c:numCache>
            </c:numRef>
          </c:val>
        </c:ser>
        <c:ser>
          <c:idx val="2"/>
          <c:order val="2"/>
          <c:tx>
            <c:v>减振</c:v>
          </c:tx>
          <c:cat>
            <c:strRef>
              <c:f>'122_版本形态敏感'!$A$6:$A$10</c:f>
              <c:strCache>
                <c:ptCount val="0"/>
              </c:strCache>
            </c:strRef>
          </c:cat>
          <c:val>
            <c:numRef>
              <c:f>'122_版本形态敏感'!$D$6:$D$10</c:f>
              <c:numCache>
                <c:formatCode>0%</c:formatCode>
                <c:ptCount val="0"/>
              </c:numCache>
            </c:numRef>
          </c:val>
        </c:ser>
        <c:ser>
          <c:idx val="3"/>
          <c:order val="3"/>
          <c:tx>
            <c:v>条件权重</c:v>
          </c:tx>
          <c:cat>
            <c:strRef>
              <c:f>'122_版本形态敏感'!$A$6:$A$10</c:f>
              <c:strCache>
                <c:ptCount val="0"/>
              </c:strCache>
            </c:strRef>
          </c:cat>
          <c:val>
            <c:numRef>
              <c:f>'122_版本形态敏感'!$E$6:$E$10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19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825"/>
              <a:t>N90 Max代表价格权重（条件于阵容）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825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Series 1</c:v>
          </c:tx>
          <c:cat>
            <c:strRef>
              <c:f>'125_阵容价格耦合'!$H$20:$H$23</c:f>
              <c:strCache>
                <c:ptCount val="0"/>
              </c:strCache>
            </c:strRef>
          </c:cat>
          <c:val>
            <c:numRef>
              <c:f>'125_阵容价格耦合'!$I$20:$I$23</c:f>
              <c:numCache>
                <c:formatCode>0%</c:formatCode>
                <c:ptCount val="0"/>
              </c:numCache>
            </c:numRef>
          </c:val>
        </c:ser>
        <c:ser>
          <c:idx val="1"/>
          <c:order val="1"/>
          <c:tx>
            <c:v>Series 2</c:v>
          </c:tx>
          <c:cat>
            <c:strRef>
              <c:f>'125_阵容价格耦合'!$H$20:$H$23</c:f>
              <c:strCache>
                <c:ptCount val="0"/>
              </c:strCache>
            </c:strRef>
          </c:cat>
          <c:val>
            <c:numRef>
              <c:f>'125_阵容价格耦合'!$J$20:$J$23</c:f>
              <c:numCache>
                <c:formatCode>0%</c:formatCode>
                <c:ptCount val="0"/>
              </c:numCache>
            </c:numRef>
          </c:val>
        </c:ser>
        <c:ser>
          <c:idx val="2"/>
          <c:order val="2"/>
          <c:tx>
            <c:v>Series 3</c:v>
          </c:tx>
          <c:cat>
            <c:strRef>
              <c:f>'125_阵容价格耦合'!$H$20:$H$23</c:f>
              <c:strCache>
                <c:ptCount val="0"/>
              </c:strCache>
            </c:strRef>
          </c:cat>
          <c:val>
            <c:numRef>
              <c:f>'125_阵容价格耦合'!$K$20:$K$23</c:f>
              <c:numCache>
                <c:formatCode>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0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825"/>
              <a:t>N70 Max正式价工作权重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825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权重</c:v>
          </c:tx>
          <c:cat>
            <c:strRef>
              <c:f>'131_N70最终分布'!$A$6:$A$11</c:f>
              <c:strCache>
                <c:ptCount val="0"/>
              </c:strCache>
            </c:strRef>
          </c:cat>
          <c:val>
            <c:numRef>
              <c:f>'131_N70最终分布'!$B$6:$B$11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0&quot;万&quot;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825"/>
              <a:t>N90 Max：总体 / 仅Max / 有低价SKU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825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无条件权重</c:v>
          </c:tx>
          <c:cat>
            <c:strRef>
              <c:f>'133_N90价格边际'!$A$6:$A$11</c:f>
              <c:strCache>
                <c:ptCount val="0"/>
              </c:strCache>
            </c:strRef>
          </c:cat>
          <c:val>
            <c:numRef>
              <c:f>'133_N90价格边际'!$B$6:$B$11</c:f>
              <c:numCache>
                <c:formatCode>0.0%</c:formatCode>
                <c:ptCount val="0"/>
              </c:numCache>
            </c:numRef>
          </c:val>
        </c:ser>
        <c:ser>
          <c:idx val="1"/>
          <c:order val="1"/>
          <c:tx>
            <c:v>仅Max条件权重</c:v>
          </c:tx>
          <c:cat>
            <c:strRef>
              <c:f>'133_N90价格边际'!$A$6:$A$11</c:f>
              <c:strCache>
                <c:ptCount val="0"/>
              </c:strCache>
            </c:strRef>
          </c:cat>
          <c:val>
            <c:numRef>
              <c:f>'133_N90价格边际'!$C$6:$C$11</c:f>
              <c:numCache>
                <c:formatCode>0.0%</c:formatCode>
                <c:ptCount val="0"/>
              </c:numCache>
            </c:numRef>
          </c:val>
        </c:ser>
        <c:ser>
          <c:idx val="2"/>
          <c:order val="2"/>
          <c:tx>
            <c:v>有低价SKU条件权重</c:v>
          </c:tx>
          <c:cat>
            <c:strRef>
              <c:f>'133_N90价格边际'!$A$6:$A$11</c:f>
              <c:strCache>
                <c:ptCount val="0"/>
              </c:strCache>
            </c:strRef>
          </c:cat>
          <c:val>
            <c:numRef>
              <c:f>'133_N90价格边际'!$D$6:$D$11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0&quot;万&quot;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825"/>
              <a:t>Standard / Pro 条件价格权重</a:t>
            </a:r>
          </a:p>
        </c:rich>
      </c:tx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825"/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无条件权重</c:v>
          </c:tx>
          <c:cat>
            <c:strRef>
              <c:f>'133_N90价格边际'!$F$6:$F$9</c:f>
              <c:strCache>
                <c:ptCount val="0"/>
              </c:strCache>
            </c:strRef>
          </c:cat>
          <c:val>
            <c:numRef>
              <c:f>'133_N90价格边际'!$G$6:$G$9</c:f>
              <c:numCache>
                <c:formatCode>0.0%</c:formatCode>
                <c:ptCount val="0"/>
              </c:numCache>
            </c:numRef>
          </c:val>
        </c:ser>
        <c:ser>
          <c:idx val="1"/>
          <c:order val="1"/>
          <c:tx>
            <c:v>条件于存在(35%)</c:v>
          </c:tx>
          <c:cat>
            <c:strRef>
              <c:f>'133_N90价格边际'!$F$6:$F$9</c:f>
              <c:strCache>
                <c:ptCount val="0"/>
              </c:strCache>
            </c:strRef>
          </c:cat>
          <c:val>
            <c:numRef>
              <c:f>'133_N90价格边际'!$H$6:$H$9</c:f>
              <c:numCache>
                <c:formatCode>0.0%</c:formatCode>
                <c:ptCount val="0"/>
              </c:numCache>
            </c:numRef>
          </c:val>
        </c:ser>
        <c:ser>
          <c:idx val="2"/>
          <c:order val="2"/>
          <c:tx>
            <c:v>Series 3</c:v>
          </c:tx>
          <c:cat>
            <c:strRef>
              <c:f>'133_N90价格边际'!$F$6:$F$9</c:f>
              <c:strCache>
                <c:ptCount val="0"/>
              </c:strCache>
            </c:strRef>
          </c:cat>
          <c:val>
            <c:numRef>
              <c:f>'133_N90价格边际'!$I$6:$I$9</c:f>
              <c:numCache>
                <c:formatCode>0%</c:formatCode>
                <c:ptCount val="0"/>
              </c:numCache>
            </c:numRef>
          </c:val>
        </c:ser>
        <c:ser>
          <c:idx val="3"/>
          <c:order val="3"/>
          <c:tx>
            <c:v>N90 Pro价格</c:v>
          </c:tx>
          <c:cat>
            <c:strRef>
              <c:f>'133_N90价格边际'!$F$6:$F$9</c:f>
              <c:strCache>
                <c:ptCount val="0"/>
              </c:strCache>
            </c:strRef>
          </c:cat>
          <c:val>
            <c:numRef>
              <c:f>'133_N90价格边际'!$J$6:$J$9</c:f>
              <c:numCache>
                <c:formatCode>#,##0</c:formatCode>
                <c:ptCount val="0"/>
              </c:numCache>
            </c:numRef>
          </c:val>
        </c:ser>
        <c:ser>
          <c:idx val="4"/>
          <c:order val="4"/>
          <c:tx>
            <c:v>无条件权重</c:v>
          </c:tx>
          <c:cat>
            <c:strRef>
              <c:f>'133_N90价格边际'!$F$6:$F$9</c:f>
              <c:strCache>
                <c:ptCount val="0"/>
              </c:strCache>
            </c:strRef>
          </c:cat>
          <c:val>
            <c:numRef>
              <c:f>'133_N90价格边际'!$K$6:$K$9</c:f>
              <c:numCache>
                <c:formatCode>0.0%</c:formatCode>
                <c:ptCount val="0"/>
              </c:numCache>
            </c:numRef>
          </c:val>
        </c:ser>
        <c:ser>
          <c:idx val="5"/>
          <c:order val="5"/>
          <c:tx>
            <c:v>条件于存在(15%)</c:v>
          </c:tx>
          <c:cat>
            <c:strRef>
              <c:f>'133_N90价格边际'!$F$6:$F$9</c:f>
              <c:strCache>
                <c:ptCount val="0"/>
              </c:strCache>
            </c:strRef>
          </c:cat>
          <c:val>
            <c:numRef>
              <c:f>'133_N90价格边际'!$L$6:$L$9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12</xdr:col>
      <xdr:colOff>0</xdr:colOff>
      <xdr:row>4</xdr:row>
      <xdr:rowOff>0</xdr:rowOff>
    </xdr:from>
    <xdr:to>
      <xdr:col>20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0ef8efae4c745f4"/>
        </a:graphicData>
      </a:graphic>
    </xdr:graphicFrame>
    <xdr:clientData/>
  </xdr:twoCellAnchor>
  <xdr:twoCellAnchor>
    <xdr:from>
      <xdr:col>12</xdr:col>
      <xdr:colOff>0</xdr:colOff>
      <xdr:row>22</xdr:row>
      <xdr:rowOff>0</xdr:rowOff>
    </xdr:from>
    <xdr:to>
      <xdr:col>20</xdr:col>
      <xdr:colOff>0</xdr:colOff>
      <xdr:row>36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7af438ad70b43e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12</xdr:col>
      <xdr:colOff>0</xdr:colOff>
      <xdr:row>4</xdr:row>
      <xdr:rowOff>0</xdr:rowOff>
    </xdr:from>
    <xdr:to>
      <xdr:col>20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7e12856455e45b7"/>
        </a:graphicData>
      </a:graphic>
    </xdr:graphicFrame>
    <xdr:clientData/>
  </xdr:twoCellAnchor>
  <xdr:twoCellAnchor>
    <xdr:from>
      <xdr:col>12</xdr:col>
      <xdr:colOff>0</xdr:colOff>
      <xdr:row>22</xdr:row>
      <xdr:rowOff>0</xdr:rowOff>
    </xdr:from>
    <xdr:to>
      <xdr:col>20</xdr:col>
      <xdr:colOff>0</xdr:colOff>
      <xdr:row>36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23c4dd98f0e4206"/>
        </a:graphicData>
      </a:graphic>
    </xdr:graphicFrame>
    <xdr:clientData/>
  </xdr:twoCellAnchor>
  <xdr:twoCellAnchor>
    <xdr:from>
      <xdr:col>12</xdr:col>
      <xdr:colOff>0</xdr:colOff>
      <xdr:row>40</xdr:row>
      <xdr:rowOff>0</xdr:rowOff>
    </xdr:from>
    <xdr:to>
      <xdr:col>20</xdr:col>
      <xdr:colOff>0</xdr:colOff>
      <xdr:row>54</xdr:row>
      <xdr:rowOff>0</xdr:rowOff>
    </xdr:to>
    <xdr:graphicFrame macro="">
      <xdr:nvGraphicFramePr>
        <xdr:cNvPr id="3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982da0f1b6748f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>
  <xdr:twoCellAnchor>
    <xdr:from>
      <xdr:col>12</xdr:col>
      <xdr:colOff>0</xdr:colOff>
      <xdr:row>4</xdr:row>
      <xdr:rowOff>0</xdr:rowOff>
    </xdr:from>
    <xdr:to>
      <xdr:col>20</xdr:col>
      <xdr:colOff>0</xdr:colOff>
      <xdr:row>19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d003466d105d48f9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>
  <xdr:twoCellAnchor>
    <xdr:from>
      <xdr:col>5</xdr:col>
      <xdr:colOff>0</xdr:colOff>
      <xdr:row>13</xdr:row>
      <xdr:rowOff>0</xdr:rowOff>
    </xdr:from>
    <xdr:to>
      <xdr:col>15</xdr:col>
      <xdr:colOff>0</xdr:colOff>
      <xdr:row>31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6902db9874543ba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>
  <xdr:twoCellAnchor>
    <xdr:from>
      <xdr:col>6</xdr:col>
      <xdr:colOff>0</xdr:colOff>
      <xdr:row>12</xdr:row>
      <xdr:rowOff>0</xdr:rowOff>
    </xdr:from>
    <xdr:to>
      <xdr:col>16</xdr:col>
      <xdr:colOff>0</xdr:colOff>
      <xdr:row>29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b5bc7c36a46499c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>
  <xdr:twoCellAnchor>
    <xdr:from>
      <xdr:col>18</xdr:col>
      <xdr:colOff>0</xdr:colOff>
      <xdr:row>4</xdr:row>
      <xdr:rowOff>0</xdr:rowOff>
    </xdr:from>
    <xdr:to>
      <xdr:col>28</xdr:col>
      <xdr:colOff>0</xdr:colOff>
      <xdr:row>21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b168491d2d245a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>
  <xdr:twoCellAnchor>
    <xdr:from>
      <xdr:col>10</xdr:col>
      <xdr:colOff>0</xdr:colOff>
      <xdr:row>18</xdr:row>
      <xdr:rowOff>0</xdr:rowOff>
    </xdr:from>
    <xdr:to>
      <xdr:col>22</xdr:col>
      <xdr:colOff>0</xdr:colOff>
      <xdr:row>35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d6fc8c32711c456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>
  <xdr:twoCellAnchor>
    <xdr:from>
      <xdr:col>9</xdr:col>
      <xdr:colOff>0</xdr:colOff>
      <xdr:row>10</xdr:row>
      <xdr:rowOff>0</xdr:rowOff>
    </xdr:from>
    <xdr:to>
      <xdr:col>22</xdr:col>
      <xdr:colOff>0</xdr:colOff>
      <xdr:row>27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b837284b19d476f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>
  <xdr:twoCellAnchor>
    <xdr:from>
      <xdr:col>15</xdr:col>
      <xdr:colOff>0</xdr:colOff>
      <xdr:row>10</xdr:row>
      <xdr:rowOff>0</xdr:rowOff>
    </xdr:from>
    <xdr:to>
      <xdr:col>26</xdr:col>
      <xdr:colOff>0</xdr:colOff>
      <xdr:row>27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63fb659593d4cfc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>
  <xdr:twoCellAnchor>
    <xdr:from>
      <xdr:col>9</xdr:col>
      <xdr:colOff>0</xdr:colOff>
      <xdr:row>10</xdr:row>
      <xdr:rowOff>0</xdr:rowOff>
    </xdr:from>
    <xdr:to>
      <xdr:col>14</xdr:col>
      <xdr:colOff>0</xdr:colOff>
      <xdr:row>25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4364acdbf7e4c4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>
  <xdr:twoCellAnchor>
    <xdr:from>
      <xdr:col>9</xdr:col>
      <xdr:colOff>0</xdr:colOff>
      <xdr:row>12</xdr:row>
      <xdr:rowOff>0</xdr:rowOff>
    </xdr:from>
    <xdr:to>
      <xdr:col>16</xdr:col>
      <xdr:colOff>0</xdr:colOff>
      <xdr:row>28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a82dd069fc143fa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>
  <xdr:twoCellAnchor>
    <xdr:from>
      <xdr:col>8</xdr:col>
      <xdr:colOff>0</xdr:colOff>
      <xdr:row>4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c6e7be69844458c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>
  <xdr:twoCellAnchor>
    <xdr:from>
      <xdr:col>8</xdr:col>
      <xdr:colOff>0</xdr:colOff>
      <xdr:row>36</xdr:row>
      <xdr:rowOff>0</xdr:rowOff>
    </xdr:from>
    <xdr:to>
      <xdr:col>14</xdr:col>
      <xdr:colOff>0</xdr:colOff>
      <xdr:row>51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d2da483269eb4f53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>
  <xdr:twoCellAnchor>
    <xdr:from>
      <xdr:col>7</xdr:col>
      <xdr:colOff>0</xdr:colOff>
      <xdr:row>14</xdr:row>
      <xdr:rowOff>0</xdr:rowOff>
    </xdr:from>
    <xdr:to>
      <xdr:col>14</xdr:col>
      <xdr:colOff>0</xdr:colOff>
      <xdr:row>34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add5d18c87aa489c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>
  <xdr:twoCellAnchor>
    <xdr:from>
      <xdr:col>7</xdr:col>
      <xdr:colOff>0</xdr:colOff>
      <xdr:row>21</xdr:row>
      <xdr:rowOff>0</xdr:rowOff>
    </xdr:from>
    <xdr:to>
      <xdr:col>14</xdr:col>
      <xdr:colOff>0</xdr:colOff>
      <xdr:row>39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03daf7a39ca4090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>
  <xdr:twoCellAnchor>
    <xdr:from>
      <xdr:col>7</xdr:col>
      <xdr:colOff>0</xdr:colOff>
      <xdr:row>25</xdr:row>
      <xdr:rowOff>0</xdr:rowOff>
    </xdr:from>
    <xdr:to>
      <xdr:col>16</xdr:col>
      <xdr:colOff>0</xdr:colOff>
      <xdr:row>44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8177e9ff2704a7b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>
  <xdr:twoCellAnchor>
    <xdr:from>
      <xdr:col>5</xdr:col>
      <xdr:colOff>0</xdr:colOff>
      <xdr:row>19</xdr:row>
      <xdr:rowOff>0</xdr:rowOff>
    </xdr:from>
    <xdr:to>
      <xdr:col>14</xdr:col>
      <xdr:colOff>0</xdr:colOff>
      <xdr:row>35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e6adfe3bfb374058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>
  <xdr:twoCellAnchor>
    <xdr:from>
      <xdr:col>0</xdr:col>
      <xdr:colOff>0</xdr:colOff>
      <xdr:row>20</xdr:row>
      <xdr:rowOff>0</xdr:rowOff>
    </xdr:from>
    <xdr:to>
      <xdr:col>9</xdr:col>
      <xdr:colOff>0</xdr:colOff>
      <xdr:row>37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a10c2d12e74c4b0d"/>
        </a:graphicData>
      </a:graphic>
    </xdr:graphicFrame>
    <xdr:clientData/>
  </xdr:twoCellAnchor>
  <xdr:twoCellAnchor>
    <xdr:from>
      <xdr:col>9</xdr:col>
      <xdr:colOff>0</xdr:colOff>
      <xdr:row>20</xdr:row>
      <xdr:rowOff>0</xdr:rowOff>
    </xdr:from>
    <xdr:to>
      <xdr:col>16</xdr:col>
      <xdr:colOff>0</xdr:colOff>
      <xdr:row>37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8e70251c8a14fa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4.xml.rels>&#65279;<?xml version="1.0" encoding="utf-8"?><Relationships xmlns="http://schemas.openxmlformats.org/package/2006/relationships"><Relationship Type="http://schemas.openxmlformats.org/officeDocument/2006/relationships/drawing" Target="/xl/drawings/drawing1.xml" Id="R96fbabdc6fbe4ac3" /></Relationships>
</file>

<file path=xl/worksheets/_rels/sheet15.xml.rels>&#65279;<?xml version="1.0" encoding="utf-8"?><Relationships xmlns="http://schemas.openxmlformats.org/package/2006/relationships"><Relationship Type="http://schemas.openxmlformats.org/officeDocument/2006/relationships/drawing" Target="/xl/drawings/drawing2.xml" Id="Rba6504aa023749d8" /></Relationships>
</file>

<file path=xl/worksheets/_rels/sheet17.xml.rels>&#65279;<?xml version="1.0" encoding="utf-8"?><Relationships xmlns="http://schemas.openxmlformats.org/package/2006/relationships"><Relationship Type="http://schemas.openxmlformats.org/officeDocument/2006/relationships/drawing" Target="/xl/drawings/drawing3.xml" Id="R6cbe1d7756b046f8" /></Relationships>
</file>

<file path=xl/worksheets/_rels/sheet22.xml.rels>&#65279;<?xml version="1.0" encoding="utf-8"?><Relationships xmlns="http://schemas.openxmlformats.org/package/2006/relationships"><Relationship Type="http://schemas.openxmlformats.org/officeDocument/2006/relationships/drawing" Target="/xl/drawings/drawing4.xml" Id="Rec5728b96aa0451b" /></Relationships>
</file>

<file path=xl/worksheets/_rels/sheet29.xml.rels>&#65279;<?xml version="1.0" encoding="utf-8"?><Relationships xmlns="http://schemas.openxmlformats.org/package/2006/relationships"><Relationship Type="http://schemas.openxmlformats.org/officeDocument/2006/relationships/drawing" Target="/xl/drawings/drawing5.xml" Id="R15fa055ddead4a01" /></Relationships>
</file>

<file path=xl/worksheets/_rels/sheet33.xml.rels>&#65279;<?xml version="1.0" encoding="utf-8"?><Relationships xmlns="http://schemas.openxmlformats.org/package/2006/relationships"><Relationship Type="http://schemas.openxmlformats.org/officeDocument/2006/relationships/drawing" Target="/xl/drawings/drawing6.xml" Id="Rdb82fac4f9dd4e82" /></Relationships>
</file>

<file path=xl/worksheets/_rels/sheet71.xml.rels>&#65279;<?xml version="1.0" encoding="utf-8"?><Relationships xmlns="http://schemas.openxmlformats.org/package/2006/relationships"><Relationship Type="http://schemas.openxmlformats.org/officeDocument/2006/relationships/drawing" Target="/xl/drawings/drawing7.xml" Id="R912d184ac4a8498d" /></Relationships>
</file>

<file path=xl/worksheets/_rels/sheet80.xml.rels>&#65279;<?xml version="1.0" encoding="utf-8"?><Relationships xmlns="http://schemas.openxmlformats.org/package/2006/relationships"><Relationship Type="http://schemas.openxmlformats.org/officeDocument/2006/relationships/drawing" Target="/xl/drawings/drawing8.xml" Id="R810ba0a44bdc455f" /></Relationships>
</file>

<file path=xl/worksheets/_rels/sheet88.xml.rels>&#65279;<?xml version="1.0" encoding="utf-8"?><Relationships xmlns="http://schemas.openxmlformats.org/package/2006/relationships"><Relationship Type="http://schemas.openxmlformats.org/officeDocument/2006/relationships/drawing" Target="/xl/drawings/drawing9.xml" Id="Rca770520e3f14017" /></Relationships>
</file>

<file path=xl/worksheets/_rels/sheet92.xml.rels>&#65279;<?xml version="1.0" encoding="utf-8"?><Relationships xmlns="http://schemas.openxmlformats.org/package/2006/relationships"><Relationship Type="http://schemas.openxmlformats.org/officeDocument/2006/relationships/drawing" Target="/xl/drawings/drawing10.xml" Id="R5385d4c3fe644f3a" /></Relationships>
</file>

<file path=xl/worksheets/_rels/sheet104.xml.rels>&#65279;<?xml version="1.0" encoding="utf-8"?><Relationships xmlns="http://schemas.openxmlformats.org/package/2006/relationships"><Relationship Type="http://schemas.openxmlformats.org/officeDocument/2006/relationships/drawing" Target="/xl/drawings/drawing11.xml" Id="Rf78c80602e4b463b" /></Relationships>
</file>

<file path=xl/worksheets/_rels/sheet108.xml.rels>&#65279;<?xml version="1.0" encoding="utf-8"?><Relationships xmlns="http://schemas.openxmlformats.org/package/2006/relationships"><Relationship Type="http://schemas.openxmlformats.org/officeDocument/2006/relationships/drawing" Target="/xl/drawings/drawing12.xml" Id="R18a7431a938a4f80" /></Relationships>
</file>

<file path=xl/worksheets/_rels/sheet117.xml.rels>&#65279;<?xml version="1.0" encoding="utf-8"?><Relationships xmlns="http://schemas.openxmlformats.org/package/2006/relationships"><Relationship Type="http://schemas.openxmlformats.org/officeDocument/2006/relationships/drawing" Target="/xl/drawings/drawing13.xml" Id="R7d91f50f7c014d2b" /></Relationships>
</file>

<file path=xl/worksheets/_rels/sheet118.xml.rels>&#65279;<?xml version="1.0" encoding="utf-8"?><Relationships xmlns="http://schemas.openxmlformats.org/package/2006/relationships"><Relationship Type="http://schemas.openxmlformats.org/officeDocument/2006/relationships/drawing" Target="/xl/drawings/drawing14.xml" Id="R49e361487ead4f54" /></Relationships>
</file>

<file path=xl/worksheets/_rels/sheet123.xml.rels>&#65279;<?xml version="1.0" encoding="utf-8"?><Relationships xmlns="http://schemas.openxmlformats.org/package/2006/relationships"><Relationship Type="http://schemas.openxmlformats.org/officeDocument/2006/relationships/drawing" Target="/xl/drawings/drawing15.xml" Id="Rf10d4cbf5da4455b" /></Relationships>
</file>

<file path=xl/worksheets/_rels/sheet126.xml.rels>&#65279;<?xml version="1.0" encoding="utf-8"?><Relationships xmlns="http://schemas.openxmlformats.org/package/2006/relationships"><Relationship Type="http://schemas.openxmlformats.org/officeDocument/2006/relationships/drawing" Target="/xl/drawings/drawing16.xml" Id="R5534276529a04b24" /></Relationships>
</file>

<file path=xl/worksheets/_rels/sheet132.xml.rels>&#65279;<?xml version="1.0" encoding="utf-8"?><Relationships xmlns="http://schemas.openxmlformats.org/package/2006/relationships"><Relationship Type="http://schemas.openxmlformats.org/officeDocument/2006/relationships/drawing" Target="/xl/drawings/drawing17.xml" Id="Rddc260b48618484a" /></Relationships>
</file>

<file path=xl/worksheets/_rels/sheet134.xml.rels>&#65279;<?xml version="1.0" encoding="utf-8"?><Relationships xmlns="http://schemas.openxmlformats.org/package/2006/relationships"><Relationship Type="http://schemas.openxmlformats.org/officeDocument/2006/relationships/drawing" Target="/xl/drawings/drawing18.xml" Id="R3a09f449e56f434b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" hidden="0" customWidth="1"/>
    <x:col min="2" max="2" width="17" hidden="0" customWidth="1"/>
    <x:col min="3" max="3" width="17" hidden="0" customWidth="1"/>
    <x:col min="4" max="4" width="20" hidden="0" customWidth="1"/>
    <x:col min="5" max="5" width="20" hidden="0" customWidth="1"/>
    <x:col min="6" max="6" width="18" hidden="0" customWidth="1"/>
    <x:col min="7" max="7" width="18" hidden="0" customWidth="1"/>
    <x:col min="8" max="8" width="24" hidden="0" customWidth="1"/>
  </x:cols>
  <x:sheetData>
    <x:row r="1" ht="30" customHeight="1">
      <x:c r="A1" s="3" t="str">
        <x:v>Phase 3.4B｜小米澎程售价与配置最终预测·证据收敛版</x:v>
      </x:c>
      <x:c r="B1" s="3"/>
      <x:c r="C1" s="3"/>
      <x:c r="D1" s="3"/>
      <x:c r="E1" s="3"/>
      <x:c r="F1" s="3"/>
      <x:c r="G1" s="3"/>
      <x:c r="H1" s="3"/>
    </x:row>
    <x:row r="2" ht="22" customHeight="1">
      <x:c r="A2" s="6" t="str">
        <x:v>继承Phase 1—3.4A｜新增142最终反证审计｜生成日：2026-08-06</x:v>
      </x:c>
      <x:c r="B2" s="6"/>
      <x:c r="C2" s="6"/>
      <x:c r="D2" s="6"/>
      <x:c r="E2" s="6"/>
      <x:c r="F2" s="6"/>
      <x:c r="G2" s="6"/>
      <x:c r="H2" s="6"/>
    </x:row>
    <x:row r="3" ht="144" customHeight="1">
      <x:c r="A3" s="10" t="str">
        <x:v>结论先行：当前公开首发主树只押两款——N70 Max正式价24.99万元、N90 Max正式价27.99万元。工信部尾标已确认基础申报车就叫N70；若商品化，中心走廊19.99—21.99万元、强制单点20.99万元。N90 Standard/Pro没有首发证据，仅保留生命周期条件情景。N90 Max升顶有独立申报、且明确带车顶床板；若规模化商品化，按固定顶Max+1—3万元、工作中心29.99万元观察。正式官价仍为0个。</x:v>
      </x:c>
      <x:c r="B3" s="10"/>
      <x:c r="C3" s="10"/>
      <x:c r="D3" s="10"/>
      <x:c r="E3" s="10"/>
      <x:c r="F3" s="10"/>
      <x:c r="G3" s="10"/>
      <x:c r="H3" s="10"/>
    </x:row>
    <x:row r="6" ht="38" customHeight="1">
      <x:c r="A6" s="15" t="str">
        <x:v>关键指标</x:v>
      </x:c>
      <x:c r="B6" s="15" t="str">
        <x:v>数值</x:v>
      </x:c>
      <x:c r="C6" s="15" t="str">
        <x:v>状态</x:v>
      </x:c>
      <x:c r="D6" s="15" t="str">
        <x:v>解释</x:v>
      </x:c>
    </x:row>
    <x:row r="7" ht="60" customHeight="1">
      <x:c r="A7" s="19" t="str">
        <x:v>N70申报名称</x:v>
      </x:c>
      <x:c r="B7" s="106" t="str">
        <x:v>N70</x:v>
      </x:c>
      <x:c r="C7" s="19" t="str">
        <x:v>REGULATORY_CONFIRMED</x:v>
      </x:c>
      <x:c r="D7" s="19" t="str">
        <x:v>不是Standard官方名；销售身份待定</x:v>
      </x:c>
    </x:row>
    <x:row r="8" ht="60" customHeight="1">
      <x:c r="A8" s="20" t="str">
        <x:v>N70条件正式价</x:v>
      </x:c>
      <x:c r="B8" s="593" t="n">
        <x:v>209900</x:v>
      </x:c>
      <x:c r="C8" s="20" t="str">
        <x:v>CONDITIONAL_FORECAST</x:v>
      </x:c>
      <x:c r="D8" s="20" t="str">
        <x:v>19.99—21.99中心走廊</x:v>
      </x:c>
    </x:row>
    <x:row r="9" ht="60" customHeight="1">
      <x:c r="A9" s="19" t="str">
        <x:v>N70 Max正式价中心</x:v>
      </x:c>
      <x:c r="B9" s="460" t="n">
        <x:v>249900</x:v>
      </x:c>
      <x:c r="C9" s="19" t="str">
        <x:v>FINAL_FORECAST</x:v>
      </x:c>
      <x:c r="D9" s="19" t="str">
        <x:v>官方预售25.99</x:v>
      </x:c>
    </x:row>
    <x:row r="10" ht="60" customHeight="1">
      <x:c r="A10" s="20" t="str">
        <x:v>N90 Max正式价中心</x:v>
      </x:c>
      <x:c r="B10" s="593" t="n">
        <x:v>279900</x:v>
      </x:c>
      <x:c r="C10" s="20" t="str">
        <x:v>FINAL_FORECAST</x:v>
      </x:c>
      <x:c r="D10" s="20" t="str">
        <x:v>官方预售29.99；当前只公开Max</x:v>
      </x:c>
    </x:row>
    <x:row r="11" ht="60" customHeight="1">
      <x:c r="A11" s="19" t="str">
        <x:v>N90 Standard/Pro</x:v>
      </x:c>
      <x:c r="B11" s="460" t="str">
        <x:v>生命周期情景</x:v>
      </x:c>
      <x:c r="C11" s="19" t="str">
        <x:v>WATCH_ONLY</x:v>
      </x:c>
      <x:c r="D11" s="19" t="str">
        <x:v>无首发概率、无官方SKU</x:v>
      </x:c>
    </x:row>
    <x:row r="12" ht="60" customHeight="1">
      <x:c r="A12" s="20" t="str">
        <x:v>N90 Max升顶工作中心</x:v>
      </x:c>
      <x:c r="B12" s="593" t="n">
        <x:v>299900</x:v>
      </x:c>
      <x:c r="C12" s="20" t="str">
        <x:v>SEPARATE_CONDITIONAL</x:v>
      </x:c>
      <x:c r="D12" s="20" t="str">
        <x:v>规模化Max+1—3万；床板存在</x:v>
      </x:c>
    </x:row>
    <x:row r="13" ht="60" customHeight="1">
      <x:c r="A13" t="str">
        <x:v>正式官方售价数量</x:v>
      </x:c>
      <x:c r="B13" t="n">
        <x:v>0</x:v>
      </x:c>
      <x:c r="C13" t="str">
        <x:v>BLOCKED_OFFICIAL_PRICE</x:v>
      </x:c>
      <x:c r="D13" t="str">
        <x:v>当前仍是预测</x:v>
      </x:c>
    </x:row>
    <x:row r="14" ht="28" customHeight="1">
      <x:c r="A14" s="650" t="str">
        <x:v>条件价格树（不设未经校准的发布概率）</x:v>
      </x:c>
      <x:c r="B14" s="650" t="str">
        <x:v>含税价差</x:v>
      </x:c>
      <x:c r="C14" s="650" t="str">
        <x:v>未税价差</x:v>
      </x:c>
      <x:c r="D14" s="650" t="str">
        <x:v>物理BOM中位</x:v>
      </x:c>
      <x:c r="E14" s="650" t="str">
        <x:v>含覆盖项中位</x:v>
      </x:c>
      <x:c r="F14" s="650" t="str">
        <x:v>中位覆盖率</x:v>
      </x:c>
      <x:c r="G14" s="650" t="str">
        <x:v>中位残余</x:v>
      </x:c>
      <x:c r="H14" s="650" t="str">
        <x:v>信号</x:v>
      </x:c>
    </x:row>
    <x:row r="15" ht="44" customHeight="1">
      <x:c r="A15" s="642" t="str">
        <x:v>情景</x:v>
      </x:c>
      <x:c r="B15" s="651" t="str">
        <x:v>N70</x:v>
      </x:c>
      <x:c r="C15" s="651" t="str">
        <x:v>N70 Max</x:v>
      </x:c>
      <x:c r="D15" s="651" t="str">
        <x:v>N90 Standard</x:v>
      </x:c>
      <x:c r="E15" s="651" t="str">
        <x:v>N90 Pro</x:v>
      </x:c>
      <x:c r="F15" s="652" t="str">
        <x:v>N90 Max</x:v>
      </x:c>
      <x:c r="G15" s="651" t="str">
        <x:v>N90 Max升顶</x:v>
      </x:c>
      <x:c r="H15" s="642" t="str">
        <x:v>解释</x:v>
      </x:c>
    </x:row>
    <x:row r="16" ht="54" customHeight="1">
      <x:c r="A16" s="20" t="str">
        <x:v>当前公开首发</x:v>
      </x:c>
      <x:c r="B16" s="24" t="str">
        <x:v>未公开销售</x:v>
      </x:c>
      <x:c r="C16" s="593" t="n">
        <x:v>249900</x:v>
      </x:c>
      <x:c r="D16" s="541" t="str">
        <x:v>—</x:v>
      </x:c>
      <x:c r="E16" s="541" t="str">
        <x:v>—</x:v>
      </x:c>
      <x:c r="F16" s="593" t="n">
        <x:v>279900</x:v>
      </x:c>
      <x:c r="G16" s="541" t="str">
        <x:v>未公开销售</x:v>
      </x:c>
      <x:c r="H16" s="20" t="str">
        <x:v>正文主判断</x:v>
      </x:c>
    </x:row>
    <x:row r="17" ht="54" customHeight="1">
      <x:c r="A17" s="643" t="str">
        <x:v>四个申报形态均商品化</x:v>
      </x:c>
      <x:c r="B17" s="647" t="n">
        <x:v>209900</x:v>
      </x:c>
      <x:c r="C17" s="647" t="n">
        <x:v>249900</x:v>
      </x:c>
      <x:c r="D17" s="653" t="str">
        <x:v>—</x:v>
      </x:c>
      <x:c r="E17" s="653" t="str">
        <x:v>—</x:v>
      </x:c>
      <x:c r="F17" s="647" t="n">
        <x:v>279900</x:v>
      </x:c>
      <x:c r="G17" s="647" t="n">
        <x:v>299900</x:v>
      </x:c>
      <x:c r="H17" s="643" t="str">
        <x:v>有申报证据，不等于四个官宣SKU</x:v>
      </x:c>
    </x:row>
    <x:row r="18" ht="54" customHeight="1">
      <x:c r="A18" s="20" t="str">
        <x:v>未来N90三档情景</x:v>
      </x:c>
      <x:c r="B18" s="24" t="str">
        <x:v>19.99—21.99</x:v>
      </x:c>
      <x:c r="C18" s="593" t="n">
        <x:v>249900</x:v>
      </x:c>
      <x:c r="D18" s="593" t="n">
        <x:v>259900</x:v>
      </x:c>
      <x:c r="E18" s="593" t="n">
        <x:v>279900</x:v>
      </x:c>
      <x:c r="F18" s="593" t="n">
        <x:v>299900</x:v>
      </x:c>
      <x:c r="G18" s="541" t="str">
        <x:v>Max+1—3万</x:v>
      </x:c>
      <x:c r="H18" s="20" t="str">
        <x:v>自洽条件树，不是当前最可能首发</x:v>
      </x:c>
    </x:row>
    <x:row r="19" ht="52" customHeight="1">
      <x:c r="A19" s="521"/>
      <x:c r="B19" s="525"/>
      <x:c r="C19" s="525"/>
      <x:c r="D19" s="540"/>
      <x:c r="E19" s="525"/>
      <x:c r="F19" s="526"/>
      <x:c r="G19" s="540"/>
      <x:c r="H19" s="521"/>
    </x:row>
    <x:row r="22" ht="112" customHeight="1">
      <x:c r="A22" s="28" t="str">
        <x:v>推荐阅读顺序：先看142最终反证审计，再看134主交付表与135配置差；N70价格桥看131，N90扩展阵容敏感性看132/133，低价尾看137，升顶看138，证据边界看139。140是签核，141只证明公式内部一致。86/88/98/108/117/126均为历史阶段，已醒目标废。</x:v>
      </x:c>
      <x:c r="B22" s="28"/>
      <x:c r="C22" s="28"/>
      <x:c r="D22" s="28"/>
      <x:c r="E22" s="28"/>
      <x:c r="F22" s="28"/>
      <x:c r="G22" s="28"/>
      <x:c r="H22" s="28"/>
    </x:row>
  </x:sheetData>
  <x:mergeCells>
    <x:mergeCell ref="A1:H1"/>
    <x:mergeCell ref="A2:H2"/>
    <x:mergeCell ref="A3:H3"/>
    <x:mergeCell ref="A22:H22"/>
    <x:mergeCell ref="A14:H14"/>
  </x:mergeCells>
  <x:conditionalFormatting sqref="B11:C12">
    <x:cfRule type="containsText" dxfId="0" priority="1" operator="containsText" text="PASS"/>
    <x:cfRule type="containsText" dxfId="1" priority="2" operator="containsText" text="FAIL"/>
    <x:cfRule type="containsText" dxfId="2" priority="3" operator="containsText" text="REVIEW"/>
    <x:cfRule type="containsText" dxfId="3" priority="4" operator="containsText" text="BLOCKED"/>
    <x:cfRule type="containsText" dxfId="48" priority="9" operator="containsText" text="PASS"/>
    <x:cfRule type="containsText" dxfId="49" priority="10" operator="containsText" text="FAIL"/>
    <x:cfRule type="containsText" dxfId="50" priority="11" operator="containsText" text="READY"/>
    <x:cfRule type="containsText" dxfId="51" priority="12" operator="containsText" text="REVIEW"/>
    <x:cfRule type="containsText" dxfId="82" priority="13" operator="containsText" text="PASS"/>
    <x:cfRule type="containsText" dxfId="83" priority="14" operator="containsText" text="READY"/>
    <x:cfRule type="containsText" dxfId="84" priority="15" operator="containsText" text="WITHIN"/>
    <x:cfRule type="containsText" dxfId="85" priority="16" operator="containsText" text="FAIL"/>
    <x:cfRule type="containsText" dxfId="86" priority="17" operator="containsText" text="UPPER_BOUND_BREAK"/>
    <x:cfRule type="containsText" dxfId="87" priority="18" operator="containsText" text="REVIEW"/>
    <x:cfRule type="containsText" dxfId="132" priority="19" operator="containsText" text="PASS"/>
    <x:cfRule type="containsText" dxfId="133" priority="20" operator="containsText" text="READY"/>
    <x:cfRule type="containsText" dxfId="134" priority="21" operator="containsText" text="SELECT"/>
    <x:cfRule type="containsText" dxfId="135" priority="22" operator="containsText" text="A_STRICT"/>
    <x:cfRule type="containsText" dxfId="136" priority="23" operator="containsText" text="B_"/>
    <x:cfRule type="containsText" dxfId="137" priority="24" operator="containsText" text="EXCLUDE"/>
    <x:cfRule type="containsText" dxfId="138" priority="25" operator="containsText" text="FAIL"/>
    <x:cfRule type="containsText" dxfId="139" priority="26" operator="containsText" text="REVIEW"/>
    <x:cfRule type="containsText" dxfId="215" priority="27" operator="containsText" text="PASS"/>
    <x:cfRule type="containsText" dxfId="216" priority="28" operator="containsText" text="READY"/>
    <x:cfRule type="containsText" dxfId="217" priority="29" operator="containsText" text="POSITIVE"/>
    <x:cfRule type="containsText" dxfId="218" priority="30" operator="containsText" text="CROSSES_ZERO"/>
    <x:cfRule type="containsText" dxfId="219" priority="31" operator="containsText" text="COMPATIBLE"/>
    <x:cfRule type="containsText" dxfId="220" priority="32" operator="containsText" text="NEGATIVE"/>
    <x:cfRule type="containsText" dxfId="221" priority="33" operator="containsText" text="REVIEW"/>
    <x:cfRule type="containsText" dxfId="222" priority="34" operator="containsText" text="FAIL"/>
    <x:cfRule type="containsText" dxfId="223" priority="35" operator="containsText" text="PROVISIONAL"/>
    <x:cfRule type="containsText" dxfId="397" priority="36" operator="containsText" text="PASS"/>
    <x:cfRule type="containsText" dxfId="398" priority="37" operator="containsText" text="READY"/>
    <x:cfRule type="containsText" dxfId="399" priority="38" operator="containsText" text="IDENTIFIED"/>
    <x:cfRule type="containsText" dxfId="400" priority="39" operator="containsText" text="CALIBRATION"/>
    <x:cfRule type="containsText" dxfId="401" priority="40" operator="containsText" text="CORROBORATIVE"/>
    <x:cfRule type="containsText" dxfId="402" priority="41" operator="containsText" text="REFERENCE"/>
    <x:cfRule type="containsText" dxfId="403" priority="42" operator="containsText" text="CROSSES_ZERO"/>
    <x:cfRule type="containsText" dxfId="404" priority="43" operator="containsText" text="PENDING"/>
    <x:cfRule type="containsText" dxfId="405" priority="44" operator="containsText" text="PROVISIONAL"/>
    <x:cfRule type="containsText" dxfId="406" priority="45" operator="containsText" text="GATE"/>
    <x:cfRule type="containsText" dxfId="407" priority="46" operator="containsText" text="NOT_IDENTIFIED"/>
    <x:cfRule type="containsText" dxfId="408" priority="47" operator="containsText" text="FAIL"/>
    <x:cfRule type="containsText" dxfId="409" priority="48" operator="containsText" text="DO_NOT_ADD"/>
    <x:cfRule type="containsText" dxfId="410" priority="49" operator="containsText" text="EXCLUDED"/>
  </x:conditionalFormatting>
  <x:conditionalFormatting sqref="H15:H19">
    <x:cfRule type="containsText" dxfId="4" priority="5" operator="containsText" text="PASS"/>
    <x:cfRule type="containsText" dxfId="5" priority="6" operator="containsText" text="FAIL"/>
    <x:cfRule type="containsText" dxfId="6" priority="7" operator="containsText" text="REVIEW"/>
    <x:cfRule type="containsText" dxfId="7" priority="8" operator="containsText" text="BLOCKED"/>
  </x:conditionalFormatting>
  <x:conditionalFormatting sqref="C7:C10">
    <x:cfRule type="containsText" dxfId="411" priority="50" operator="containsText" text="PASS"/>
    <x:cfRule type="containsText" dxfId="412" priority="51" operator="containsText" text="READY"/>
    <x:cfRule type="containsText" dxfId="413" priority="52" operator="containsText" text="IDENTIFIED"/>
    <x:cfRule type="containsText" dxfId="414" priority="53" operator="containsText" text="CALIBRATION"/>
    <x:cfRule type="containsText" dxfId="415" priority="54" operator="containsText" text="CORROBORATIVE"/>
    <x:cfRule type="containsText" dxfId="416" priority="55" operator="containsText" text="REFERENCE"/>
    <x:cfRule type="containsText" dxfId="417" priority="56" operator="containsText" text="CROSSES_ZERO"/>
    <x:cfRule type="containsText" dxfId="418" priority="57" operator="containsText" text="PENDING"/>
    <x:cfRule type="containsText" dxfId="419" priority="58" operator="containsText" text="PROVISIONAL"/>
    <x:cfRule type="containsText" dxfId="420" priority="59" operator="containsText" text="GATE"/>
    <x:cfRule type="containsText" dxfId="421" priority="60" operator="containsText" text="NOT_IDENTIFIED"/>
    <x:cfRule type="containsText" dxfId="422" priority="61" operator="containsText" text="FAIL"/>
    <x:cfRule type="containsText" dxfId="423" priority="62" operator="containsText" text="DO_NOT_ADD"/>
    <x:cfRule type="containsText" dxfId="424" priority="63" operator="containsText" text="EXCLUDED"/>
  </x:conditionalFormatting>
  <x:conditionalFormatting sqref="C7:C12">
    <x:cfRule type="containsText" dxfId="663" priority="64" operator="containsText" text="PASS"/>
    <x:cfRule type="containsText" dxfId="664" priority="65" operator="containsText" text="READY"/>
    <x:cfRule type="containsText" dxfId="665" priority="66" operator="containsText" text="TRUE"/>
    <x:cfRule type="containsText" dxfId="666" priority="67" operator="containsText" text="RESOLVED"/>
    <x:cfRule type="containsText" dxfId="667" priority="68" operator="containsText" text="E1-G"/>
    <x:cfRule type="containsText" dxfId="668" priority="69" operator="containsText" text="PROVISIONAL"/>
    <x:cfRule type="containsText" dxfId="669" priority="70" operator="containsText" text="PENDING"/>
    <x:cfRule type="containsText" dxfId="670" priority="71" operator="containsText" text="PUBLIC_NOTICE"/>
    <x:cfRule type="containsText" dxfId="671" priority="72" operator="containsText" text="BOUNDARY"/>
    <x:cfRule type="containsText" dxfId="672" priority="73" operator="containsText" text="TOPOLOGY"/>
    <x:cfRule type="containsText" dxfId="673" priority="74" operator="containsText" text="REFERENCE"/>
    <x:cfRule type="containsText" dxfId="674" priority="75" operator="containsText" text="BLOCKED"/>
    <x:cfRule type="containsText" dxfId="675" priority="76" operator="containsText" text="FAIL"/>
    <x:cfRule type="containsText" dxfId="676" priority="77" operator="containsText" text="FALSE"/>
    <x:cfRule type="containsText" dxfId="677" priority="78" operator="containsText" text="REJECTED"/>
    <x:cfRule type="containsText" dxfId="678" priority="79" operator="containsText" text="MISMATCH"/>
    <x:cfRule type="containsText" dxfId="679" priority="80" operator="containsText" text="OPEN"/>
    <x:cfRule type="containsText" dxfId="932" priority="81" operator="containsText" text="PASS"/>
    <x:cfRule type="containsText" dxfId="933" priority="82" operator="containsText" text="READY"/>
    <x:cfRule type="containsText" dxfId="934" priority="83" operator="containsText" text="TRUE"/>
    <x:cfRule type="containsText" dxfId="935" priority="84" operator="containsText" text="MATCH"/>
    <x:cfRule type="containsText" dxfId="936" priority="85" operator="containsText" text="STANDARD"/>
    <x:cfRule type="containsText" dxfId="937" priority="86" operator="containsText" text="ACCEPTED"/>
    <x:cfRule type="containsText" dxfId="938" priority="87" operator="containsText" text="OPTIONAL"/>
    <x:cfRule type="containsText" dxfId="939" priority="88" operator="containsText" text="SEPARATE_PURCHASE"/>
    <x:cfRule type="containsText" dxfId="940" priority="89" operator="containsText" text="EQUIPPED"/>
    <x:cfRule type="containsText" dxfId="941" priority="90" operator="containsText" text="PARTIAL"/>
    <x:cfRule type="containsText" dxfId="942" priority="91" operator="containsText" text="PENDING"/>
    <x:cfRule type="containsText" dxfId="943" priority="92" operator="containsText" text="NOT_DISCLOSED"/>
    <x:cfRule type="containsText" dxfId="944" priority="93" operator="containsText" text="NOT_EVIDENCED"/>
    <x:cfRule type="containsText" dxfId="945" priority="94" operator="containsText" text="NOT_COMPARABLE"/>
    <x:cfRule type="containsText" dxfId="946" priority="95" operator="containsText" text="PROVISIONAL"/>
    <x:cfRule type="containsText" dxfId="947" priority="96" operator="containsText" text="BLOCKED"/>
    <x:cfRule type="containsText" dxfId="948" priority="97" operator="containsText" text="FAIL"/>
    <x:cfRule type="containsText" dxfId="949" priority="98" operator="containsText" text="FALSE"/>
    <x:cfRule type="containsText" dxfId="950" priority="99" operator="containsText" text="CONFLICT"/>
    <x:cfRule type="containsText" dxfId="951" priority="100" operator="containsText" text="MISMATCH_HARD"/>
    <x:cfRule type="containsText" dxfId="952" priority="101" operator="containsText" text="REJECTED"/>
    <x:cfRule type="containsText" dxfId="1200" priority="102" operator="containsText" text="PASS"/>
    <x:cfRule type="containsText" dxfId="1201" priority="103" operator="containsText" text="READY"/>
    <x:cfRule type="containsText" dxfId="1202" priority="104" operator="containsText" text="TRUE"/>
    <x:cfRule type="containsText" dxfId="1203" priority="105" operator="containsText" text="LOCKED"/>
    <x:cfRule type="containsText" dxfId="1204" priority="106" operator="containsText" text="STANDARD"/>
    <x:cfRule type="containsText" dxfId="1205" priority="107" operator="containsText" text="INCLUDED"/>
    <x:cfRule type="containsText" dxfId="1206" priority="108" operator="containsText" text="OPTION"/>
    <x:cfRule type="containsText" dxfId="1207" priority="109" operator="containsText" text="PROVISIONAL"/>
    <x:cfRule type="containsText" dxfId="1208" priority="110" operator="containsText" text="ENGINEERING"/>
    <x:cfRule type="containsText" dxfId="1209" priority="111" operator="containsText" text="ACCESSORY"/>
    <x:cfRule type="containsText" dxfId="1210" priority="112" operator="containsText" text="SEPARATE"/>
    <x:cfRule type="containsText" dxfId="1211" priority="113" operator="containsText" text="CANDIDATE"/>
    <x:cfRule type="containsText" dxfId="1212" priority="114" operator="containsText" text="HOLD"/>
    <x:cfRule type="containsText" dxfId="1213" priority="115" operator="containsText" text="NOT_DISCLOSED"/>
    <x:cfRule type="containsText" dxfId="1214" priority="116" operator="containsText" text="SUPPRESS"/>
    <x:cfRule type="containsText" dxfId="1215" priority="117" operator="containsText" text="BLOCKED"/>
    <x:cfRule type="containsText" dxfId="1216" priority="118" operator="containsText" text="FAIL"/>
    <x:cfRule type="containsText" dxfId="1217" priority="119" operator="containsText" text="FALSE"/>
    <x:cfRule type="containsText" dxfId="1218" priority="120" operator="containsText" text="CONFLICT"/>
  </x:conditionalFormatting>
  <x:conditionalFormatting sqref="C7:C13">
    <x:cfRule type="containsText" dxfId="1474" priority="121" operator="containsText" text="PASS"/>
    <x:cfRule type="containsText" dxfId="1475" priority="122" operator="containsText" text="READY"/>
    <x:cfRule type="containsText" dxfId="1476" priority="123" operator="containsText" text="TRUE"/>
    <x:cfRule type="containsText" dxfId="1477" priority="124" operator="containsText" text="CORE"/>
    <x:cfRule type="containsText" dxfId="1478" priority="125" operator="containsText" text="LOCKED"/>
    <x:cfRule type="containsText" dxfId="1479" priority="126" operator="containsText" text="ZERO_DELTA"/>
    <x:cfRule type="containsText" dxfId="1480" priority="127" operator="containsText" text="CONDITIONAL"/>
    <x:cfRule type="containsText" dxfId="1481" priority="128" operator="containsText" text="PROVISIONAL"/>
    <x:cfRule type="containsText" dxfId="1482" priority="129" operator="containsText" text="HOLD"/>
    <x:cfRule type="containsText" dxfId="1483" priority="130" operator="containsText" text="NOT_DISCLOSED"/>
    <x:cfRule type="containsText" dxfId="1484" priority="131" operator="containsText" text="BLOCKED"/>
    <x:cfRule type="containsText" dxfId="1485" priority="132" operator="containsText" text="FAIL"/>
    <x:cfRule type="containsText" dxfId="1486" priority="133" operator="containsText" text="FALSE"/>
    <x:cfRule type="containsText" dxfId="1487" priority="134" operator="containsText" text="EXCLUDED"/>
    <x:cfRule type="containsText" dxfId="1488" priority="135" operator="containsText" text="OPTION"/>
    <x:cfRule type="containsText" dxfId="1744" priority="136" operator="containsText" text="PASS"/>
    <x:cfRule type="containsText" dxfId="1745" priority="137" operator="containsText" text="READY"/>
    <x:cfRule type="containsText" dxfId="1746" priority="138" operator="containsText" text="TRUE"/>
    <x:cfRule type="containsText" dxfId="1747" priority="139" operator="containsText" text="LOCKED"/>
    <x:cfRule type="containsText" dxfId="1748" priority="140" operator="containsText" text="MATCH"/>
    <x:cfRule type="containsText" dxfId="1749" priority="141" operator="containsText" text="CORE"/>
    <x:cfRule type="containsText" dxfId="1750" priority="142" operator="containsText" text="PROVISIONAL"/>
    <x:cfRule type="containsText" dxfId="1751" priority="143" operator="containsText" text="SCENARIO"/>
    <x:cfRule type="containsText" dxfId="1752" priority="144" operator="containsText" text="HOLD"/>
    <x:cfRule type="containsText" dxfId="1753" priority="145" operator="containsText" text="NOT_COMMERCIALIZED"/>
    <x:cfRule type="containsText" dxfId="1754" priority="146" operator="containsText" text="BLOCKED"/>
    <x:cfRule type="containsText" dxfId="1755" priority="147" operator="containsText" text="FAIL"/>
    <x:cfRule type="containsText" dxfId="1756" priority="148" operator="containsText" text="FALSE"/>
    <x:cfRule type="containsText" dxfId="1757" priority="149" operator="containsText" text="EXCLUDED"/>
    <x:cfRule type="containsText" dxfId="1758" priority="150" operator="containsText" text="OPTION"/>
    <x:cfRule type="containsText" dxfId="1759" priority="151" operator="containsText" text="SPECIAL"/>
    <x:cfRule type="containsText" dxfId="1760" priority="152" operator="containsText" text="ORDINARY"/>
    <x:cfRule type="containsText" dxfId="2265" priority="153" operator="containsText" text="PASS"/>
    <x:cfRule type="containsText" dxfId="2266" priority="154" operator="containsText" text="READY"/>
    <x:cfRule type="containsText" dxfId="2267" priority="155" operator="containsText" text="LOCKED"/>
    <x:cfRule type="containsText" dxfId="2268" priority="156" operator="containsText" text="OFFICIAL"/>
    <x:cfRule type="containsText" dxfId="2269" priority="157" operator="containsText" text="STRICT"/>
    <x:cfRule type="containsText" dxfId="2270" priority="158" operator="containsText" text="MODE"/>
    <x:cfRule type="containsText" dxfId="2271" priority="159" operator="containsText" text="PROVISIONAL"/>
    <x:cfRule type="containsText" dxfId="2272" priority="160" operator="containsText" text="SCENARIO"/>
    <x:cfRule type="containsText" dxfId="2273" priority="161" operator="containsText" text="HOLD"/>
    <x:cfRule type="containsText" dxfId="2274" priority="162" operator="containsText" text="CANDIDATE"/>
    <x:cfRule type="containsText" dxfId="2275" priority="163" operator="containsText" text="FORECAST"/>
    <x:cfRule type="containsText" dxfId="2276" priority="164" operator="containsText" text="LOW_CONFIDENCE"/>
    <x:cfRule type="containsText" dxfId="2277" priority="165" operator="containsText" text="BLOCKED"/>
    <x:cfRule type="containsText" dxfId="2278" priority="166" operator="containsText" text="FAIL"/>
    <x:cfRule type="containsText" dxfId="2279" priority="167" operator="containsText" text="FALSE"/>
    <x:cfRule type="containsText" dxfId="2280" priority="168" operator="containsText" text="EXCLUDED"/>
    <x:cfRule type="containsText" dxfId="2281" priority="169" operator="containsText" text="ACCESSORY"/>
    <x:cfRule type="containsText" dxfId="2282" priority="170" operator="containsText" text="OPTION"/>
    <x:cfRule type="containsText" dxfId="2283" priority="171" operator="containsText" text="ENGINEERING"/>
    <x:cfRule type="containsText" dxfId="2284" priority="172" operator="containsText" text="REGULATORY"/>
    <x:cfRule type="containsText" dxfId="2285" priority="173" operator="containsText" text="CONDITIONAL"/>
    <x:cfRule type="containsText" dxfId="2507" priority="174" operator="containsText" text="PASS"/>
    <x:cfRule type="containsText" dxfId="2508" priority="175" operator="containsText" text="READY"/>
    <x:cfRule type="containsText" dxfId="2509" priority="176" operator="containsText" text="CORE"/>
    <x:cfRule type="containsText" dxfId="2510" priority="177" operator="containsText" text="MODE"/>
    <x:cfRule type="containsText" dxfId="2511" priority="178" operator="containsText" text="OFFICIAL"/>
    <x:cfRule type="containsText" dxfId="2512" priority="179" operator="containsText" text="YES"/>
    <x:cfRule type="containsText" dxfId="2513" priority="180" operator="containsText" text="PROVISIONAL"/>
    <x:cfRule type="containsText" dxfId="2514" priority="181" operator="containsText" text="SCENARIO"/>
    <x:cfRule type="containsText" dxfId="2515" priority="182" operator="containsText" text="CONDITIONAL"/>
    <x:cfRule type="containsText" dxfId="2516" priority="183" operator="containsText" text="TAIL"/>
    <x:cfRule type="containsText" dxfId="2517" priority="184" operator="containsText" text="LIMITED"/>
    <x:cfRule type="containsText" dxfId="2518" priority="185" operator="containsText" text="BaaS"/>
    <x:cfRule type="containsText" dxfId="2519" priority="186" operator="containsText" text="EXCLUDED"/>
    <x:cfRule type="containsText" dxfId="2520" priority="187" operator="containsText" text="NO"/>
    <x:cfRule type="containsText" dxfId="2521" priority="188" operator="containsText" text="BLOCKED"/>
    <x:cfRule type="containsText" dxfId="2522" priority="189" operator="containsText" text="FAIL"/>
    <x:cfRule type="containsText" dxfId="2523" priority="190" operator="containsText" text="SUPERSEDED"/>
    <x:cfRule type="containsText" dxfId="2864" priority="191" operator="containsText" text="PASS"/>
    <x:cfRule type="containsText" dxfId="2865" priority="192" operator="containsText" text="READY"/>
    <x:cfRule type="containsText" dxfId="2866" priority="193" operator="containsText" text="CONFIRMED"/>
    <x:cfRule type="containsText" dxfId="2867" priority="194" operator="containsText" text="OFFICIAL"/>
    <x:cfRule type="containsText" dxfId="2868" priority="195" operator="containsText" text="MODE"/>
    <x:cfRule type="containsText" dxfId="2869" priority="196" operator="containsText" text="YES"/>
    <x:cfRule type="containsText" dxfId="2870" priority="197" operator="containsText" text="PREDICTED"/>
    <x:cfRule type="containsText" dxfId="2871" priority="198" operator="containsText" text="CONDITIONAL"/>
    <x:cfRule type="containsText" dxfId="2872" priority="199" operator="containsText" text="WATCHLIST"/>
    <x:cfRule type="containsText" dxfId="2873" priority="200" operator="containsText" text="MEDIUM"/>
    <x:cfRule type="containsText" dxfId="2874" priority="201" operator="containsText" text="LOW"/>
    <x:cfRule type="containsText" dxfId="2875" priority="202" operator="containsText" text="SEPARATE"/>
    <x:cfRule type="containsText" dxfId="2876" priority="203" operator="containsText" text="EXCLUDED"/>
    <x:cfRule type="containsText" dxfId="2877" priority="204" operator="containsText" text="NO"/>
    <x:cfRule type="containsText" dxfId="2878" priority="205" operator="containsText" text="BLOCKED"/>
    <x:cfRule type="containsText" dxfId="2879" priority="206" operator="containsText" text="FAIL"/>
    <x:cfRule type="containsText" dxfId="2880" priority="207" operator="containsText" text="SUPERSEDED"/>
    <x:cfRule type="containsText" dxfId="3170" priority="208" operator="containsText" text="PASS"/>
    <x:cfRule type="containsText" dxfId="3171" priority="209" operator="containsText" text="READY"/>
    <x:cfRule type="containsText" dxfId="3172" priority="210" operator="containsText" text="CONFIRMED"/>
    <x:cfRule type="containsText" dxfId="3173" priority="211" operator="containsText" text="OFFICIAL"/>
    <x:cfRule type="containsText" dxfId="3174" priority="212" operator="containsText" text="YES"/>
    <x:cfRule type="containsText" dxfId="3175" priority="213" operator="containsText" text="CENTRAL"/>
    <x:cfRule type="containsText" dxfId="3176" priority="214" operator="containsText" text="MODELLED"/>
    <x:cfRule type="containsText" dxfId="3177" priority="215" operator="containsText" text="CONDITIONAL"/>
    <x:cfRule type="containsText" dxfId="3178" priority="216" operator="containsText" text="SENSITIVITY"/>
    <x:cfRule type="containsText" dxfId="3179" priority="217" operator="containsText" text="MEDIUM"/>
    <x:cfRule type="containsText" dxfId="3180" priority="218" operator="containsText" text="LOW"/>
    <x:cfRule type="containsText" dxfId="3181" priority="219" operator="containsText" text="WATCH"/>
    <x:cfRule type="containsText" dxfId="3182" priority="220" operator="containsText" text="EXCLUDED"/>
    <x:cfRule type="containsText" dxfId="3183" priority="221" operator="containsText" text="NO"/>
    <x:cfRule type="containsText" dxfId="3184" priority="222" operator="containsText" text="HOLD"/>
    <x:cfRule type="containsText" dxfId="3185" priority="223" operator="containsText" text="FAIL"/>
    <x:cfRule type="containsText" dxfId="3186" priority="224" operator="containsText" text="BLOCKED"/>
    <x:cfRule type="containsText" dxfId="3529" priority="225" operator="containsText" text="PASS"/>
    <x:cfRule type="containsText" dxfId="3530" priority="226" operator="containsText" text="SIGNED"/>
    <x:cfRule type="containsText" dxfId="3531" priority="227" operator="containsText" text="CONFIRMED"/>
    <x:cfRule type="containsText" dxfId="3532" priority="228" operator="containsText" text="OFFICIAL"/>
    <x:cfRule type="containsText" dxfId="3533" priority="229" operator="containsText" text="CENTRAL"/>
    <x:cfRule type="containsText" dxfId="3534" priority="230" operator="containsText" text="PRIMARY"/>
    <x:cfRule type="containsText" dxfId="3535" priority="231" operator="containsText" text="MODELLED"/>
    <x:cfRule type="containsText" dxfId="3536" priority="232" operator="containsText" text="CONDITIONAL"/>
    <x:cfRule type="containsText" dxfId="3537" priority="233" operator="containsText" text="SENSITIVITY"/>
    <x:cfRule type="containsText" dxfId="3538" priority="234" operator="containsText" text="PREDICTED"/>
    <x:cfRule type="containsText" dxfId="3539" priority="235" operator="containsText" text="MEDIUM"/>
    <x:cfRule type="containsText" dxfId="3540" priority="236" operator="containsText" text="WATCH"/>
    <x:cfRule type="containsText" dxfId="3541" priority="237" operator="containsText" text="EXCLUDED"/>
    <x:cfRule type="containsText" dxfId="3542" priority="238" operator="containsText" text="SEPARATE"/>
    <x:cfRule type="containsText" dxfId="3543" priority="239" operator="containsText" text="NO"/>
    <x:cfRule type="containsText" dxfId="3544" priority="240" operator="containsText" text="FAIL"/>
    <x:cfRule type="containsText" dxfId="3545" priority="241" operator="containsText" text="BLOCKED"/>
    <x:cfRule type="containsText" dxfId="3546" priority="242" operator="containsText" text="LOW"/>
    <x:cfRule type="containsText" dxfId="4177" priority="243" operator="containsText" text="PASS"/>
    <x:cfRule type="containsText" dxfId="4178" priority="244" operator="containsText" text="SIGNED"/>
    <x:cfRule type="containsText" dxfId="4179" priority="245" operator="containsText" text="CONFIRMED"/>
    <x:cfRule type="containsText" dxfId="4180" priority="246" operator="containsText" text="OFFICIAL"/>
    <x:cfRule type="containsText" dxfId="4181" priority="247" operator="containsText" text="FINAL"/>
    <x:cfRule type="containsText" dxfId="4182" priority="248" operator="containsText" text="READY"/>
    <x:cfRule type="containsText" dxfId="4183" priority="249" operator="containsText" text="MODEL"/>
    <x:cfRule type="containsText" dxfId="4184" priority="250" operator="containsText" text="CONDITIONAL"/>
    <x:cfRule type="containsText" dxfId="4185" priority="251" operator="containsText" text="PREDICTED"/>
    <x:cfRule type="containsText" dxfId="4186" priority="252" operator="containsText" text="MEDIUM"/>
    <x:cfRule type="containsText" dxfId="4187" priority="253" operator="containsText" text="WORKING"/>
    <x:cfRule type="containsText" dxfId="4188" priority="254" operator="containsText" text="WATCH"/>
    <x:cfRule type="containsText" dxfId="4189" priority="255" operator="containsText" text="EXCLUDED"/>
    <x:cfRule type="containsText" dxfId="4190" priority="256" operator="containsText" text="SEPARATE"/>
    <x:cfRule type="containsText" dxfId="4191" priority="257" operator="containsText" text="REGULATORY"/>
    <x:cfRule type="containsText" dxfId="4192" priority="258" operator="containsText" text="FAIL"/>
    <x:cfRule type="containsText" dxfId="4193" priority="259" operator="containsText" text="BLOCKED"/>
    <x:cfRule type="containsText" dxfId="4194" priority="260" operator="containsText" text="LOW"/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" hidden="0" customWidth="1"/>
    <x:col min="2" max="2" width="21" hidden="0" customWidth="1"/>
    <x:col min="3" max="3" width="34" hidden="0" customWidth="1"/>
    <x:col min="4" max="4" width="24" hidden="0" customWidth="1"/>
    <x:col min="5" max="5" width="14" hidden="0" customWidth="1"/>
    <x:col min="6" max="6" width="14" hidden="0" customWidth="1"/>
    <x:col min="7" max="7" width="14" hidden="0" customWidth="1"/>
    <x:col min="8" max="8" width="12" hidden="0" customWidth="1"/>
    <x:col min="9" max="9" width="20" hidden="0" customWidth="1"/>
    <x:col min="10" max="10" width="26" hidden="0" customWidth="1"/>
    <x:col min="11" max="11" width="28" hidden="0" customWidth="1"/>
    <x:col min="12" max="12" width="48" hidden="0" customWidth="1"/>
    <x:col min="13" max="13" width="46" hidden="0" customWidth="1"/>
    <x:col min="14" max="14" width="43" hidden="0" customWidth="1"/>
    <x:col min="15" max="15" width="16" hidden="0" customWidth="1"/>
    <x:col min="16" max="16" width="42" hidden="0" customWidth="1"/>
    <x:col min="17" max="17" width="22" hidden="0" customWidth="1"/>
    <x:col min="18" max="18" width="15" hidden="0" customWidth="1"/>
  </x:cols>
  <x:sheetData>
    <x:row r="1" ht="30" customHeight="1">
      <x:c r="A1" s="3" t="str">
        <x:v>01｜原子成本假设库（低 / 中 / 高）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 ht="22" customHeight="1">
      <x:c r="A2" s="6" t="str">
        <x:v>共43条；蓝字为可编辑假设，所有金额均未税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</x:row>
    <x:row r="3" ht="38" customHeight="1">
      <x:c r="A3" s="10" t="str">
        <x:v>absolute_reference不进版本桥；blocked_sensitivity不进核心；overlay_parameter仅在物理BOM后计一次。</x:v>
      </x:c>
      <x:c r="B3" s="10"/>
      <x:c r="C3" s="10"/>
      <x:c r="D3" s="10"/>
      <x:c r="E3" s="10"/>
      <x:c r="F3" s="10"/>
      <x:c r="G3" s="10"/>
      <x:c r="H3" s="10"/>
      <x:c r="I3" s="10"/>
      <x:c r="J3" s="10"/>
      <x:c r="K3" s="10"/>
      <x:c r="L3" s="10"/>
      <x:c r="M3" s="10"/>
      <x:c r="N3" s="10"/>
      <x:c r="O3" s="10"/>
      <x:c r="P3" s="10"/>
      <x:c r="Q3" s="10"/>
      <x:c r="R3" s="10"/>
    </x:row>
    <x:row r="6" ht="38" customHeight="1">
      <x:c r="A6" s="15" t="str">
        <x:v>assumption_id</x:v>
      </x:c>
      <x:c r="B6" s="15" t="str">
        <x:v>module</x:v>
      </x:c>
      <x:c r="C6" s="15" t="str">
        <x:v>cost_item</x:v>
      </x:c>
      <x:c r="D6" s="15" t="str">
        <x:v>basis_type</x:v>
      </x:c>
      <x:c r="E6" s="15" t="str">
        <x:v>low</x:v>
      </x:c>
      <x:c r="F6" s="15" t="str">
        <x:v>mid</x:v>
      </x:c>
      <x:c r="G6" s="15" t="str">
        <x:v>high</x:v>
      </x:c>
      <x:c r="H6" s="15" t="str">
        <x:v>unit</x:v>
      </x:c>
      <x:c r="I6" s="15" t="str">
        <x:v>core_use</x:v>
      </x:c>
      <x:c r="J6" s="15" t="str">
        <x:v>evidence_gate</x:v>
      </x:c>
      <x:c r="K6" s="15" t="str">
        <x:v>double_count_key</x:v>
      </x:c>
      <x:c r="L6" s="15" t="str">
        <x:v>includes</x:v>
      </x:c>
      <x:c r="M6" s="15" t="str">
        <x:v>excludes</x:v>
      </x:c>
      <x:c r="N6" s="15" t="str">
        <x:v>source_ids</x:v>
      </x:c>
      <x:c r="O6" s="15" t="str">
        <x:v>confidence</x:v>
      </x:c>
      <x:c r="P6" s="15" t="str">
        <x:v>derivation</x:v>
      </x:c>
      <x:c r="Q6" s="15" t="str">
        <x:v>model_version</x:v>
      </x:c>
      <x:c r="R6" s="15" t="str">
        <x:v>range_status</x:v>
      </x:c>
    </x:row>
    <x:row r="7" ht="42" customHeight="1">
      <x:c r="A7" s="19" t="str">
        <x:v>ABS_BAT_LFP_73</x:v>
      </x:c>
      <x:c r="B7" s="19" t="str">
        <x:v>M01_BATTERY</x:v>
      </x:c>
      <x:c r="C7" s="19" t="str">
        <x:v>73kWh LFP 3.5C整包</x:v>
      </x:c>
      <x:c r="D7" s="19" t="str">
        <x:v>absolute_reference</x:v>
      </x:c>
      <x:c r="E7" s="31" t="n">
        <x:v>36500</x:v>
      </x:c>
      <x:c r="F7" s="31" t="n">
        <x:v>42340</x:v>
      </x:c>
      <x:c r="G7" s="31" t="n">
        <x:v>49640</x:v>
      </x:c>
      <x:c r="H7" s="19" t="str">
        <x:v>元/车</x:v>
      </x:c>
      <x:c r="I7" s="19" t="str">
        <x:v>reference_only</x:v>
      </x:c>
      <x:c r="J7" s="19" t="str">
        <x:v>source_anchored</x:v>
      </x:c>
      <x:c r="K7" s="19" t="str">
        <x:v>PACK_73_LFP</x:v>
      </x:c>
      <x:c r="L7" s="19" t="str">
        <x:v>电芯、CTB/箱体、BMS、包内高压与冷却、装配测试</x:v>
      </x:c>
      <x:c r="M7" s="19" t="str">
        <x:v>车端OBC/DC-DC/PDU、整车热管理、电驱</x:v>
      </x:c>
      <x:c r="N7" s="19" t="str">
        <x:v>SRC-BNEF-2025；SRC-CATL-2025-AR；SRC-IEA-GEO2025</x:v>
      </x:c>
      <x:c r="O7" s="19" t="str">
        <x:v>medium_high</x:v>
      </x:c>
      <x:c r="P7" s="19" t="str">
        <x:v>73×500/580/680元/kWh</x:v>
      </x:c>
      <x:c r="Q7" s="19" t="str">
        <x:v>P21B-20260801-V1</x:v>
      </x:c>
      <x:c r="R7" s="19" t="str">
        <x:f>IF(AND(E7&lt;=F7,F7&lt;=G7),"PASS","FAIL")</x:f>
        <x:v>PASS</x:v>
      </x:c>
    </x:row>
    <x:row r="8" ht="42" customHeight="1">
      <x:c r="A8" s="20" t="str">
        <x:v>ABS_BAT_LFP_96</x:v>
      </x:c>
      <x:c r="B8" s="20" t="str">
        <x:v>M01_BATTERY</x:v>
      </x:c>
      <x:c r="C8" s="20" t="str">
        <x:v>96.3kWh LFP 3.5C整包</x:v>
      </x:c>
      <x:c r="D8" s="20" t="str">
        <x:v>absolute_reference</x:v>
      </x:c>
      <x:c r="E8" s="31" t="n">
        <x:v>48150</x:v>
      </x:c>
      <x:c r="F8" s="31" t="n">
        <x:v>55854</x:v>
      </x:c>
      <x:c r="G8" s="31" t="n">
        <x:v>65484</x:v>
      </x:c>
      <x:c r="H8" s="20" t="str">
        <x:v>元/车</x:v>
      </x:c>
      <x:c r="I8" s="20" t="str">
        <x:v>reference_only</x:v>
      </x:c>
      <x:c r="J8" s="20" t="str">
        <x:v>source_anchored</x:v>
      </x:c>
      <x:c r="K8" s="20" t="str">
        <x:v>PACK_96_LFP</x:v>
      </x:c>
      <x:c r="L8" s="20" t="str">
        <x:v>同上</x:v>
      </x:c>
      <x:c r="M8" s="20" t="str">
        <x:v>同上</x:v>
      </x:c>
      <x:c r="N8" s="20" t="str">
        <x:v>SRC-BNEF-2025；SRC-CATL-2025-AR；SRC-IEA-GEO2025</x:v>
      </x:c>
      <x:c r="O8" s="20" t="str">
        <x:v>medium_high</x:v>
      </x:c>
      <x:c r="P8" s="20" t="str">
        <x:v>96.3×500/580/680元/kWh</x:v>
      </x:c>
      <x:c r="Q8" s="20" t="str">
        <x:v>P21B-20260801-V1</x:v>
      </x:c>
      <x:c r="R8" s="20" t="str">
        <x:f>IF(AND(E8&lt;=F8,F8&lt;=G8),"PASS","FAIL")</x:f>
        <x:v>PASS</x:v>
      </x:c>
    </x:row>
    <x:row r="9" ht="42" customHeight="1">
      <x:c r="A9" s="19" t="str">
        <x:v>ABS_BAT_NCM_101</x:v>
      </x:c>
      <x:c r="B9" s="19" t="str">
        <x:v>M01_BATTERY</x:v>
      </x:c>
      <x:c r="C9" s="19" t="str">
        <x:v>101.7kWh三元锂5.2C整包</x:v>
      </x:c>
      <x:c r="D9" s="19" t="str">
        <x:v>absolute_reference</x:v>
      </x:c>
      <x:c r="E9" s="31" t="n">
        <x:v>69156</x:v>
      </x:c>
      <x:c r="F9" s="31" t="n">
        <x:v>81360</x:v>
      </x:c>
      <x:c r="G9" s="31" t="n">
        <x:v>94581</x:v>
      </x:c>
      <x:c r="H9" s="19" t="str">
        <x:v>元/车</x:v>
      </x:c>
      <x:c r="I9" s="19" t="str">
        <x:v>reference_only</x:v>
      </x:c>
      <x:c r="J9" s="19" t="str">
        <x:v>source_anchored</x:v>
      </x:c>
      <x:c r="K9" s="19" t="str">
        <x:v>PACK_101_NCM</x:v>
      </x:c>
      <x:c r="L9" s="19" t="str">
        <x:v>电芯、整包结构、BMS、包内倍率与冷却能力</x:v>
      </x:c>
      <x:c r="M9" s="19" t="str">
        <x:v>车端高压链路、电驱、整车HVAC</x:v>
      </x:c>
      <x:c r="N9" s="19" t="str">
        <x:v>SRC-BNEF-2025；SRC-IEA-GEO2025；SRC-ARGONNE-BATPAC</x:v>
      </x:c>
      <x:c r="O9" s="19" t="str">
        <x:v>medium</x:v>
      </x:c>
      <x:c r="P9" s="19" t="str">
        <x:v>101.7×680/800/930元/kWh</x:v>
      </x:c>
      <x:c r="Q9" s="19" t="str">
        <x:v>P21B-20260801-V1</x:v>
      </x:c>
      <x:c r="R9" s="19" t="str">
        <x:f>IF(AND(E9&lt;=F9,F9&lt;=G9),"PASS","FAIL")</x:f>
        <x:v>PASS</x:v>
      </x:c>
    </x:row>
    <x:row r="10" ht="42" customHeight="1">
      <x:c r="A10" s="20" t="str">
        <x:v>ABS_EDRIVE_235</x:v>
      </x:c>
      <x:c r="B10" s="20" t="str">
        <x:v>M02_EDRIVE</x:v>
      </x:c>
      <x:c r="C10" s="20" t="str">
        <x:v>235kW后单电驱总成</x:v>
      </x:c>
      <x:c r="D10" s="20" t="str">
        <x:v>absolute_reference</x:v>
      </x:c>
      <x:c r="E10" s="31" t="n">
        <x:v>6000</x:v>
      </x:c>
      <x:c r="F10" s="31" t="n">
        <x:v>8000</x:v>
      </x:c>
      <x:c r="G10" s="31" t="n">
        <x:v>11000</x:v>
      </x:c>
      <x:c r="H10" s="20" t="str">
        <x:v>元/车</x:v>
      </x:c>
      <x:c r="I10" s="20" t="str">
        <x:v>reference_only</x:v>
      </x:c>
      <x:c r="J10" s="20" t="str">
        <x:v>source_anchored</x:v>
      </x:c>
      <x:c r="K10" s="20" t="str">
        <x:v>EDRIVE_235_RWD</x:v>
      </x:c>
      <x:c r="L10" s="20" t="str">
        <x:v>电机、牵引逆变器、减速器、壳体及内部油冷</x:v>
      </x:c>
      <x:c r="M10" s="20" t="str">
        <x:v>OBC/DC-DC/PDU、车身高压线束</x:v>
      </x:c>
      <x:c r="N10" s="20" t="str">
        <x:v>SRC-VMAX-2025-AR；SRC-JINGJIN-2025-AR；SRC-USDOE-EDTT</x:v>
      </x:c>
      <x:c r="O10" s="20" t="str">
        <x:v>medium</x:v>
      </x:c>
      <x:c r="P10" s="20" t="str">
        <x:v>行业套价锚后按功率级工程分档</x:v>
      </x:c>
      <x:c r="Q10" s="20" t="str">
        <x:v>P21B-20260801-V1</x:v>
      </x:c>
      <x:c r="R10" s="20" t="str">
        <x:f>IF(AND(E10&lt;=F10,F10&lt;=G10),"PASS","FAIL")</x:f>
        <x:v>PASS</x:v>
      </x:c>
    </x:row>
    <x:row r="11" ht="42" customHeight="1">
      <x:c r="A11" s="19" t="str">
        <x:v>ABS_EDRIVE_365</x:v>
      </x:c>
      <x:c r="B11" s="19" t="str">
        <x:v>M02_EDRIVE</x:v>
      </x:c>
      <x:c r="C11" s="19" t="str">
        <x:v>130+235kW双电驱总成</x:v>
      </x:c>
      <x:c r="D11" s="19" t="str">
        <x:v>absolute_reference</x:v>
      </x:c>
      <x:c r="E11" s="31" t="n">
        <x:v>10000</x:v>
      </x:c>
      <x:c r="F11" s="31" t="n">
        <x:v>13500</x:v>
      </x:c>
      <x:c r="G11" s="31" t="n">
        <x:v>18500</x:v>
      </x:c>
      <x:c r="H11" s="19" t="str">
        <x:v>元/车</x:v>
      </x:c>
      <x:c r="I11" s="19" t="str">
        <x:v>reference_only</x:v>
      </x:c>
      <x:c r="J11" s="19" t="str">
        <x:v>source_anchored</x:v>
      </x:c>
      <x:c r="K11" s="19" t="str">
        <x:v>EDRIVE_365_AWD</x:v>
      </x:c>
      <x:c r="L11" s="19" t="str">
        <x:v>同上，前后双驱动单元</x:v>
      </x:c>
      <x:c r="M11" s="19" t="str">
        <x:v>同上</x:v>
      </x:c>
      <x:c r="N11" s="19" t="str">
        <x:v>SRC-VMAX-2025-AR；SRC-JINGJIN-2025-AR；SRC-USDOE-EDTT</x:v>
      </x:c>
      <x:c r="O11" s="19" t="str">
        <x:v>medium</x:v>
      </x:c>
      <x:c r="P11" s="19" t="str">
        <x:v>行业套价锚后按系统级差分档</x:v>
      </x:c>
      <x:c r="Q11" s="19" t="str">
        <x:v>P21B-20260801-V1</x:v>
      </x:c>
      <x:c r="R11" s="19" t="str">
        <x:f>IF(AND(E11&lt;=F11,F11&lt;=G11),"PASS","FAIL")</x:f>
        <x:v>PASS</x:v>
      </x:c>
    </x:row>
    <x:row r="12" ht="42" customHeight="1">
      <x:c r="A12" s="20" t="str">
        <x:v>ABS_EDRIVE_508</x:v>
      </x:c>
      <x:c r="B12" s="20" t="str">
        <x:v>M02_EDRIVE</x:v>
      </x:c>
      <x:c r="C12" s="20" t="str">
        <x:v>220+288kW双电驱总成</x:v>
      </x:c>
      <x:c r="D12" s="20" t="str">
        <x:v>absolute_reference</x:v>
      </x:c>
      <x:c r="E12" s="31" t="n">
        <x:v>13000</x:v>
      </x:c>
      <x:c r="F12" s="31" t="n">
        <x:v>17500</x:v>
      </x:c>
      <x:c r="G12" s="31" t="n">
        <x:v>23500</x:v>
      </x:c>
      <x:c r="H12" s="20" t="str">
        <x:v>元/车</x:v>
      </x:c>
      <x:c r="I12" s="20" t="str">
        <x:v>reference_only</x:v>
      </x:c>
      <x:c r="J12" s="20" t="str">
        <x:v>source_anchored</x:v>
      </x:c>
      <x:c r="K12" s="20" t="str">
        <x:v>EDRIVE_508_AWD</x:v>
      </x:c>
      <x:c r="L12" s="20" t="str">
        <x:v>同上，性能级双驱动单元</x:v>
      </x:c>
      <x:c r="M12" s="20" t="str">
        <x:v>同上</x:v>
      </x:c>
      <x:c r="N12" s="20" t="str">
        <x:v>SRC-VMAX-2025-AR；SRC-JINGJIN-2025-AR；SRC-USDOE-EDTT</x:v>
      </x:c>
      <x:c r="O12" s="20" t="str">
        <x:v>medium</x:v>
      </x:c>
      <x:c r="P12" s="20" t="str">
        <x:v>行业套价锚后按系统级差分档</x:v>
      </x:c>
      <x:c r="Q12" s="20" t="str">
        <x:v>P21B-20260801-V1</x:v>
      </x:c>
      <x:c r="R12" s="20" t="str">
        <x:f>IF(AND(E12&lt;=F12,F12&lt;=G12),"PASS","FAIL")</x:f>
        <x:v>PASS</x:v>
      </x:c>
    </x:row>
    <x:row r="13" ht="42" customHeight="1">
      <x:c r="A13" s="19" t="str">
        <x:v>ABS_HV_752</x:v>
      </x:c>
      <x:c r="B13" s="19" t="str">
        <x:v>M03_HIGH_VOLTAGE</x:v>
      </x:c>
      <x:c r="C13" s="19" t="str">
        <x:v>752V车端高压系统</x:v>
      </x:c>
      <x:c r="D13" s="19" t="str">
        <x:v>absolute_reference</x:v>
      </x:c>
      <x:c r="E13" s="31" t="n">
        <x:v>3300</x:v>
      </x:c>
      <x:c r="F13" s="31" t="n">
        <x:v>4300</x:v>
      </x:c>
      <x:c r="G13" s="31" t="n">
        <x:v>5800</x:v>
      </x:c>
      <x:c r="H13" s="19" t="str">
        <x:v>元/车</x:v>
      </x:c>
      <x:c r="I13" s="19" t="str">
        <x:v>reference_only</x:v>
      </x:c>
      <x:c r="J13" s="19" t="str">
        <x:v>source_anchored</x:v>
      </x:c>
      <x:c r="K13" s="19" t="str">
        <x:v>HV_EXTERNAL_752</x:v>
      </x:c>
      <x:c r="L13" s="19" t="str">
        <x:v>OBC、DC-DC、PDU/HVJB、接触器、充电口与车身高压线束</x:v>
      </x:c>
      <x:c r="M13" s="19" t="str">
        <x:v>电驱逆变器、包内高倍率电芯/冷却</x:v>
      </x:c>
      <x:c r="N13" s="19" t="str">
        <x:v>SRC-VMAX-2025-AR；SRC-SHINRY-2025-AR；SRC-IEA-UFC</x:v>
      </x:c>
      <x:c r="O13" s="19" t="str">
        <x:v>medium_low</x:v>
      </x:c>
      <x:c r="P13" s="19" t="str">
        <x:v>车载电源ASP与架构耐压工程分配</x:v>
      </x:c>
      <x:c r="Q13" s="19" t="str">
        <x:v>P21B-20260801-V1</x:v>
      </x:c>
      <x:c r="R13" s="19" t="str">
        <x:f>IF(AND(E13&lt;=F13,F13&lt;=G13),"PASS","FAIL")</x:f>
        <x:v>PASS</x:v>
      </x:c>
    </x:row>
    <x:row r="14" ht="42" customHeight="1">
      <x:c r="A14" s="20" t="str">
        <x:v>ABS_HV_897</x:v>
      </x:c>
      <x:c r="B14" s="20" t="str">
        <x:v>M03_HIGH_VOLTAGE</x:v>
      </x:c>
      <x:c r="C14" s="20" t="str">
        <x:v>897V车端高压系统</x:v>
      </x:c>
      <x:c r="D14" s="20" t="str">
        <x:v>absolute_reference</x:v>
      </x:c>
      <x:c r="E14" s="31" t="n">
        <x:v>4100</x:v>
      </x:c>
      <x:c r="F14" s="31" t="n">
        <x:v>5800</x:v>
      </x:c>
      <x:c r="G14" s="31" t="n">
        <x:v>8300</x:v>
      </x:c>
      <x:c r="H14" s="20" t="str">
        <x:v>元/车</x:v>
      </x:c>
      <x:c r="I14" s="20" t="str">
        <x:v>reference_only</x:v>
      </x:c>
      <x:c r="J14" s="20" t="str">
        <x:v>source_anchored</x:v>
      </x:c>
      <x:c r="K14" s="20" t="str">
        <x:v>HV_EXTERNAL_897</x:v>
      </x:c>
      <x:c r="L14" s="20" t="str">
        <x:v>同上，含更高耐压等级增量</x:v>
      </x:c>
      <x:c r="M14" s="20" t="str">
        <x:v>同上</x:v>
      </x:c>
      <x:c r="N14" s="20" t="str">
        <x:v>SRC-VMAX-2025-AR；SRC-SHINRY-2025-AR；SRC-IEA-UFC</x:v>
      </x:c>
      <x:c r="O14" s="20" t="str">
        <x:v>medium_low</x:v>
      </x:c>
      <x:c r="P14" s="20" t="str">
        <x:v>752V已属800V级，故只给温和级差</x:v>
      </x:c>
      <x:c r="Q14" s="20" t="str">
        <x:v>P21B-20260801-V1</x:v>
      </x:c>
      <x:c r="R14" s="20" t="str">
        <x:f>IF(AND(E14&lt;=F14,F14&lt;=G14),"PASS","FAIL")</x:f>
        <x:v>PASS</x:v>
      </x:c>
    </x:row>
    <x:row r="15" ht="42" customHeight="1">
      <x:c r="A15" s="19" t="str">
        <x:v>ABS_AIR_COMPLETE</x:v>
      </x:c>
      <x:c r="B15" s="19" t="str">
        <x:v>M04_CHASSIS</x:v>
      </x:c>
      <x:c r="C15" s="19" t="str">
        <x:v>完整双腔空悬含CDC</x:v>
      </x:c>
      <x:c r="D15" s="19" t="str">
        <x:v>absolute_reference</x:v>
      </x:c>
      <x:c r="E15" s="31" t="n">
        <x:v>7200</x:v>
      </x:c>
      <x:c r="F15" s="31" t="n">
        <x:v>8300</x:v>
      </x:c>
      <x:c r="G15" s="31" t="n">
        <x:v>9500</x:v>
      </x:c>
      <x:c r="H15" s="19" t="str">
        <x:v>元/车</x:v>
      </x:c>
      <x:c r="I15" s="19" t="str">
        <x:v>bundle_reference_only</x:v>
      </x:c>
      <x:c r="J15" s="19" t="str">
        <x:v>source_anchored</x:v>
      </x:c>
      <x:c r="K15" s="19" t="str">
        <x:v>AIR_COMPLETE_BUNDLE</x:v>
      </x:c>
      <x:c r="L15" s="19" t="str">
        <x:v>四角空簧/支柱、供气、罐阀管路、传感控制及4支CDC</x:v>
      </x:c>
      <x:c r="M15" s="19" t="str">
        <x:v>普通悬架共有连杆/副车架</x:v>
      </x:c>
      <x:c r="N15" s="19" t="str">
        <x:v>SRC-BAOLONG-AIR</x:v>
      </x:c>
      <x:c r="O15" s="19" t="str">
        <x:v>medium_high</x:v>
      </x:c>
      <x:c r="P15" s="19" t="str">
        <x:v>供应商项目ASP与行业系统拆分交叉校验</x:v>
      </x:c>
      <x:c r="Q15" s="19" t="str">
        <x:v>P21B-20260801-V1</x:v>
      </x:c>
      <x:c r="R15" s="19" t="str">
        <x:f>IF(AND(E15&lt;=F15,F15&lt;=G15),"PASS","FAIL")</x:f>
        <x:v>PASS</x:v>
      </x:c>
    </x:row>
    <x:row r="16" ht="42" customHeight="1">
      <x:c r="A16" s="20" t="str">
        <x:v>ABS_ADAS_THOR</x:v>
      </x:c>
      <x:c r="B16" s="20" t="str">
        <x:v>M05_ADAS</x:v>
      </x:c>
      <x:c r="C16" s="20" t="str">
        <x:v>Thor ADD分摊</x:v>
      </x:c>
      <x:c r="D16" s="20" t="str">
        <x:v>absolute_reference</x:v>
      </x:c>
      <x:c r="E16" s="31" t="n">
        <x:v>7000</x:v>
      </x:c>
      <x:c r="F16" s="31" t="n">
        <x:v>9000</x:v>
      </x:c>
      <x:c r="G16" s="31" t="n">
        <x:v>12500</x:v>
      </x:c>
      <x:c r="H16" s="20" t="str">
        <x:v>元/车</x:v>
      </x:c>
      <x:c r="I16" s="20" t="str">
        <x:v>reference_only</x:v>
      </x:c>
      <x:c r="J16" s="20" t="str">
        <x:v>source_anchored</x:v>
      </x:c>
      <x:c r="K16" s="20" t="str">
        <x:v>ADAS_THOR_ALLOCATION</x:v>
      </x:c>
      <x:c r="L16" s="20" t="str">
        <x:v>Thor、板卡、存储/PMIC/散热与中央大脑ADD份额</x:v>
      </x:c>
      <x:c r="M16" s="20" t="str">
        <x:v>HAD/XLA软件、VCCD/DCD/T-Box其他份额</x:v>
      </x:c>
      <x:c r="N16" s="20" t="str">
        <x:v>SRC-DESAY-2024；SRC-XIAOMI-EEA</x:v>
      </x:c>
      <x:c r="O16" s="20" t="str">
        <x:v>medium_low</x:v>
      </x:c>
      <x:c r="P16" s="20" t="str">
        <x:v>高算力域控ASP与中央大脑分摊</x:v>
      </x:c>
      <x:c r="Q16" s="20" t="str">
        <x:v>P21B-20260801-V1</x:v>
      </x:c>
      <x:c r="R16" s="20" t="str">
        <x:f>IF(AND(E16&lt;=F16,F16&lt;=G16),"PASS","FAIL")</x:f>
        <x:v>PASS</x:v>
      </x:c>
    </x:row>
    <x:row r="17" ht="42" customHeight="1">
      <x:c r="A17" s="19" t="str">
        <x:v>ABS_ADAS_LIDAR</x:v>
      </x:c>
      <x:c r="B17" s="19" t="str">
        <x:v>M05_ADAS</x:v>
      </x:c>
      <x:c r="C17" s="19" t="str">
        <x:v>1颗激光雷达</x:v>
      </x:c>
      <x:c r="D17" s="19" t="str">
        <x:v>absolute_reference</x:v>
      </x:c>
      <x:c r="E17" s="31" t="n">
        <x:v>1200</x:v>
      </x:c>
      <x:c r="F17" s="31" t="n">
        <x:v>1500</x:v>
      </x:c>
      <x:c r="G17" s="31" t="n">
        <x:v>1900</x:v>
      </x:c>
      <x:c r="H17" s="19" t="str">
        <x:v>元/车</x:v>
      </x:c>
      <x:c r="I17" s="19" t="str">
        <x:v>reference_only</x:v>
      </x:c>
      <x:c r="J17" s="19" t="str">
        <x:v>source_anchored</x:v>
      </x:c>
      <x:c r="K17" s="19" t="str">
        <x:v>ADAS_LIDAR_1</x:v>
      </x:c>
      <x:c r="L17" s="19" t="str">
        <x:v>激光雷达、支架及短线束</x:v>
      </x:c>
      <x:c r="M17" s="19" t="str">
        <x:v>独立清洗装置</x:v>
      </x:c>
      <x:c r="N17" s="19" t="str">
        <x:v>SRC-HESAI-2025-20F；SRC-XIAOMI-YU7</x:v>
      </x:c>
      <x:c r="O17" s="19" t="str">
        <x:v>medium_high</x:v>
      </x:c>
      <x:c r="P17" s="19" t="str">
        <x:v>禾赛混合ASP向ADAS量产价收敛</x:v>
      </x:c>
      <x:c r="Q17" s="19" t="str">
        <x:v>P21B-20260801-V1</x:v>
      </x:c>
      <x:c r="R17" s="19" t="str">
        <x:f>IF(AND(E17&lt;=F17,F17&lt;=G17),"PASS","FAIL")</x:f>
        <x:v>PASS</x:v>
      </x:c>
    </x:row>
    <x:row r="18" ht="42" customHeight="1">
      <x:c r="A18" s="20" t="str">
        <x:v>ABS_ADAS_4D</x:v>
      </x:c>
      <x:c r="B18" s="20" t="str">
        <x:v>M05_ADAS</x:v>
      </x:c>
      <x:c r="C18" s="20" t="str">
        <x:v>1颗4D毫米波雷达</x:v>
      </x:c>
      <x:c r="D18" s="20" t="str">
        <x:v>absolute_reference</x:v>
      </x:c>
      <x:c r="E18" s="31" t="n">
        <x:v>300</x:v>
      </x:c>
      <x:c r="F18" s="31" t="n">
        <x:v>500</x:v>
      </x:c>
      <x:c r="G18" s="31" t="n">
        <x:v>800</x:v>
      </x:c>
      <x:c r="H18" s="20" t="str">
        <x:v>元/车</x:v>
      </x:c>
      <x:c r="I18" s="20" t="str">
        <x:v>reference_only</x:v>
      </x:c>
      <x:c r="J18" s="20" t="str">
        <x:v>source_anchored</x:v>
      </x:c>
      <x:c r="K18" s="20" t="str">
        <x:v>ADAS_4D_MMWAVE_1</x:v>
      </x:c>
      <x:c r="L18" s="20" t="str">
        <x:v>前向4D雷达及支架</x:v>
      </x:c>
      <x:c r="M18" s="20" t="str">
        <x:v>未披露角雷达</x:v>
      </x:c>
      <x:c r="N18" s="20" t="str">
        <x:v>SRC-ZONGMU-2023；SRC-XIAOMI-YU7</x:v>
      </x:c>
      <x:c r="O18" s="20" t="str">
        <x:v>medium_low</x:v>
      </x:c>
      <x:c r="P18" s="20" t="str">
        <x:v>历史毫米波ASP与4D量产区间</x:v>
      </x:c>
      <x:c r="Q18" s="20" t="str">
        <x:v>P21B-20260801-V1</x:v>
      </x:c>
      <x:c r="R18" s="20" t="str">
        <x:f>IF(AND(E18&lt;=F18,F18&lt;=G18),"PASS","FAIL")</x:f>
        <x:v>PASS</x:v>
      </x:c>
    </x:row>
    <x:row r="19" ht="42" customHeight="1">
      <x:c r="A19" s="19" t="str">
        <x:v>ABS_ADAS_CAM11</x:v>
      </x:c>
      <x:c r="B19" s="19" t="str">
        <x:v>M05_ADAS</x:v>
      </x:c>
      <x:c r="C19" s="19" t="str">
        <x:v>11摄像头系统</x:v>
      </x:c>
      <x:c r="D19" s="19" t="str">
        <x:v>absolute_reference</x:v>
      </x:c>
      <x:c r="E19" s="31" t="n">
        <x:v>1800</x:v>
      </x:c>
      <x:c r="F19" s="31" t="n">
        <x:v>2300</x:v>
      </x:c>
      <x:c r="G19" s="31" t="n">
        <x:v>2900</x:v>
      </x:c>
      <x:c r="H19" s="19" t="str">
        <x:v>元/车</x:v>
      </x:c>
      <x:c r="I19" s="19" t="str">
        <x:v>reference_only</x:v>
      </x:c>
      <x:c r="J19" s="19" t="str">
        <x:v>source_anchored</x:v>
      </x:c>
      <x:c r="K19" s="19" t="str">
        <x:v>ADAS_CAMERA_11</x:v>
      </x:c>
      <x:c r="L19" s="19" t="str">
        <x:v>11摄像头模组、支架及短线束</x:v>
      </x:c>
      <x:c r="M19" s="19" t="str">
        <x:v>中央域控与共享以太网骨干</x:v>
      </x:c>
      <x:c r="N19" s="19" t="str">
        <x:v>SRC-DESAY-2024；SRC-XIAOMI-YU7</x:v>
      </x:c>
      <x:c r="O19" s="19" t="str">
        <x:v>medium_high</x:v>
      </x:c>
      <x:c r="P19" s="19" t="str">
        <x:v>7×8MP+4×3MP约2282元为中枢</x:v>
      </x:c>
      <x:c r="Q19" s="19" t="str">
        <x:v>P21B-20260801-V1</x:v>
      </x:c>
      <x:c r="R19" s="19" t="str">
        <x:f>IF(AND(E19&lt;=F19,F19&lt;=G19),"PASS","FAIL")</x:f>
        <x:v>PASS</x:v>
      </x:c>
    </x:row>
    <x:row r="20" ht="42" customHeight="1">
      <x:c r="A20" s="20" t="str">
        <x:v>ABS_ADAS_US12</x:v>
      </x:c>
      <x:c r="B20" s="20" t="str">
        <x:v>M05_ADAS</x:v>
      </x:c>
      <x:c r="C20" s="20" t="str">
        <x:v>12超声波雷达系统</x:v>
      </x:c>
      <x:c r="D20" s="20" t="str">
        <x:v>absolute_reference</x:v>
      </x:c>
      <x:c r="E20" s="31" t="n">
        <x:v>200</x:v>
      </x:c>
      <x:c r="F20" s="31" t="n">
        <x:v>260</x:v>
      </x:c>
      <x:c r="G20" s="31" t="n">
        <x:v>360</x:v>
      </x:c>
      <x:c r="H20" s="20" t="str">
        <x:v>元/车</x:v>
      </x:c>
      <x:c r="I20" s="20" t="str">
        <x:v>reference_only</x:v>
      </x:c>
      <x:c r="J20" s="20" t="str">
        <x:v>source_anchored</x:v>
      </x:c>
      <x:c r="K20" s="20" t="str">
        <x:v>ADAS_ULTRASONIC_12</x:v>
      </x:c>
      <x:c r="L20" s="20" t="str">
        <x:v>12传感器及局部线束</x:v>
      </x:c>
      <x:c r="M20" s="20" t="str">
        <x:v>中央算力</x:v>
      </x:c>
      <x:c r="N20" s="20" t="str">
        <x:v>SRC-ZONGMU-2023；SRC-XIAOMI-YU7</x:v>
      </x:c>
      <x:c r="O20" s="20" t="str">
        <x:v>high</x:v>
      </x:c>
      <x:c r="P20" s="20" t="str">
        <x:v>公开均价约19.75元/颗×12后加集成</x:v>
      </x:c>
      <x:c r="Q20" s="20" t="str">
        <x:v>P21B-20260801-V1</x:v>
      </x:c>
      <x:c r="R20" s="20" t="str">
        <x:f>IF(AND(E20&lt;=F20,F20&lt;=G20),"PASS","FAIL")</x:f>
        <x:v>PASS</x:v>
      </x:c>
    </x:row>
    <x:row r="21" ht="42" customHeight="1">
      <x:c r="A21" s="19" t="str">
        <x:v>INC_BAT_ADD_23_3</x:v>
      </x:c>
      <x:c r="B21" s="19" t="str">
        <x:v>M01_BATTERY</x:v>
      </x:c>
      <x:c r="C21" s="19" t="str">
        <x:v>73→96.3kWh LFP整包增量</x:v>
      </x:c>
      <x:c r="D21" s="19" t="str">
        <x:v>increment_core</x:v>
      </x:c>
      <x:c r="E21" s="31" t="n">
        <x:v>11650</x:v>
      </x:c>
      <x:c r="F21" s="31" t="n">
        <x:v>13514</x:v>
      </x:c>
      <x:c r="G21" s="31" t="n">
        <x:v>15844</x:v>
      </x:c>
      <x:c r="H21" s="19" t="str">
        <x:v>元/车</x:v>
      </x:c>
      <x:c r="I21" s="19" t="str">
        <x:v>core</x:v>
      </x:c>
      <x:c r="J21" s="19" t="str">
        <x:v>eligible_base</x:v>
      </x:c>
      <x:c r="K21" s="19" t="str">
        <x:v>PACK_CAPACITY_23_3</x:v>
      </x:c>
      <x:c r="L21" s="19" t="str">
        <x:v>增加23.3kWh，整包元/kWh口径</x:v>
      </x:c>
      <x:c r="M21" s="19" t="str">
        <x:v>不得再加BMS/壳体/倍率/包内冷却</x:v>
      </x:c>
      <x:c r="N21" s="19" t="str">
        <x:v>SRC-BNEF-2025；SRC-CATL-2025-AR</x:v>
      </x:c>
      <x:c r="O21" s="19" t="str">
        <x:v>medium_high</x:v>
      </x:c>
      <x:c r="P21" s="19" t="str">
        <x:v>23.3×500/580/680</x:v>
      </x:c>
      <x:c r="Q21" s="19" t="str">
        <x:v>P21B-20260801-V1</x:v>
      </x:c>
      <x:c r="R21" s="19" t="str">
        <x:f>IF(AND(E21&lt;=F21,F21&lt;=G21),"PASS","FAIL")</x:f>
        <x:v>PASS</x:v>
      </x:c>
    </x:row>
    <x:row r="22" ht="42" customHeight="1">
      <x:c r="A22" s="20" t="str">
        <x:v>INC_BAT_SWAP_NCM</x:v>
      </x:c>
      <x:c r="B22" s="20" t="str">
        <x:v>M01_BATTERY</x:v>
      </x:c>
      <x:c r="C22" s="20" t="str">
        <x:v>96.3LFP→101.7NCM整包置换</x:v>
      </x:c>
      <x:c r="D22" s="20" t="str">
        <x:v>increment_core</x:v>
      </x:c>
      <x:c r="E22" s="31" t="n">
        <x:v>21006</x:v>
      </x:c>
      <x:c r="F22" s="31" t="n">
        <x:v>25506</x:v>
      </x:c>
      <x:c r="G22" s="31" t="n">
        <x:v>29097</x:v>
      </x:c>
      <x:c r="H22" s="20" t="str">
        <x:v>元/车</x:v>
      </x:c>
      <x:c r="I22" s="20" t="str">
        <x:v>core</x:v>
      </x:c>
      <x:c r="J22" s="20" t="str">
        <x:v>eligible_base</x:v>
      </x:c>
      <x:c r="K22" s="20" t="str">
        <x:v>PACK_SWAP_LFP_NCM</x:v>
      </x:c>
      <x:c r="L22" s="20" t="str">
        <x:v>整包容量、化学体系、5.2C与包内热管理共同变化</x:v>
      </x:c>
      <x:c r="M22" s="20" t="str">
        <x:v>不得再加5.4kWh、化学体系或倍率溢价</x:v>
      </x:c>
      <x:c r="N22" s="20" t="str">
        <x:v>SRC-BNEF-2025；SRC-IEA-GEO2025；SRC-ARGONNE-BATPAC</x:v>
      </x:c>
      <x:c r="O22" s="20" t="str">
        <x:v>medium</x:v>
      </x:c>
      <x:c r="P22" s="20" t="str">
        <x:v>101.7×NCM单价−96.3×LFP单价</x:v>
      </x:c>
      <x:c r="Q22" s="20" t="str">
        <x:v>P21B-20260801-V1</x:v>
      </x:c>
      <x:c r="R22" s="20" t="str">
        <x:f>IF(AND(E22&lt;=F22,F22&lt;=G22),"PASS","FAIL")</x:f>
        <x:v>PASS</x:v>
      </x:c>
    </x:row>
    <x:row r="23" ht="42" customHeight="1">
      <x:c r="A23" s="19" t="str">
        <x:v>INC_EDRIVE_235_365</x:v>
      </x:c>
      <x:c r="B23" s="19" t="str">
        <x:v>M02_EDRIVE</x:v>
      </x:c>
      <x:c r="C23" s="19" t="str">
        <x:v>235单驱→365双驱</x:v>
      </x:c>
      <x:c r="D23" s="19" t="str">
        <x:v>increment_core</x:v>
      </x:c>
      <x:c r="E23" s="31" t="n">
        <x:v>4000</x:v>
      </x:c>
      <x:c r="F23" s="31" t="n">
        <x:v>5500</x:v>
      </x:c>
      <x:c r="G23" s="31" t="n">
        <x:v>7500</x:v>
      </x:c>
      <x:c r="H23" s="19" t="str">
        <x:v>元/车</x:v>
      </x:c>
      <x:c r="I23" s="19" t="str">
        <x:v>core</x:v>
      </x:c>
      <x:c r="J23" s="19" t="str">
        <x:v>eligible_base</x:v>
      </x:c>
      <x:c r="K23" s="19" t="str">
        <x:v>EDRIVE_DELTA_235_365</x:v>
      </x:c>
      <x:c r="L23" s="19" t="str">
        <x:v>新增130kW前驱动单元及AWD集成</x:v>
      </x:c>
      <x:c r="M23" s="19" t="str">
        <x:v>牵引逆变器已含；系统功率只校验</x:v>
      </x:c>
      <x:c r="N23" s="19" t="str">
        <x:v>SRC-VMAX-2025-AR；SRC-JINGJIN-2025-AR</x:v>
      </x:c>
      <x:c r="O23" s="19" t="str">
        <x:v>medium</x:v>
      </x:c>
      <x:c r="P23" s="19" t="str">
        <x:v>双驱绝对值−单驱绝对值</x:v>
      </x:c>
      <x:c r="Q23" s="19" t="str">
        <x:v>P21B-20260801-V1</x:v>
      </x:c>
      <x:c r="R23" s="19" t="str">
        <x:f>IF(AND(E23&lt;=F23,F23&lt;=G23),"PASS","FAIL")</x:f>
        <x:v>PASS</x:v>
      </x:c>
    </x:row>
    <x:row r="24" ht="42" customHeight="1">
      <x:c r="A24" s="20" t="str">
        <x:v>INC_EDRIVE_235_508</x:v>
      </x:c>
      <x:c r="B24" s="20" t="str">
        <x:v>M02_EDRIVE</x:v>
      </x:c>
      <x:c r="C24" s="20" t="str">
        <x:v>235单驱→508双驱</x:v>
      </x:c>
      <x:c r="D24" s="20" t="str">
        <x:v>increment_core</x:v>
      </x:c>
      <x:c r="E24" s="31" t="n">
        <x:v>7000</x:v>
      </x:c>
      <x:c r="F24" s="31" t="n">
        <x:v>9500</x:v>
      </x:c>
      <x:c r="G24" s="31" t="n">
        <x:v>12500</x:v>
      </x:c>
      <x:c r="H24" s="20" t="str">
        <x:v>元/车</x:v>
      </x:c>
      <x:c r="I24" s="20" t="str">
        <x:v>core</x:v>
      </x:c>
      <x:c r="J24" s="20" t="str">
        <x:v>eligible_base</x:v>
      </x:c>
      <x:c r="K24" s="20" t="str">
        <x:v>EDRIVE_DELTA_235_508</x:v>
      </x:c>
      <x:c r="L24" s="20" t="str">
        <x:v>新增220kW前驱动并升级后驱动</x:v>
      </x:c>
      <x:c r="M24" s="20" t="str">
        <x:v>牵引逆变器已含；不得再计整套四驱</x:v>
      </x:c>
      <x:c r="N24" s="20" t="str">
        <x:v>SRC-VMAX-2025-AR；SRC-JINGJIN-2025-AR</x:v>
      </x:c>
      <x:c r="O24" s="20" t="str">
        <x:v>medium</x:v>
      </x:c>
      <x:c r="P24" s="20" t="str">
        <x:v>性能双驱绝对值−单驱绝对值</x:v>
      </x:c>
      <x:c r="Q24" s="20" t="str">
        <x:v>P21B-20260801-V1</x:v>
      </x:c>
      <x:c r="R24" s="20" t="str">
        <x:f>IF(AND(E24&lt;=F24,F24&lt;=G24),"PASS","FAIL")</x:f>
        <x:v>PASS</x:v>
      </x:c>
    </x:row>
    <x:row r="25" ht="42" customHeight="1">
      <x:c r="A25" s="19" t="str">
        <x:v>INC_EDRIVE_365_508</x:v>
      </x:c>
      <x:c r="B25" s="19" t="str">
        <x:v>M02_EDRIVE</x:v>
      </x:c>
      <x:c r="C25" s="19" t="str">
        <x:v>365双驱→508双驱升级</x:v>
      </x:c>
      <x:c r="D25" s="19" t="str">
        <x:v>increment_core</x:v>
      </x:c>
      <x:c r="E25" s="31" t="n">
        <x:v>3000</x:v>
      </x:c>
      <x:c r="F25" s="31" t="n">
        <x:v>4000</x:v>
      </x:c>
      <x:c r="G25" s="31" t="n">
        <x:v>5000</x:v>
      </x:c>
      <x:c r="H25" s="19" t="str">
        <x:v>元/车</x:v>
      </x:c>
      <x:c r="I25" s="19" t="str">
        <x:v>core</x:v>
      </x:c>
      <x:c r="J25" s="19" t="str">
        <x:v>eligible_base</x:v>
      </x:c>
      <x:c r="K25" s="19" t="str">
        <x:v>EDRIVE_DELTA_365_508</x:v>
      </x:c>
      <x:c r="L25" s="19" t="str">
        <x:v>前后驱动功率级升级</x:v>
      </x:c>
      <x:c r="M25" s="19" t="str">
        <x:v>AWD拓扑已存在，不重复计第二套四驱</x:v>
      </x:c>
      <x:c r="N25" s="19" t="str">
        <x:v>SRC-VMAX-2025-AR；SRC-JINGJIN-2025-AR</x:v>
      </x:c>
      <x:c r="O25" s="19" t="str">
        <x:v>medium</x:v>
      </x:c>
      <x:c r="P25" s="19" t="str">
        <x:v>性能双驱绝对值−中功率双驱绝对值</x:v>
      </x:c>
      <x:c r="Q25" s="19" t="str">
        <x:v>P21B-20260801-V1</x:v>
      </x:c>
      <x:c r="R25" s="19" t="str">
        <x:f>IF(AND(E25&lt;=F25,F25&lt;=G25),"PASS","FAIL")</x:f>
        <x:v>PASS</x:v>
      </x:c>
    </x:row>
    <x:row r="26" ht="42" customHeight="1">
      <x:c r="A26" s="20" t="str">
        <x:v>INC_HV_752_897</x:v>
      </x:c>
      <x:c r="B26" s="20" t="str">
        <x:v>M03_HIGH_VOLTAGE</x:v>
      </x:c>
      <x:c r="C26" s="20" t="str">
        <x:v>752→897V包外高压链路</x:v>
      </x:c>
      <x:c r="D26" s="20" t="str">
        <x:v>increment_core</x:v>
      </x:c>
      <x:c r="E26" s="31" t="n">
        <x:v>800</x:v>
      </x:c>
      <x:c r="F26" s="31" t="n">
        <x:v>1500</x:v>
      </x:c>
      <x:c r="G26" s="31" t="n">
        <x:v>2500</x:v>
      </x:c>
      <x:c r="H26" s="20" t="str">
        <x:v>元/车</x:v>
      </x:c>
      <x:c r="I26" s="20" t="str">
        <x:v>core</x:v>
      </x:c>
      <x:c r="J26" s="20" t="str">
        <x:v>eligible_base</x:v>
      </x:c>
      <x:c r="K26" s="20" t="str">
        <x:v>HV_EXTERNAL_DELTA</x:v>
      </x:c>
      <x:c r="L26" s="20" t="str">
        <x:v>OBC/DC-DC/PDU、耐压器件、充电口与车身线束增量</x:v>
      </x:c>
      <x:c r="M26" s="20" t="str">
        <x:v>5.2C、电驱逆变器、包内冷却</x:v>
      </x:c>
      <x:c r="N26" s="20" t="str">
        <x:v>SRC-VMAX-2025-AR；SRC-SHINRY-2025-AR；SRC-IEA-UFC</x:v>
      </x:c>
      <x:c r="O26" s="20" t="str">
        <x:v>medium_low</x:v>
      </x:c>
      <x:c r="P26" s="20" t="str">
        <x:v>897V与752V绝对车端高压系统差</x:v>
      </x:c>
      <x:c r="Q26" s="20" t="str">
        <x:v>P21B-20260801-V1</x:v>
      </x:c>
      <x:c r="R26" s="20" t="str">
        <x:f>IF(AND(E26&lt;=F26,F26&lt;=G26),"PASS","FAIL")</x:f>
        <x:v>PASS</x:v>
      </x:c>
    </x:row>
    <x:row r="27" ht="42" customHeight="1">
      <x:c r="A27" s="19" t="str">
        <x:v>INC_AIR_EXCL_CDC</x:v>
      </x:c>
      <x:c r="B27" s="19" t="str">
        <x:v>M04_CHASSIS</x:v>
      </x:c>
      <x:c r="C27" s="19" t="str">
        <x:v>双腔空气硬件增量（不含CDC）</x:v>
      </x:c>
      <x:c r="D27" s="19" t="str">
        <x:v>increment_core</x:v>
      </x:c>
      <x:c r="E27" s="31" t="n">
        <x:v>3800</x:v>
      </x:c>
      <x:c r="F27" s="31" t="n">
        <x:v>5000</x:v>
      </x:c>
      <x:c r="G27" s="31" t="n">
        <x:v>6300</x:v>
      </x:c>
      <x:c r="H27" s="19" t="str">
        <x:v>元/车</x:v>
      </x:c>
      <x:c r="I27" s="19" t="str">
        <x:v>core</x:v>
      </x:c>
      <x:c r="J27" s="19" t="str">
        <x:v>eligible_base</x:v>
      </x:c>
      <x:c r="K27" s="19" t="str">
        <x:v>AIR_HARDWARE_EXCL_CDC</x:v>
      </x:c>
      <x:c r="L27" s="19" t="str">
        <x:v>空簧、供气、罐阀管路、传感控制</x:v>
      </x:c>
      <x:c r="M27" s="19" t="str">
        <x:v>CDC与共有连杆/副车架</x:v>
      </x:c>
      <x:c r="N27" s="19" t="str">
        <x:v>SRC-BAOLONG-AIR</x:v>
      </x:c>
      <x:c r="O27" s="19" t="str">
        <x:v>medium_high</x:v>
      </x:c>
      <x:c r="P27" s="19" t="str">
        <x:v>完整系统拆出CDC及共有悬架</x:v>
      </x:c>
      <x:c r="Q27" s="19" t="str">
        <x:v>P21B-20260801-V1</x:v>
      </x:c>
      <x:c r="R27" s="19" t="str">
        <x:f>IF(AND(E27&lt;=F27,F27&lt;=G27),"PASS","FAIL")</x:f>
        <x:v>PASS</x:v>
      </x:c>
    </x:row>
    <x:row r="28" ht="42" customHeight="1">
      <x:c r="A28" s="20" t="str">
        <x:v>INC_CDC</x:v>
      </x:c>
      <x:c r="B28" s="20" t="str">
        <x:v>M04_CHASSIS</x:v>
      </x:c>
      <x:c r="C28" s="20" t="str">
        <x:v>四角CDC相对被动减振器增量</x:v>
      </x:c>
      <x:c r="D28" s="20" t="str">
        <x:v>increment_core</x:v>
      </x:c>
      <x:c r="E28" s="31" t="n">
        <x:v>1800</x:v>
      </x:c>
      <x:c r="F28" s="31" t="n">
        <x:v>2500</x:v>
      </x:c>
      <x:c r="G28" s="31" t="n">
        <x:v>3200</x:v>
      </x:c>
      <x:c r="H28" s="20" t="str">
        <x:v>元/车</x:v>
      </x:c>
      <x:c r="I28" s="20" t="str">
        <x:v>core</x:v>
      </x:c>
      <x:c r="J28" s="20" t="str">
        <x:v>eligible_base</x:v>
      </x:c>
      <x:c r="K28" s="20" t="str">
        <x:v>ADAPTIVE_DAMPING</x:v>
      </x:c>
      <x:c r="L28" s="20" t="str">
        <x:v>4支电控减振器及阀控增量</x:v>
      </x:c>
      <x:c r="M28" s="20" t="str">
        <x:v>空气供给与共享域控</x:v>
      </x:c>
      <x:c r="N28" s="20" t="str">
        <x:v>SRC-BAOLONG-AIR</x:v>
      </x:c>
      <x:c r="O28" s="20" t="str">
        <x:v>medium_high</x:v>
      </x:c>
      <x:c r="P28" s="20" t="str">
        <x:v>供应商项目ASP与行业拆分</x:v>
      </x:c>
      <x:c r="Q28" s="20" t="str">
        <x:v>P21B-20260801-V1</x:v>
      </x:c>
      <x:c r="R28" s="20" t="str">
        <x:f>IF(AND(E28&lt;=F28,F28&lt;=G28),"PASS","FAIL")</x:f>
        <x:v>PASS</x:v>
      </x:c>
    </x:row>
    <x:row r="29" ht="42" customHeight="1">
      <x:c r="A29" s="19" t="str">
        <x:v>INC_REAR_DISPLAY</x:v>
      </x:c>
      <x:c r="B29" s="19" t="str">
        <x:v>M06_COCKPIT</x:v>
      </x:c>
      <x:c r="C29" s="19" t="str">
        <x:v>后排移动控制屏</x:v>
      </x:c>
      <x:c r="D29" s="19" t="str">
        <x:v>increment_core</x:v>
      </x:c>
      <x:c r="E29" s="31" t="n">
        <x:v>400</x:v>
      </x:c>
      <x:c r="F29" s="31" t="n">
        <x:v>600</x:v>
      </x:c>
      <x:c r="G29" s="31" t="n">
        <x:v>850</x:v>
      </x:c>
      <x:c r="H29" s="19" t="str">
        <x:v>元/车</x:v>
      </x:c>
      <x:c r="I29" s="19" t="str">
        <x:v>core</x:v>
      </x:c>
      <x:c r="J29" s="19" t="str">
        <x:v>eligible_base</x:v>
      </x:c>
      <x:c r="K29" s="19" t="str">
        <x:v>REAR_DISPLAY</x:v>
      </x:c>
      <x:c r="L29" s="19" t="str">
        <x:v>屏幕、支架/充电接口、本地控制与线束</x:v>
      </x:c>
      <x:c r="M29" s="19" t="str">
        <x:v>主座舱SoC与软件</x:v>
      </x:c>
      <x:c r="N29" s="19" t="str">
        <x:v>SRC-DESAY-2024；SRC-XM-YU7-APP</x:v>
      </x:c>
      <x:c r="O29" s="19" t="str">
        <x:v>medium</x:v>
      </x:c>
      <x:c r="P29" s="19" t="str">
        <x:v>单屏ASP与尺寸/支架调整</x:v>
      </x:c>
      <x:c r="Q29" s="19" t="str">
        <x:v>P21B-20260801-V1</x:v>
      </x:c>
      <x:c r="R29" s="19" t="str">
        <x:f>IF(AND(E29&lt;=F29,F29&lt;=G29),"PASS","FAIL")</x:f>
        <x:v>PASS</x:v>
      </x:c>
    </x:row>
    <x:row r="30" ht="42" customHeight="1">
      <x:c r="A30" s="20" t="str">
        <x:v>INC_BREMBO</x:v>
      </x:c>
      <x:c r="B30" s="20" t="str">
        <x:v>M04_CHASSIS</x:v>
      </x:c>
      <x:c r="C30" s="20" t="str">
        <x:v>固定4P→Brembo品牌/规格升级</x:v>
      </x:c>
      <x:c r="D30" s="20" t="str">
        <x:v>increment_core</x:v>
      </x:c>
      <x:c r="E30" s="31" t="n">
        <x:v>150</x:v>
      </x:c>
      <x:c r="F30" s="31" t="n">
        <x:v>350</x:v>
      </x:c>
      <x:c r="G30" s="31" t="n">
        <x:v>650</x:v>
      </x:c>
      <x:c r="H30" s="20" t="str">
        <x:v>元/车</x:v>
      </x:c>
      <x:c r="I30" s="20" t="str">
        <x:v>core</x:v>
      </x:c>
      <x:c r="J30" s="20" t="str">
        <x:v>eligible_base</x:v>
      </x:c>
      <x:c r="K30" s="20" t="str">
        <x:v>FRONT_CALIPER_UPGRADE</x:v>
      </x:c>
      <x:c r="L30" s="20" t="str">
        <x:v>前轴卡钳品牌/规格增量</x:v>
      </x:c>
      <x:c r="M30" s="20" t="str">
        <x:v>普通版已有四活塞，不从零新增整套卡钳</x:v>
      </x:c>
      <x:c r="N30" s="20" t="str">
        <x:v>SRC-WANAN-CALIPER；SRC-XM-SU7-APP；SRC-XM-YU7-APP</x:v>
      </x:c>
      <x:c r="O30" s="20" t="str">
        <x:v>medium_low</x:v>
      </x:c>
      <x:c r="P30" s="20" t="str">
        <x:v>固定卡钳绝对ASP约860元/套上的级差</x:v>
      </x:c>
      <x:c r="Q30" s="20" t="str">
        <x:v>P21B-20260801-V1</x:v>
      </x:c>
      <x:c r="R30" s="20" t="str">
        <x:f>IF(AND(E30&lt;=F30,F30&lt;=G30),"PASS","FAIL")</x:f>
        <x:v>PASS</x:v>
      </x:c>
    </x:row>
    <x:row r="31" ht="42" customHeight="1">
      <x:c r="A31" s="19" t="str">
        <x:v>INC_FRONT_DRILLED_DISC</x:v>
      </x:c>
      <x:c r="B31" s="19" t="str">
        <x:v>M04_CHASSIS</x:v>
      </x:c>
      <x:c r="C31" s="19" t="str">
        <x:v>前打孔通风盘增量</x:v>
      </x:c>
      <x:c r="D31" s="19" t="str">
        <x:v>increment_core</x:v>
      </x:c>
      <x:c r="E31" s="31" t="n">
        <x:v>120</x:v>
      </x:c>
      <x:c r="F31" s="31" t="n">
        <x:v>240</x:v>
      </x:c>
      <x:c r="G31" s="31" t="n">
        <x:v>420</x:v>
      </x:c>
      <x:c r="H31" s="19" t="str">
        <x:v>元/车</x:v>
      </x:c>
      <x:c r="I31" s="19" t="str">
        <x:v>core</x:v>
      </x:c>
      <x:c r="J31" s="19" t="str">
        <x:v>eligible_base</x:v>
      </x:c>
      <x:c r="K31" s="19" t="str">
        <x:v>FRONT_BRAKE_DISC</x:v>
      </x:c>
      <x:c r="L31" s="19" t="str">
        <x:v>前轴一对打孔通风盘相对普通通风盘</x:v>
      </x:c>
      <x:c r="M31" s="19" t="str">
        <x:v>卡钳、刹车片、EHB/ESC</x:v>
      </x:c>
      <x:c r="N31" s="19" t="str">
        <x:v>SRC-LONGJI-BRAKE；SRC-XM-SU7-APP；SRC-XM-YU7-APP</x:v>
      </x:c>
      <x:c r="O31" s="19" t="str">
        <x:v>medium_low</x:v>
      </x:c>
      <x:c r="P31" s="19" t="str">
        <x:v>量产盘均价下限加性能规格级差</x:v>
      </x:c>
      <x:c r="Q31" s="19" t="str">
        <x:v>P21B-20260801-V1</x:v>
      </x:c>
      <x:c r="R31" s="19" t="str">
        <x:f>IF(AND(E31&lt;=F31,F31&lt;=G31),"PASS","FAIL")</x:f>
        <x:v>PASS</x:v>
      </x:c>
    </x:row>
    <x:row r="32" ht="42" customHeight="1">
      <x:c r="A32" s="20" t="str">
        <x:v>INC_REAR_DRILLED_DISC</x:v>
      </x:c>
      <x:c r="B32" s="20" t="str">
        <x:v>M04_CHASSIS</x:v>
      </x:c>
      <x:c r="C32" s="20" t="str">
        <x:v>后打孔通风盘增量</x:v>
      </x:c>
      <x:c r="D32" s="20" t="str">
        <x:v>increment_core</x:v>
      </x:c>
      <x:c r="E32" s="31" t="n">
        <x:v>100</x:v>
      </x:c>
      <x:c r="F32" s="31" t="n">
        <x:v>200</x:v>
      </x:c>
      <x:c r="G32" s="31" t="n">
        <x:v>360</x:v>
      </x:c>
      <x:c r="H32" s="20" t="str">
        <x:v>元/车</x:v>
      </x:c>
      <x:c r="I32" s="20" t="str">
        <x:v>core</x:v>
      </x:c>
      <x:c r="J32" s="20" t="str">
        <x:v>eligible_base_yu7_only</x:v>
      </x:c>
      <x:c r="K32" s="20" t="str">
        <x:v>REAR_BRAKE_DISC</x:v>
      </x:c>
      <x:c r="L32" s="20" t="str">
        <x:v>后轴一对打孔通风盘相对普通通风盘</x:v>
      </x:c>
      <x:c r="M32" s="20" t="str">
        <x:v>仅YU7 Max；SU7 Max后盘不变</x:v>
      </x:c>
      <x:c r="N32" s="20" t="str">
        <x:v>SRC-LONGJI-BRAKE；SRC-XM-YU7-APP</x:v>
      </x:c>
      <x:c r="O32" s="20" t="str">
        <x:v>medium_low</x:v>
      </x:c>
      <x:c r="P32" s="20" t="str">
        <x:v>量产盘均价下限加性能规格级差</x:v>
      </x:c>
      <x:c r="Q32" s="20" t="str">
        <x:v>P21B-20260801-V1</x:v>
      </x:c>
      <x:c r="R32" s="20" t="str">
        <x:f>IF(AND(E32&lt;=F32,F32&lt;=G32),"PASS","FAIL")</x:f>
        <x:v>PASS</x:v>
      </x:c>
    </x:row>
    <x:row r="33" ht="42" customHeight="1">
      <x:c r="A33" s="19" t="str">
        <x:v>INC_AUDIO_14_25</x:v>
      </x:c>
      <x:c r="B33" s="19" t="str">
        <x:v>M06_COCKPIT</x:v>
      </x:c>
      <x:c r="C33" s="19" t="str">
        <x:v>14→25扬声器系统增量</x:v>
      </x:c>
      <x:c r="D33" s="19" t="str">
        <x:v>increment_core</x:v>
      </x:c>
      <x:c r="E33" s="31" t="n">
        <x:v>400</x:v>
      </x:c>
      <x:c r="F33" s="31" t="n">
        <x:v>650</x:v>
      </x:c>
      <x:c r="G33" s="31" t="n">
        <x:v>1050</x:v>
      </x:c>
      <x:c r="H33" s="19" t="str">
        <x:v>元/车</x:v>
      </x:c>
      <x:c r="I33" s="19" t="str">
        <x:v>core</x:v>
      </x:c>
      <x:c r="J33" s="19" t="str">
        <x:v>eligible_base</x:v>
      </x:c>
      <x:c r="K33" s="19" t="str">
        <x:v>AUDIO_SYSTEM_UPGRADE</x:v>
      </x:c>
      <x:c r="L33" s="19" t="str">
        <x:v>11只新增扬声器、功放通道/DSP/线束与标定分摊</x:v>
      </x:c>
      <x:c r="M33" s="19" t="str">
        <x:v>杜比与运动声浪软件；不再加完整功放</x:v>
      </x:c>
      <x:c r="N33" s="19" t="str">
        <x:v>SRC-SONAVOX-2025；SRC-XM-SU7-APP；SRC-XM-YU7-APP</x:v>
      </x:c>
      <x:c r="O33" s="19" t="str">
        <x:v>medium_high</x:v>
      </x:c>
      <x:c r="P33" s="19" t="str">
        <x:v>11×26.04元后加通道与集成</x:v>
      </x:c>
      <x:c r="Q33" s="19" t="str">
        <x:v>P21B-20260801-V1</x:v>
      </x:c>
      <x:c r="R33" s="19" t="str">
        <x:f>IF(AND(E33&lt;=F33,F33&lt;=G33),"PASS","FAIL")</x:f>
        <x:v>PASS</x:v>
      </x:c>
    </x:row>
    <x:row r="34" ht="42" customHeight="1">
      <x:c r="A34" s="20" t="str">
        <x:v>INC_SU7_HUD</x:v>
      </x:c>
      <x:c r="B34" s="20" t="str">
        <x:v>M06_COCKPIT</x:v>
      </x:c>
      <x:c r="C34" s="20" t="str">
        <x:v>SU7 56英寸WHUD</x:v>
      </x:c>
      <x:c r="D34" s="20" t="str">
        <x:v>increment_core</x:v>
      </x:c>
      <x:c r="E34" s="31" t="n">
        <x:v>550</x:v>
      </x:c>
      <x:c r="F34" s="31" t="n">
        <x:v>700</x:v>
      </x:c>
      <x:c r="G34" s="31" t="n">
        <x:v>950</x:v>
      </x:c>
      <x:c r="H34" s="20" t="str">
        <x:v>元/车</x:v>
      </x:c>
      <x:c r="I34" s="20" t="str">
        <x:v>core</x:v>
      </x:c>
      <x:c r="J34" s="20" t="str">
        <x:v>eligible_base_su7_only</x:v>
      </x:c>
      <x:c r="K34" s="20" t="str">
        <x:v>SU7_WHUD</x:v>
      </x:c>
      <x:c r="L34" s="20" t="str">
        <x:v>投影/显示引擎、光学镜组、壳体与控制</x:v>
      </x:c>
      <x:c r="M34" s="20" t="str">
        <x:v>HUD风挡溢价与座舱算力；YU7天际屏不是WHUD</x:v>
      </x:c>
      <x:c r="N34" s="20" t="str">
        <x:v>SRC-DESAY-2024；SRC-XM-SU7-APP</x:v>
      </x:c>
      <x:c r="O34" s="20" t="str">
        <x:v>high</x:v>
      </x:c>
      <x:c r="P34" s="20" t="str">
        <x:v>德赛西威HUD项目ASP约700元</x:v>
      </x:c>
      <x:c r="Q34" s="20" t="str">
        <x:v>P21B-20260801-V1</x:v>
      </x:c>
      <x:c r="R34" s="20" t="str">
        <x:f>IF(AND(E34&lt;=F34,F34&lt;=G34),"PASS","FAIL")</x:f>
        <x:v>PASS</x:v>
      </x:c>
    </x:row>
    <x:row r="35" ht="42" customHeight="1">
      <x:c r="A35" s="19" t="str">
        <x:v>INC_DIMMING_CANOPY</x:v>
      </x:c>
      <x:c r="B35" s="19" t="str">
        <x:v>M07_BODY</x:v>
      </x:c>
      <x:c r="C35" s="19" t="str">
        <x:v>双分区调光天幕增量</x:v>
      </x:c>
      <x:c r="D35" s="19" t="str">
        <x:v>increment_core</x:v>
      </x:c>
      <x:c r="E35" s="31" t="n">
        <x:v>1800</x:v>
      </x:c>
      <x:c r="F35" s="31" t="n">
        <x:v>2600</x:v>
      </x:c>
      <x:c r="G35" s="31" t="n">
        <x:v>3800</x:v>
      </x:c>
      <x:c r="H35" s="19" t="str">
        <x:v>元/车</x:v>
      </x:c>
      <x:c r="I35" s="19" t="str">
        <x:v>core</x:v>
      </x:c>
      <x:c r="J35" s="19" t="str">
        <x:v>eligible_base</x:v>
      </x:c>
      <x:c r="K35" s="19" t="str">
        <x:v>DIMMING_CANOPY_ATOMIC</x:v>
      </x:c>
      <x:c r="L35" s="19" t="str">
        <x:v>调光膜/堆栈、母排、控制器、双区线束与层压良率</x:v>
      </x:c>
      <x:c r="M35" s="19" t="str">
        <x:v>共有结构玻璃、镀膜与顶棚</x:v>
      </x:c>
      <x:c r="N35" s="19" t="str">
        <x:v>SRC-PDCLC-PROJECT；SRC-XM-SU7-APP；SRC-XM-YU7-APP</x:v>
      </x:c>
      <x:c r="O35" s="19" t="str">
        <x:v>medium_low</x:v>
      </x:c>
      <x:c r="P35" s="19" t="str">
        <x:v>智能调光天幕价值量锚与产能项目工程区间</x:v>
      </x:c>
      <x:c r="Q35" s="19" t="str">
        <x:v>P21B-20260801-V1</x:v>
      </x:c>
      <x:c r="R35" s="19" t="str">
        <x:f>IF(AND(E35&lt;=F35,F35&lt;=G35),"PASS","FAIL")</x:f>
        <x:v>PASS</x:v>
      </x:c>
    </x:row>
    <x:row r="36" ht="42" customHeight="1">
      <x:c r="A36" s="20" t="str">
        <x:v>INC_QUIET_CABIN</x:v>
      </x:c>
      <x:c r="B36" s="20" t="str">
        <x:v>M07_BODY</x:v>
      </x:c>
      <x:c r="C36" s="20" t="str">
        <x:v>YU7超静谧座舱原子包</x:v>
      </x:c>
      <x:c r="D36" s="20" t="str">
        <x:v>increment_core</x:v>
      </x:c>
      <x:c r="E36" s="31" t="n">
        <x:v>550</x:v>
      </x:c>
      <x:c r="F36" s="31" t="n">
        <x:v>1050</x:v>
      </x:c>
      <x:c r="G36" s="31" t="n">
        <x:v>1800</x:v>
      </x:c>
      <x:c r="H36" s="20" t="str">
        <x:v>元/车</x:v>
      </x:c>
      <x:c r="I36" s="20" t="str">
        <x:v>core</x:v>
      </x:c>
      <x:c r="J36" s="20" t="str">
        <x:v>eligible_base_yu7_only</x:v>
      </x:c>
      <x:c r="K36" s="20" t="str">
        <x:v>QUIET_CABIN_ATOMIC</x:v>
      </x:c>
      <x:c r="L36" s="20" t="str">
        <x:v>声学PVB玻璃增量与关键区域吸声材料</x:v>
      </x:c>
      <x:c r="M36" s="20" t="str">
        <x:v>共同夹层静音玻璃；SU7 Max为选装</x:v>
      </x:c>
      <x:c r="N36" s="20" t="str">
        <x:v>SRC-XIAOMI-YU7；SRC-MODEL-ASSUMPTION</x:v>
      </x:c>
      <x:c r="O36" s="20" t="str">
        <x:v>medium_low</x:v>
      </x:c>
      <x:c r="P36" s="20" t="str">
        <x:v>玻璃层与声学材料两原子合并且只计一次</x:v>
      </x:c>
      <x:c r="Q36" s="20" t="str">
        <x:v>P21B-20260801-V1</x:v>
      </x:c>
      <x:c r="R36" s="20" t="str">
        <x:f>IF(AND(E36&lt;=F36,F36&lt;=G36),"PASS","FAIL")</x:f>
        <x:v>PASS</x:v>
      </x:c>
    </x:row>
    <x:row r="37" ht="42" customHeight="1">
      <x:c r="A37" s="19" t="str">
        <x:v>INC_SUEDE_HEADLINER</x:v>
      </x:c>
      <x:c r="B37" s="19" t="str">
        <x:v>M07_BODY</x:v>
      </x:c>
      <x:c r="C37" s="19" t="str">
        <x:v>麂皮/超纤绒顶棚面层增量</x:v>
      </x:c>
      <x:c r="D37" s="19" t="str">
        <x:v>increment_core</x:v>
      </x:c>
      <x:c r="E37" s="31" t="n">
        <x:v>120</x:v>
      </x:c>
      <x:c r="F37" s="31" t="n">
        <x:v>260</x:v>
      </x:c>
      <x:c r="G37" s="31" t="n">
        <x:v>450</x:v>
      </x:c>
      <x:c r="H37" s="19" t="str">
        <x:v>元/车</x:v>
      </x:c>
      <x:c r="I37" s="19" t="str">
        <x:v>core</x:v>
      </x:c>
      <x:c r="J37" s="19" t="str">
        <x:v>eligible_base</x:v>
      </x:c>
      <x:c r="K37" s="19" t="str">
        <x:v>SUEDE_HEADLINER</x:v>
      </x:c>
      <x:c r="L37" s="19" t="str">
        <x:v>面料、复合、裁切与良率增量</x:v>
      </x:c>
      <x:c r="M37" s="19" t="str">
        <x:v>共有顶棚基材/顶控模块</x:v>
      </x:c>
      <x:c r="N37" s="19" t="str">
        <x:v>SRC-DAIMAY-2023；SRC-XM-SU7-APP；SRC-XM-YU7-APP</x:v>
      </x:c>
      <x:c r="O37" s="19" t="str">
        <x:v>medium</x:v>
      </x:c>
      <x:c r="P37" s="19" t="str">
        <x:v>普通整套顶棚ASP上仅提取面层差</x:v>
      </x:c>
      <x:c r="Q37" s="19" t="str">
        <x:v>P21B-20260801-V1</x:v>
      </x:c>
      <x:c r="R37" s="19" t="str">
        <x:f>IF(AND(E37&lt;=F37,F37&lt;=G37),"PASS","FAIL")</x:f>
        <x:v>PASS</x:v>
      </x:c>
    </x:row>
    <x:row r="38" ht="42" customHeight="1">
      <x:c r="A38" s="20" t="str">
        <x:v>INC_WELCOME_LIGHTS</x:v>
      </x:c>
      <x:c r="B38" s="20" t="str">
        <x:v>M07_BODY</x:v>
      </x:c>
      <x:c r="C38" s="20" t="str">
        <x:v>前门迎宾灯一对</x:v>
      </x:c>
      <x:c r="D38" s="20" t="str">
        <x:v>increment_core</x:v>
      </x:c>
      <x:c r="E38" s="31" t="n">
        <x:v>70</x:v>
      </x:c>
      <x:c r="F38" s="31" t="n">
        <x:v>120</x:v>
      </x:c>
      <x:c r="G38" s="31" t="n">
        <x:v>220</x:v>
      </x:c>
      <x:c r="H38" s="20" t="str">
        <x:v>元/车</x:v>
      </x:c>
      <x:c r="I38" s="20" t="str">
        <x:v>core</x:v>
      </x:c>
      <x:c r="J38" s="20" t="str">
        <x:v>eligible_base</x:v>
      </x:c>
      <x:c r="K38" s="20" t="str">
        <x:v>WELCOME_LIGHTING</x:v>
      </x:c>
      <x:c r="L38" s="20" t="str">
        <x:v>灯体、驱动及局部线束</x:v>
      </x:c>
      <x:c r="M38" s="20" t="str">
        <x:v>车门共有控制器与饰板</x:v>
      </x:c>
      <x:c r="N38" s="20" t="str">
        <x:v>SRC-XM-SU7-APP；SRC-XM-YU7-APP；SRC-MODEL-ASSUMPTION</x:v>
      </x:c>
      <x:c r="O38" s="20" t="str">
        <x:v>low</x:v>
      </x:c>
      <x:c r="P38" s="20" t="str">
        <x:v>透明工程假设</x:v>
      </x:c>
      <x:c r="Q38" s="20" t="str">
        <x:v>P21B-20260801-V1</x:v>
      </x:c>
      <x:c r="R38" s="20" t="str">
        <x:f>IF(AND(E38&lt;=F38,F38&lt;=G38),"PASS","FAIL")</x:f>
        <x:v>PASS</x:v>
      </x:c>
    </x:row>
    <x:row r="39" ht="42" customHeight="1">
      <x:c r="A39" s="19" t="str">
        <x:v>INC_ACTIVE_WING</x:v>
      </x:c>
      <x:c r="B39" s="19" t="str">
        <x:v>M07_BODY</x:v>
      </x:c>
      <x:c r="C39" s="19" t="str">
        <x:v>SU7主动尾翼总成</x:v>
      </x:c>
      <x:c r="D39" s="19" t="str">
        <x:v>increment_core</x:v>
      </x:c>
      <x:c r="E39" s="31" t="n">
        <x:v>350</x:v>
      </x:c>
      <x:c r="F39" s="31" t="n">
        <x:v>600</x:v>
      </x:c>
      <x:c r="G39" s="31" t="n">
        <x:v>950</x:v>
      </x:c>
      <x:c r="H39" s="19" t="str">
        <x:v>元/车</x:v>
      </x:c>
      <x:c r="I39" s="19" t="str">
        <x:v>core</x:v>
      </x:c>
      <x:c r="J39" s="19" t="str">
        <x:v>eligible_base_su7_only</x:v>
      </x:c>
      <x:c r="K39" s="19" t="str">
        <x:v>ACTIVE_REAR_WING</x:v>
      </x:c>
      <x:c r="L39" s="19" t="str">
        <x:v>翼板、机构、执行器、位置感知与线束</x:v>
      </x:c>
      <x:c r="M39" s="19" t="str">
        <x:v>共有车身加强；YU7无此差分</x:v>
      </x:c>
      <x:c r="N39" s="19" t="str">
        <x:v>SRC-XM-SU7-APP；SRC-MODEL-ASSUMPTION</x:v>
      </x:c>
      <x:c r="O39" s="19" t="str">
        <x:v>low_medium</x:v>
      </x:c>
      <x:c r="P39" s="19" t="str">
        <x:v>执行器与机构工程区间</x:v>
      </x:c>
      <x:c r="Q39" s="19" t="str">
        <x:v>P21B-20260801-V1</x:v>
      </x:c>
      <x:c r="R39" s="19" t="str">
        <x:f>IF(AND(E39&lt;=F39,F39&lt;=G39),"PASS","FAIL")</x:f>
        <x:v>PASS</x:v>
      </x:c>
    </x:row>
    <x:row r="40" ht="42" customHeight="1">
      <x:c r="A40" s="20" t="str">
        <x:v>INC_NAPPA_TRIM</x:v>
      </x:c>
      <x:c r="B40" s="20" t="str">
        <x:v>M08_COMFORT</x:v>
      </x:c>
      <x:c r="C40" s="20" t="str">
        <x:v>Nappa相对环保复合皮面料增量</x:v>
      </x:c>
      <x:c r="D40" s="20" t="str">
        <x:v>increment_core</x:v>
      </x:c>
      <x:c r="E40" s="31" t="n">
        <x:v>600</x:v>
      </x:c>
      <x:c r="F40" s="31" t="n">
        <x:v>950</x:v>
      </x:c>
      <x:c r="G40" s="31" t="n">
        <x:v>1400</x:v>
      </x:c>
      <x:c r="H40" s="20" t="str">
        <x:v>元/车</x:v>
      </x:c>
      <x:c r="I40" s="20" t="str">
        <x:v>core</x:v>
      </x:c>
      <x:c r="J40" s="20" t="str">
        <x:v>eligible_base_su7_only</x:v>
      </x:c>
      <x:c r="K40" s="20" t="str">
        <x:v>SEAT_TRIM</x:v>
      </x:c>
      <x:c r="L40" s="20" t="str">
        <x:v>座面Nappa、裁切良率、绗缝与复合</x:v>
      </x:c>
      <x:c r="M40" s="20" t="str">
        <x:v>座椅骨架/泡沫/电机及热舒适功能；YU7为选装</x:v>
      </x:c>
      <x:c r="N40" s="20" t="str">
        <x:v>SRC-MINGXIN-2024；SRC-XM-SU7-APP</x:v>
      </x:c>
      <x:c r="O40" s="20" t="str">
        <x:v>medium</x:v>
      </x:c>
      <x:c r="P40" s="20" t="str">
        <x:v>真皮原料价值量扣除环保复合面料</x:v>
      </x:c>
      <x:c r="Q40" s="20" t="str">
        <x:v>P21B-20260801-V1</x:v>
      </x:c>
      <x:c r="R40" s="20" t="str">
        <x:f>IF(AND(E40&lt;=F40,F40&lt;=G40),"PASS","FAIL")</x:f>
        <x:v>PASS</x:v>
      </x:c>
    </x:row>
    <x:row r="41" ht="42" customHeight="1">
      <x:c r="A41" s="19" t="str">
        <x:v>INC_SOFT_CLOSE</x:v>
      </x:c>
      <x:c r="B41" s="19" t="str">
        <x:v>M08_COMFORT</x:v>
      </x:c>
      <x:c r="C41" s="19" t="str">
        <x:v>四门电吸门</x:v>
      </x:c>
      <x:c r="D41" s="19" t="str">
        <x:v>increment_core</x:v>
      </x:c>
      <x:c r="E41" s="31" t="n">
        <x:v>800</x:v>
      </x:c>
      <x:c r="F41" s="31" t="n">
        <x:v>1000</x:v>
      </x:c>
      <x:c r="G41" s="31" t="n">
        <x:v>1300</x:v>
      </x:c>
      <x:c r="H41" s="19" t="str">
        <x:v>元/车</x:v>
      </x:c>
      <x:c r="I41" s="19" t="str">
        <x:v>core</x:v>
      </x:c>
      <x:c r="J41" s="19" t="str">
        <x:v>eligible_base</x:v>
      </x:c>
      <x:c r="K41" s="19" t="str">
        <x:v>SOFT_CLOSE_DOORS</x:v>
      </x:c>
      <x:c r="L41" s="19" t="str">
        <x:v>4套电吸锁/执行器、电流检测与控制线束集成</x:v>
      </x:c>
      <x:c r="M41" s="19" t="str">
        <x:v>普通门锁、自动开门、门把手/车窗</x:v>
      </x:c>
      <x:c r="N41" s="19" t="str">
        <x:v>SRC-SOFTCLOSE-SECONDARY；SRC-XM-SU7-APP；SRC-XM-YU7-APP</x:v>
      </x:c>
      <x:c r="O41" s="19" t="str">
        <x:v>medium_low</x:v>
      </x:c>
      <x:c r="P41" s="19" t="str">
        <x:v>公开系统价值量与执行器区间</x:v>
      </x:c>
      <x:c r="Q41" s="19" t="str">
        <x:v>P21B-20260801-V1</x:v>
      </x:c>
      <x:c r="R41" s="19" t="str">
        <x:f>IF(AND(E41&lt;=F41,F41&lt;=G41),"PASS","FAIL")</x:f>
        <x:v>PASS</x:v>
      </x:c>
    </x:row>
    <x:row r="42" ht="42" customHeight="1">
      <x:c r="A42" s="20" t="str">
        <x:v>INC_POWER_COLUMN</x:v>
      </x:c>
      <x:c r="B42" s="20" t="str">
        <x:v>M08_COMFORT</x:v>
      </x:c>
      <x:c r="C42" s="20" t="str">
        <x:v>电动方向柱+记忆增量</x:v>
      </x:c>
      <x:c r="D42" s="20" t="str">
        <x:v>increment_core</x:v>
      </x:c>
      <x:c r="E42" s="31" t="n">
        <x:v>450</x:v>
      </x:c>
      <x:c r="F42" s="31" t="n">
        <x:v>550</x:v>
      </x:c>
      <x:c r="G42" s="31" t="n">
        <x:v>700</x:v>
      </x:c>
      <x:c r="H42" s="20" t="str">
        <x:v>元/车</x:v>
      </x:c>
      <x:c r="I42" s="20" t="str">
        <x:v>core</x:v>
      </x:c>
      <x:c r="J42" s="20" t="str">
        <x:v>eligible_base</x:v>
      </x:c>
      <x:c r="K42" s="20" t="str">
        <x:v>POWERED_STEERING_COLUMN</x:v>
      </x:c>
      <x:c r="L42" s="20" t="str">
        <x:v>电机齿轮、传感控制、线束与记忆集成</x:v>
      </x:c>
      <x:c r="M42" s="20" t="str">
        <x:v>EPS转向器、方向盘与ADAS</x:v>
      </x:c>
      <x:c r="N42" s="20" t="str">
        <x:v>SRC-ZHEJIANG-SHIBAO；SRC-XM-SU7-APP；SRC-XM-YU7-APP</x:v>
      </x:c>
      <x:c r="O42" s="20" t="str">
        <x:v>high</x:v>
      </x:c>
      <x:c r="P42" s="20" t="str">
        <x:v>电动与机械管柱公开ASP差约478—568元</x:v>
      </x:c>
      <x:c r="Q42" s="20" t="str">
        <x:v>P21B-20260801-V1</x:v>
      </x:c>
      <x:c r="R42" s="20" t="str">
        <x:f>IF(AND(E42&lt;=F42,F42&lt;=G42),"PASS","FAIL")</x:f>
        <x:v>PASS</x:v>
      </x:c>
    </x:row>
    <x:row r="43" ht="42" customHeight="1">
      <x:c r="A43" s="19" t="str">
        <x:v>INC_AUTO_DIM_MIRROR</x:v>
      </x:c>
      <x:c r="B43" s="19" t="str">
        <x:v>M08_COMFORT</x:v>
      </x:c>
      <x:c r="C43" s="19" t="str">
        <x:v>两侧外后视镜自动防眩增量</x:v>
      </x:c>
      <x:c r="D43" s="19" t="str">
        <x:v>increment_core</x:v>
      </x:c>
      <x:c r="E43" s="31" t="n">
        <x:v>300</x:v>
      </x:c>
      <x:c r="F43" s="31" t="n">
        <x:v>500</x:v>
      </x:c>
      <x:c r="G43" s="31" t="n">
        <x:v>750</x:v>
      </x:c>
      <x:c r="H43" s="19" t="str">
        <x:v>元/车</x:v>
      </x:c>
      <x:c r="I43" s="19" t="str">
        <x:v>core</x:v>
      </x:c>
      <x:c r="J43" s="19" t="str">
        <x:v>eligible_base</x:v>
      </x:c>
      <x:c r="K43" s="19" t="str">
        <x:v>AUTO_DIMMING_MIRROR</x:v>
      </x:c>
      <x:c r="L43" s="19" t="str">
        <x:v>两块EC镜片、光感/控制与短线束</x:v>
      </x:c>
      <x:c r="M43" s="19" t="str">
        <x:v>共有镜壳、折叠/加热/摄像头及碳纤维壳</x:v>
      </x:c>
      <x:c r="N43" s="19" t="str">
        <x:v>SRC-GENTEX-2025；SRC-XM-SU7-APP；SRC-XM-YU7-APP</x:v>
      </x:c>
      <x:c r="O43" s="19" t="str">
        <x:v>medium_low</x:v>
      </x:c>
      <x:c r="P43" s="19" t="str">
        <x:v>高端电子镜混合ASP仅作上限锚</x:v>
      </x:c>
      <x:c r="Q43" s="19" t="str">
        <x:v>P21B-20260801-V1</x:v>
      </x:c>
      <x:c r="R43" s="19" t="str">
        <x:f>IF(AND(E43&lt;=F43,F43&lt;=G43),"PASS","FAIL")</x:f>
        <x:v>PASS</x:v>
      </x:c>
    </x:row>
    <x:row r="44" ht="42" customHeight="1">
      <x:c r="A44" s="20" t="str">
        <x:v>BLOCK_FRONT_PAD</x:v>
      </x:c>
      <x:c r="B44" s="20" t="str">
        <x:v>M04_CHASSIS</x:v>
      </x:c>
      <x:c r="C44" s="20" t="str">
        <x:v>前低金属刹车片敏感项</x:v>
      </x:c>
      <x:c r="D44" s="20" t="str">
        <x:v>blocked_sensitivity</x:v>
      </x:c>
      <x:c r="E44" s="31" t="n">
        <x:v>25</x:v>
      </x:c>
      <x:c r="F44" s="31" t="n">
        <x:v>60</x:v>
      </x:c>
      <x:c r="G44" s="31" t="n">
        <x:v>120</x:v>
      </x:c>
      <x:c r="H44" s="20" t="str">
        <x:v>元/车</x:v>
      </x:c>
      <x:c r="I44" s="20" t="str">
        <x:v>blocked</x:v>
      </x:c>
      <x:c r="J44" s="20" t="str">
        <x:v>baseline_not_disclosed</x:v>
      </x:c>
      <x:c r="K44" s="20" t="str">
        <x:v>FRONT_BRAKE_PAD</x:v>
      </x:c>
      <x:c r="L44" s="20" t="str">
        <x:v>Max明确低金属片</x:v>
      </x:c>
      <x:c r="M44" s="20" t="str">
        <x:v>普通版片型未披露，核心桥禁止计入</x:v>
      </x:c>
      <x:c r="N44" s="20" t="str">
        <x:v>SRC-XM-SU7-APP；SRC-XM-YU7-APP</x:v>
      </x:c>
      <x:c r="O44" s="20" t="str">
        <x:v>low</x:v>
      </x:c>
      <x:c r="P44" s="20" t="str">
        <x:v>仅保留敏感性，不进核心成本</x:v>
      </x:c>
      <x:c r="Q44" s="20" t="str">
        <x:v>P21B-20260801-V1</x:v>
      </x:c>
      <x:c r="R44" s="20" t="str">
        <x:f>IF(AND(E44&lt;=F44,F44&lt;=G44),"PASS","FAIL")</x:f>
        <x:v>PASS</x:v>
      </x:c>
    </x:row>
    <x:row r="45" ht="42" customHeight="1">
      <x:c r="A45" s="19" t="str">
        <x:v>BLOCK_REAR_PAD</x:v>
      </x:c>
      <x:c r="B45" s="19" t="str">
        <x:v>M04_CHASSIS</x:v>
      </x:c>
      <x:c r="C45" s="19" t="str">
        <x:v>后低金属刹车片敏感项</x:v>
      </x:c>
      <x:c r="D45" s="19" t="str">
        <x:v>blocked_sensitivity</x:v>
      </x:c>
      <x:c r="E45" s="31" t="n">
        <x:v>20</x:v>
      </x:c>
      <x:c r="F45" s="31" t="n">
        <x:v>50</x:v>
      </x:c>
      <x:c r="G45" s="31" t="n">
        <x:v>100</x:v>
      </x:c>
      <x:c r="H45" s="19" t="str">
        <x:v>元/车</x:v>
      </x:c>
      <x:c r="I45" s="19" t="str">
        <x:v>blocked</x:v>
      </x:c>
      <x:c r="J45" s="19" t="str">
        <x:v>baseline_not_disclosed</x:v>
      </x:c>
      <x:c r="K45" s="19" t="str">
        <x:v>REAR_BRAKE_PAD</x:v>
      </x:c>
      <x:c r="L45" s="19" t="str">
        <x:v>Max明确低金属片</x:v>
      </x:c>
      <x:c r="M45" s="19" t="str">
        <x:v>普通版片型未披露，核心桥禁止计入</x:v>
      </x:c>
      <x:c r="N45" s="19" t="str">
        <x:v>SRC-XM-SU7-APP；SRC-XM-YU7-APP</x:v>
      </x:c>
      <x:c r="O45" s="19" t="str">
        <x:v>low</x:v>
      </x:c>
      <x:c r="P45" s="19" t="str">
        <x:v>仅保留敏感性，不进核心成本</x:v>
      </x:c>
      <x:c r="Q45" s="19" t="str">
        <x:v>P21B-20260801-V1</x:v>
      </x:c>
      <x:c r="R45" s="19" t="str">
        <x:f>IF(AND(E45&lt;=F45,F45&lt;=G45),"PASS","FAIL")</x:f>
        <x:v>PASS</x:v>
      </x:c>
    </x:row>
    <x:row r="46" ht="42" customHeight="1">
      <x:c r="A46" s="20" t="str">
        <x:v>BLOCK_ZERO_GRAVITY</x:v>
      </x:c>
      <x:c r="B46" s="20" t="str">
        <x:v>M08_COMFORT</x:v>
      </x:c>
      <x:c r="C46" s="20" t="str">
        <x:v>零重力座椅单座增量</x:v>
      </x:c>
      <x:c r="D46" s="20" t="str">
        <x:v>blocked_sensitivity</x:v>
      </x:c>
      <x:c r="E46" s="31" t="n">
        <x:v>450</x:v>
      </x:c>
      <x:c r="F46" s="31" t="n">
        <x:v>650</x:v>
      </x:c>
      <x:c r="G46" s="31" t="n">
        <x:v>950</x:v>
      </x:c>
      <x:c r="H46" s="20" t="str">
        <x:v>元/车</x:v>
      </x:c>
      <x:c r="I46" s="20" t="str">
        <x:v>blocked</x:v>
      </x:c>
      <x:c r="J46" s="20" t="str">
        <x:v>optional_or_benefit</x:v>
      </x:c>
      <x:c r="K46" s="20" t="str">
        <x:v>ZERO_GRAVITY_SEAT</x:v>
      </x:c>
      <x:c r="L46" s="20" t="str">
        <x:v>腿托/倾斜连杆、额外执行器及控制线束</x:v>
      </x:c>
      <x:c r="M46" s="20" t="str">
        <x:v>基础座椅骨架/面套与已有热舒适；YU7为选装/权益</x:v>
      </x:c>
      <x:c r="N46" s="20" t="str">
        <x:v>SRC-RIMA-2025；SRC-XM-YU7-APP</x:v>
      </x:c>
      <x:c r="O46" s="20" t="str">
        <x:v>medium_high</x:v>
      </x:c>
      <x:c r="P46" s="20" t="str">
        <x:v>零重力系统与普通前排公开ASP差约630元</x:v>
      </x:c>
      <x:c r="Q46" s="20" t="str">
        <x:v>P21B-20260801-V1</x:v>
      </x:c>
      <x:c r="R46" s="20" t="str">
        <x:f>IF(AND(E46&lt;=F46,F46&lt;=G46),"PASS","FAIL")</x:f>
        <x:v>PASS</x:v>
      </x:c>
    </x:row>
    <x:row r="47" ht="42" customHeight="1">
      <x:c r="A47" s="19" t="str">
        <x:v>RATE_MANUFACTURING</x:v>
      </x:c>
      <x:c r="B47" s="19" t="str">
        <x:v>M09_MANUFACTURING</x:v>
      </x:c>
      <x:c r="C47" s="19" t="str">
        <x:v>制造复杂度覆盖率</x:v>
      </x:c>
      <x:c r="D47" s="19" t="str">
        <x:v>overlay_parameter</x:v>
      </x:c>
      <x:c r="E47" s="32" t="n">
        <x:v>0.01</x:v>
      </x:c>
      <x:c r="F47" s="32" t="n">
        <x:v>0.02</x:v>
      </x:c>
      <x:c r="G47" s="32" t="n">
        <x:v>0.04</x:v>
      </x:c>
      <x:c r="H47" s="19" t="str">
        <x:v>比例</x:v>
      </x:c>
      <x:c r="I47" s="19" t="str">
        <x:v>overlay</x:v>
      </x:c>
      <x:c r="J47" s="19" t="str">
        <x:v>transparent_model_assumption</x:v>
      </x:c>
      <x:c r="K47" s="19" t="str">
        <x:v>MFG_OVERLAY</x:v>
      </x:c>
      <x:c r="L47" s="19" t="str">
        <x:v>新增工位、节拍、良率、测试与物流复杂度</x:v>
      </x:c>
      <x:c r="M47" s="19" t="str">
        <x:v>零部件采购价内制造、总部费用与定价溢价</x:v>
      </x:c>
      <x:c r="N47" s="19" t="str">
        <x:v>SRC-MODEL-ASSUMPTION</x:v>
      </x:c>
      <x:c r="O47" s="19" t="str">
        <x:v>low</x:v>
      </x:c>
      <x:c r="P47" s="19" t="str">
        <x:v>物理BOM×1%/2%/4%，不得用于配平</x:v>
      </x:c>
      <x:c r="Q47" s="19" t="str">
        <x:v>P21B-20260801-V1</x:v>
      </x:c>
      <x:c r="R47" s="19" t="str">
        <x:f>IF(AND(E47&lt;=F47,F47&lt;=G47),"PASS","FAIL")</x:f>
        <x:v>PASS</x:v>
      </x:c>
    </x:row>
    <x:row r="48" ht="42" customHeight="1">
      <x:c r="A48" s="20" t="str">
        <x:v>RATE_WARRANTY</x:v>
      </x:c>
      <x:c r="B48" s="20" t="str">
        <x:v>M10_WARRANTY</x:v>
      </x:c>
      <x:c r="C48" s="20" t="str">
        <x:v>质保风险覆盖率</x:v>
      </x:c>
      <x:c r="D48" s="20" t="str">
        <x:v>overlay_parameter</x:v>
      </x:c>
      <x:c r="E48" s="32" t="n">
        <x:v>0.005</x:v>
      </x:c>
      <x:c r="F48" s="32" t="n">
        <x:v>0.015</x:v>
      </x:c>
      <x:c r="G48" s="32" t="n">
        <x:v>0.03</x:v>
      </x:c>
      <x:c r="H48" s="20" t="str">
        <x:v>比例</x:v>
      </x:c>
      <x:c r="I48" s="20" t="str">
        <x:v>overlay</x:v>
      </x:c>
      <x:c r="J48" s="20" t="str">
        <x:v>transparent_model_assumption</x:v>
      </x:c>
      <x:c r="K48" s="20" t="str">
        <x:v>WARRANTY_OVERLAY</x:v>
      </x:c>
      <x:c r="L48" s="20" t="str">
        <x:v>新增硬件质保、返修与风险准备</x:v>
      </x:c>
      <x:c r="M48" s="20" t="str">
        <x:v>物理BOM、研发摊销与品牌溢价</x:v>
      </x:c>
      <x:c r="N48" s="20" t="str">
        <x:v>SRC-MODEL-ASSUMPTION</x:v>
      </x:c>
      <x:c r="O48" s="20" t="str">
        <x:v>low</x:v>
      </x:c>
      <x:c r="P48" s="20" t="str">
        <x:v>物理BOM×0.5%/1.5%/3%，不复利</x:v>
      </x:c>
      <x:c r="Q48" s="20" t="str">
        <x:v>P21B-20260801-V1</x:v>
      </x:c>
      <x:c r="R48" s="20" t="str">
        <x:f>IF(AND(E48&lt;=F48,F48&lt;=G48),"PASS","FAIL")</x:f>
        <x:v>PASS</x:v>
      </x:c>
    </x:row>
    <x:row r="49" ht="42" customHeight="1">
      <x:c r="A49" s="19" t="str">
        <x:v>RATE_VAT_CN</x:v>
      </x:c>
      <x:c r="B49" s="19" t="str">
        <x:v>MODEL_PARAMETER</x:v>
      </x:c>
      <x:c r="C49" s="19" t="str">
        <x:v>中国货物增值税税率</x:v>
      </x:c>
      <x:c r="D49" s="19" t="str">
        <x:v>model_parameter</x:v>
      </x:c>
      <x:c r="E49" s="32" t="n">
        <x:v>0.13</x:v>
      </x:c>
      <x:c r="F49" s="32" t="n">
        <x:v>0.13</x:v>
      </x:c>
      <x:c r="G49" s="32" t="n">
        <x:v>0.13</x:v>
      </x:c>
      <x:c r="H49" s="19" t="str">
        <x:v>比例</x:v>
      </x:c>
      <x:c r="I49" s="19" t="str">
        <x:v>parameter</x:v>
      </x:c>
      <x:c r="J49" s="19" t="str">
        <x:v>official_rule</x:v>
      </x:c>
      <x:c r="K49" s="19" t="str">
        <x:v>VAT_RATE</x:v>
      </x:c>
      <x:c r="L49" s="19" t="str">
        <x:v>含税指导价转未税收入的税率</x:v>
      </x:c>
      <x:c r="M49" s="19" t="str">
        <x:v>不代表企业所得税或购置税</x:v>
      </x:c>
      <x:c r="N49" s="19" t="str">
        <x:v>SRC-VAT-CHINA-2026</x:v>
      </x:c>
      <x:c r="O49" s="19" t="str">
        <x:v>high</x:v>
      </x:c>
      <x:c r="P49" s="19" t="str">
        <x:v>未税价差=含税价差÷1.13</x:v>
      </x:c>
      <x:c r="Q49" s="19" t="str">
        <x:v>P21B-20260801-V1</x:v>
      </x:c>
      <x:c r="R49" s="19" t="str">
        <x:f>IF(AND(E49&lt;=F49,F49&lt;=G49),"PASS","FAIL")</x:f>
        <x:v>PASS</x:v>
      </x:c>
    </x:row>
  </x:sheetData>
  <x:mergeCells>
    <x:mergeCell ref="A1:R1"/>
    <x:mergeCell ref="A2:R2"/>
    <x:mergeCell ref="A3:R3"/>
  </x:mergeCells>
  <x:conditionalFormatting sqref="R7:R49">
    <x:cfRule type="containsText" dxfId="8" priority="1" operator="containsText" text="PASS"/>
    <x:cfRule type="containsText" dxfId="9" priority="2" operator="containsText" text="FAIL"/>
    <x:cfRule type="containsText" dxfId="10" priority="3" operator="containsText" text="REVIEW"/>
    <x:cfRule type="containsText" dxfId="11" priority="4" operator="containsText" text="BLOCKED"/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9" hidden="0" customWidth="1"/>
    <x:col min="3" max="3" width="18" hidden="0" customWidth="1"/>
    <x:col min="4" max="4" width="18" hidden="0" customWidth="1"/>
    <x:col min="5" max="5" width="28" hidden="0" customWidth="1"/>
    <x:col min="6" max="6" width="20" hidden="0" customWidth="1"/>
    <x:col min="7" max="7" width="35" hidden="0" customWidth="1"/>
    <x:col min="8" max="8" width="9" hidden="0" customWidth="1"/>
    <x:col min="9" max="9" width="14" hidden="0" customWidth="1"/>
    <x:col min="10" max="10" width="14" hidden="0" customWidth="1"/>
    <x:col min="11" max="11" width="14" hidden="0" customWidth="1"/>
    <x:col min="12" max="12" width="12" hidden="0" customWidth="1"/>
    <x:col min="13" max="13" width="14" hidden="0" customWidth="1"/>
    <x:col min="14" max="14" width="25" hidden="0" customWidth="1"/>
    <x:col min="15" max="15" width="28" hidden="0" customWidth="1"/>
    <x:col min="16" max="16" width="42" hidden="0" customWidth="1"/>
    <x:col min="17" max="17" width="48" hidden="0" customWidth="1"/>
    <x:col min="18" max="18" width="36" hidden="0" customWidth="1"/>
    <x:col min="19" max="19" width="39" hidden="0" customWidth="1"/>
    <x:col min="20" max="20" width="15" hidden="0" customWidth="1"/>
    <x:col min="21" max="21" width="15" hidden="0" customWidth="1"/>
  </x:cols>
  <x:sheetData>
    <x:row r="1" ht="30" customHeight="1">
      <x:c r="A1" s="3" t="str">
        <x:v>02｜五条相邻版本桥：原子成本拆项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</x:row>
    <x:row r="2" ht="22" customHeight="1">
      <x:c r="A2" s="6" t="str">
        <x:v>每一行只引用一个原子假设；核心有效行数为3 / 15 / 3 / 2 / 14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</x:row>
    <x:row r="3" ht="38" customHeight="1">
      <x:c r="A3" s="10" t="str">
        <x:v>同桥同double_count_key必须唯一；普通刹车片、权益、选装与结果指标没有进入核心明细。</x:v>
      </x:c>
      <x:c r="B3" s="10"/>
      <x:c r="C3" s="10"/>
      <x:c r="D3" s="10"/>
      <x:c r="E3" s="10"/>
      <x:c r="F3" s="10"/>
      <x:c r="G3" s="10"/>
      <x:c r="H3" s="10"/>
      <x:c r="I3" s="10"/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</x:row>
    <x:row r="6" ht="38" customHeight="1">
      <x:c r="A6" s="15" t="str">
        <x:v>bridge_id</x:v>
      </x:c>
      <x:c r="B6" s="15" t="str">
        <x:v>family</x:v>
      </x:c>
      <x:c r="C6" s="15" t="str">
        <x:v>from_sample</x:v>
      </x:c>
      <x:c r="D6" s="15" t="str">
        <x:v>to_sample</x:v>
      </x:c>
      <x:c r="E6" s="15" t="str">
        <x:v>assumption_id</x:v>
      </x:c>
      <x:c r="F6" s="15" t="str">
        <x:v>module</x:v>
      </x:c>
      <x:c r="G6" s="15" t="str">
        <x:v>cost_item</x:v>
      </x:c>
      <x:c r="H6" s="15" t="str">
        <x:v>qty</x:v>
      </x:c>
      <x:c r="I6" s="15" t="str">
        <x:v>low</x:v>
      </x:c>
      <x:c r="J6" s="15" t="str">
        <x:v>mid</x:v>
      </x:c>
      <x:c r="K6" s="15" t="str">
        <x:v>high</x:v>
      </x:c>
      <x:c r="L6" s="15" t="str">
        <x:v>unit</x:v>
      </x:c>
      <x:c r="M6" s="15" t="str">
        <x:v>core_status</x:v>
      </x:c>
      <x:c r="N6" s="15" t="str">
        <x:v>evidence_gate</x:v>
      </x:c>
      <x:c r="O6" s="15" t="str">
        <x:v>double_count_key</x:v>
      </x:c>
      <x:c r="P6" s="15" t="str">
        <x:v>source_ids</x:v>
      </x:c>
      <x:c r="Q6" s="15" t="str">
        <x:v>note</x:v>
      </x:c>
      <x:c r="R6" s="15" t="str">
        <x:v>bridge_module_key</x:v>
      </x:c>
      <x:c r="S6" s="15" t="str">
        <x:v>bridge_dedup_key</x:v>
      </x:c>
      <x:c r="T6" s="15" t="str">
        <x:v>dedup_status</x:v>
      </x:c>
      <x:c r="U6" s="15" t="str">
        <x:v>range_status</x:v>
      </x:c>
    </x:row>
    <x:row r="7" ht="38" customHeight="1">
      <x:c r="A7" s="19" t="str">
        <x:v>BR-SU7-STD-PRO</x:v>
      </x:c>
      <x:c r="B7" s="19" t="str">
        <x:v>SU7</x:v>
      </x:c>
      <x:c r="C7" s="19" t="str">
        <x:v>SU7-G2-STD</x:v>
      </x:c>
      <x:c r="D7" s="19" t="str">
        <x:v>SU7-G2-PRO</x:v>
      </x:c>
      <x:c r="E7" s="19" t="str">
        <x:v>INC_BAT_ADD_23_3</x:v>
      </x:c>
      <x:c r="F7" s="19" t="str">
        <x:v>M01_BATTERY</x:v>
      </x:c>
      <x:c r="G7" s="19" t="str">
        <x:v>73→96.3kWh LFP整包增量</x:v>
      </x:c>
      <x:c r="H7" s="19" t="n">
        <x:v>1</x:v>
      </x:c>
      <x:c r="I7" s="21" t="n">
        <x:f>'01_原子成本假设'!$E$21*H7</x:f>
        <x:v>11650</x:v>
      </x:c>
      <x:c r="J7" s="21" t="n">
        <x:f>'01_原子成本假设'!$F$21*H7</x:f>
        <x:v>13514</x:v>
      </x:c>
      <x:c r="K7" s="21" t="n">
        <x:f>'01_原子成本假设'!$G$21*H7</x:f>
        <x:v>15844</x:v>
      </x:c>
      <x:c r="L7" s="19" t="str">
        <x:v>元/车</x:v>
      </x:c>
      <x:c r="M7" s="19" t="str">
        <x:v>CORE</x:v>
      </x:c>
      <x:c r="N7" s="19" t="str">
        <x:v>eligible_base</x:v>
      </x:c>
      <x:c r="O7" s="19" t="str">
        <x:v>PACK_CAPACITY_23_3</x:v>
      </x:c>
      <x:c r="P7" s="19" t="str">
        <x:v>SRC-BNEF-2025；SRC-CATL-2025-AR</x:v>
      </x:c>
      <x:c r="Q7" s="19" t="str">
        <x:v>+23.3kWh、CDC与双腔空悬。</x:v>
      </x:c>
      <x:c r="R7" s="19" t="str">
        <x:v>BR-SU7-STD-PRO|M01_BATTERY</x:v>
      </x:c>
      <x:c r="S7" s="19" t="str">
        <x:v>BR-SU7-STD-PRO|PACK_CAPACITY_23_3</x:v>
      </x:c>
      <x:c r="T7" s="19" t="str">
        <x:f>IF(COUNTIF($S$7:$S$43,S7)=1,"PASS","FAIL")</x:f>
        <x:v>PASS</x:v>
      </x:c>
      <x:c r="U7" s="19" t="str">
        <x:f>IF(AND(I7&lt;=J7,J7&lt;=K7),"PASS","FAIL")</x:f>
        <x:v>PASS</x:v>
      </x:c>
    </x:row>
    <x:row r="8" ht="38" customHeight="1">
      <x:c r="A8" s="20" t="str">
        <x:v>BR-SU7-STD-PRO</x:v>
      </x:c>
      <x:c r="B8" s="20" t="str">
        <x:v>SU7</x:v>
      </x:c>
      <x:c r="C8" s="20" t="str">
        <x:v>SU7-G2-STD</x:v>
      </x:c>
      <x:c r="D8" s="20" t="str">
        <x:v>SU7-G2-PRO</x:v>
      </x:c>
      <x:c r="E8" s="20" t="str">
        <x:v>INC_AIR_EXCL_CDC</x:v>
      </x:c>
      <x:c r="F8" s="20" t="str">
        <x:v>M04_CHASSIS</x:v>
      </x:c>
      <x:c r="G8" s="20" t="str">
        <x:v>双腔空气硬件增量（不含CDC）</x:v>
      </x:c>
      <x:c r="H8" s="20" t="n">
        <x:v>1</x:v>
      </x:c>
      <x:c r="I8" s="22" t="n">
        <x:f>'01_原子成本假设'!$E$27*H8</x:f>
        <x:v>3800</x:v>
      </x:c>
      <x:c r="J8" s="22" t="n">
        <x:f>'01_原子成本假设'!$F$27*H8</x:f>
        <x:v>5000</x:v>
      </x:c>
      <x:c r="K8" s="22" t="n">
        <x:f>'01_原子成本假设'!$G$27*H8</x:f>
        <x:v>6300</x:v>
      </x:c>
      <x:c r="L8" s="20" t="str">
        <x:v>元/车</x:v>
      </x:c>
      <x:c r="M8" s="20" t="str">
        <x:v>CORE</x:v>
      </x:c>
      <x:c r="N8" s="20" t="str">
        <x:v>eligible_base</x:v>
      </x:c>
      <x:c r="O8" s="20" t="str">
        <x:v>AIR_HARDWARE_EXCL_CDC</x:v>
      </x:c>
      <x:c r="P8" s="20" t="str">
        <x:v>SRC-BAOLONG-AIR</x:v>
      </x:c>
      <x:c r="Q8" s="20" t="str">
        <x:v>+23.3kWh、CDC与双腔空悬。</x:v>
      </x:c>
      <x:c r="R8" s="20" t="str">
        <x:v>BR-SU7-STD-PRO|M04_CHASSIS</x:v>
      </x:c>
      <x:c r="S8" s="20" t="str">
        <x:v>BR-SU7-STD-PRO|AIR_HARDWARE_EXCL_CDC</x:v>
      </x:c>
      <x:c r="T8" s="20" t="str">
        <x:f>IF(COUNTIF($S$7:$S$43,S8)=1,"PASS","FAIL")</x:f>
        <x:v>PASS</x:v>
      </x:c>
      <x:c r="U8" s="20" t="str">
        <x:f>IF(AND(I8&lt;=J8,J8&lt;=K8),"PASS","FAIL")</x:f>
        <x:v>PASS</x:v>
      </x:c>
    </x:row>
    <x:row r="9" ht="38" customHeight="1">
      <x:c r="A9" s="19" t="str">
        <x:v>BR-SU7-STD-PRO</x:v>
      </x:c>
      <x:c r="B9" s="19" t="str">
        <x:v>SU7</x:v>
      </x:c>
      <x:c r="C9" s="19" t="str">
        <x:v>SU7-G2-STD</x:v>
      </x:c>
      <x:c r="D9" s="19" t="str">
        <x:v>SU7-G2-PRO</x:v>
      </x:c>
      <x:c r="E9" s="19" t="str">
        <x:v>INC_CDC</x:v>
      </x:c>
      <x:c r="F9" s="19" t="str">
        <x:v>M04_CHASSIS</x:v>
      </x:c>
      <x:c r="G9" s="19" t="str">
        <x:v>四角CDC相对被动减振器增量</x:v>
      </x:c>
      <x:c r="H9" s="19" t="n">
        <x:v>1</x:v>
      </x:c>
      <x:c r="I9" s="21" t="n">
        <x:f>'01_原子成本假设'!$E$28*H9</x:f>
        <x:v>1800</x:v>
      </x:c>
      <x:c r="J9" s="21" t="n">
        <x:f>'01_原子成本假设'!$F$28*H9</x:f>
        <x:v>2500</x:v>
      </x:c>
      <x:c r="K9" s="21" t="n">
        <x:f>'01_原子成本假设'!$G$28*H9</x:f>
        <x:v>3200</x:v>
      </x:c>
      <x:c r="L9" s="19" t="str">
        <x:v>元/车</x:v>
      </x:c>
      <x:c r="M9" s="19" t="str">
        <x:v>CORE</x:v>
      </x:c>
      <x:c r="N9" s="19" t="str">
        <x:v>eligible_base</x:v>
      </x:c>
      <x:c r="O9" s="19" t="str">
        <x:v>ADAPTIVE_DAMPING</x:v>
      </x:c>
      <x:c r="P9" s="19" t="str">
        <x:v>SRC-BAOLONG-AIR</x:v>
      </x:c>
      <x:c r="Q9" s="19" t="str">
        <x:v>+23.3kWh、CDC与双腔空悬。</x:v>
      </x:c>
      <x:c r="R9" s="19" t="str">
        <x:v>BR-SU7-STD-PRO|M04_CHASSIS</x:v>
      </x:c>
      <x:c r="S9" s="19" t="str">
        <x:v>BR-SU7-STD-PRO|ADAPTIVE_DAMPING</x:v>
      </x:c>
      <x:c r="T9" s="19" t="str">
        <x:f>IF(COUNTIF($S$7:$S$43,S9)=1,"PASS","FAIL")</x:f>
        <x:v>PASS</x:v>
      </x:c>
      <x:c r="U9" s="19" t="str">
        <x:f>IF(AND(I9&lt;=J9,J9&lt;=K9),"PASS","FAIL")</x:f>
        <x:v>PASS</x:v>
      </x:c>
    </x:row>
    <x:row r="10" ht="38" customHeight="1">
      <x:c r="A10" s="20" t="str">
        <x:v>BR-SU7-PRO-MAX</x:v>
      </x:c>
      <x:c r="B10" s="20" t="str">
        <x:v>SU7</x:v>
      </x:c>
      <x:c r="C10" s="20" t="str">
        <x:v>SU7-G2-PRO</x:v>
      </x:c>
      <x:c r="D10" s="20" t="str">
        <x:v>SU7-G2-MAX</x:v>
      </x:c>
      <x:c r="E10" s="20" t="str">
        <x:v>INC_BAT_SWAP_NCM</x:v>
      </x:c>
      <x:c r="F10" s="20" t="str">
        <x:v>M01_BATTERY</x:v>
      </x:c>
      <x:c r="G10" s="20" t="str">
        <x:v>96.3LFP→101.7NCM整包置换</x:v>
      </x:c>
      <x:c r="H10" s="20" t="n">
        <x:v>1</x:v>
      </x:c>
      <x:c r="I10" s="22" t="n">
        <x:f>'01_原子成本假设'!$E$22*H10</x:f>
        <x:v>21006</x:v>
      </x:c>
      <x:c r="J10" s="22" t="n">
        <x:f>'01_原子成本假设'!$F$22*H10</x:f>
        <x:v>25506</x:v>
      </x:c>
      <x:c r="K10" s="22" t="n">
        <x:f>'01_原子成本假设'!$G$22*H10</x:f>
        <x:v>29097</x:v>
      </x:c>
      <x:c r="L10" s="20" t="str">
        <x:v>元/车</x:v>
      </x:c>
      <x:c r="M10" s="20" t="str">
        <x:v>CORE</x:v>
      </x:c>
      <x:c r="N10" s="20" t="str">
        <x:v>eligible_base</x:v>
      </x:c>
      <x:c r="O10" s="20" t="str">
        <x:v>PACK_SWAP_LFP_NCM</x:v>
      </x:c>
      <x:c r="P10" s="20" t="str">
        <x:v>SRC-BNEF-2025；SRC-IEA-GEO2025；SRC-ARGONNE-BATPAC</x:v>
      </x:c>
      <x:c r="Q10" s="20" t="str">
        <x:v>含HUD；SU7静谧座舱为选装不计，后盘不变，片型基线未知不计。</x:v>
      </x:c>
      <x:c r="R10" s="20" t="str">
        <x:v>BR-SU7-PRO-MAX|M01_BATTERY</x:v>
      </x:c>
      <x:c r="S10" s="20" t="str">
        <x:v>BR-SU7-PRO-MAX|PACK_SWAP_LFP_NCM</x:v>
      </x:c>
      <x:c r="T10" s="20" t="str">
        <x:f>IF(COUNTIF($S$7:$S$43,S10)=1,"PASS","FAIL")</x:f>
        <x:v>PASS</x:v>
      </x:c>
      <x:c r="U10" s="20" t="str">
        <x:f>IF(AND(I10&lt;=J10,J10&lt;=K10),"PASS","FAIL")</x:f>
        <x:v>PASS</x:v>
      </x:c>
    </x:row>
    <x:row r="11" ht="38" customHeight="1">
      <x:c r="A11" s="19" t="str">
        <x:v>BR-SU7-PRO-MAX</x:v>
      </x:c>
      <x:c r="B11" s="19" t="str">
        <x:v>SU7</x:v>
      </x:c>
      <x:c r="C11" s="19" t="str">
        <x:v>SU7-G2-PRO</x:v>
      </x:c>
      <x:c r="D11" s="19" t="str">
        <x:v>SU7-G2-MAX</x:v>
      </x:c>
      <x:c r="E11" s="19" t="str">
        <x:v>INC_EDRIVE_235_508</x:v>
      </x:c>
      <x:c r="F11" s="19" t="str">
        <x:v>M02_EDRIVE</x:v>
      </x:c>
      <x:c r="G11" s="19" t="str">
        <x:v>235单驱→508双驱</x:v>
      </x:c>
      <x:c r="H11" s="19" t="n">
        <x:v>1</x:v>
      </x:c>
      <x:c r="I11" s="21" t="n">
        <x:f>'01_原子成本假设'!$E$24*H11</x:f>
        <x:v>7000</x:v>
      </x:c>
      <x:c r="J11" s="21" t="n">
        <x:f>'01_原子成本假设'!$F$24*H11</x:f>
        <x:v>9500</x:v>
      </x:c>
      <x:c r="K11" s="21" t="n">
        <x:f>'01_原子成本假设'!$G$24*H11</x:f>
        <x:v>12500</x:v>
      </x:c>
      <x:c r="L11" s="19" t="str">
        <x:v>元/车</x:v>
      </x:c>
      <x:c r="M11" s="19" t="str">
        <x:v>CORE</x:v>
      </x:c>
      <x:c r="N11" s="19" t="str">
        <x:v>eligible_base</x:v>
      </x:c>
      <x:c r="O11" s="19" t="str">
        <x:v>EDRIVE_DELTA_235_508</x:v>
      </x:c>
      <x:c r="P11" s="19" t="str">
        <x:v>SRC-VMAX-2025-AR；SRC-JINGJIN-2025-AR</x:v>
      </x:c>
      <x:c r="Q11" s="19" t="str">
        <x:v>含HUD；SU7静谧座舱为选装不计，后盘不变，片型基线未知不计。</x:v>
      </x:c>
      <x:c r="R11" s="19" t="str">
        <x:v>BR-SU7-PRO-MAX|M02_EDRIVE</x:v>
      </x:c>
      <x:c r="S11" s="19" t="str">
        <x:v>BR-SU7-PRO-MAX|EDRIVE_DELTA_235_508</x:v>
      </x:c>
      <x:c r="T11" s="19" t="str">
        <x:f>IF(COUNTIF($S$7:$S$43,S11)=1,"PASS","FAIL")</x:f>
        <x:v>PASS</x:v>
      </x:c>
      <x:c r="U11" s="19" t="str">
        <x:f>IF(AND(I11&lt;=J11,J11&lt;=K11),"PASS","FAIL")</x:f>
        <x:v>PASS</x:v>
      </x:c>
    </x:row>
    <x:row r="12" ht="38" customHeight="1">
      <x:c r="A12" s="20" t="str">
        <x:v>BR-SU7-PRO-MAX</x:v>
      </x:c>
      <x:c r="B12" s="20" t="str">
        <x:v>SU7</x:v>
      </x:c>
      <x:c r="C12" s="20" t="str">
        <x:v>SU7-G2-PRO</x:v>
      </x:c>
      <x:c r="D12" s="20" t="str">
        <x:v>SU7-G2-MAX</x:v>
      </x:c>
      <x:c r="E12" s="20" t="str">
        <x:v>INC_HV_752_897</x:v>
      </x:c>
      <x:c r="F12" s="20" t="str">
        <x:v>M03_HIGH_VOLTAGE</x:v>
      </x:c>
      <x:c r="G12" s="20" t="str">
        <x:v>752→897V包外高压链路</x:v>
      </x:c>
      <x:c r="H12" s="20" t="n">
        <x:v>1</x:v>
      </x:c>
      <x:c r="I12" s="22" t="n">
        <x:f>'01_原子成本假设'!$E$26*H12</x:f>
        <x:v>800</x:v>
      </x:c>
      <x:c r="J12" s="22" t="n">
        <x:f>'01_原子成本假设'!$F$26*H12</x:f>
        <x:v>1500</x:v>
      </x:c>
      <x:c r="K12" s="22" t="n">
        <x:f>'01_原子成本假设'!$G$26*H12</x:f>
        <x:v>2500</x:v>
      </x:c>
      <x:c r="L12" s="20" t="str">
        <x:v>元/车</x:v>
      </x:c>
      <x:c r="M12" s="20" t="str">
        <x:v>CORE</x:v>
      </x:c>
      <x:c r="N12" s="20" t="str">
        <x:v>eligible_base</x:v>
      </x:c>
      <x:c r="O12" s="20" t="str">
        <x:v>HV_EXTERNAL_DELTA</x:v>
      </x:c>
      <x:c r="P12" s="20" t="str">
        <x:v>SRC-VMAX-2025-AR；SRC-SHINRY-2025-AR；SRC-IEA-UFC</x:v>
      </x:c>
      <x:c r="Q12" s="20" t="str">
        <x:v>含HUD；SU7静谧座舱为选装不计，后盘不变，片型基线未知不计。</x:v>
      </x:c>
      <x:c r="R12" s="20" t="str">
        <x:v>BR-SU7-PRO-MAX|M03_HIGH_VOLTAGE</x:v>
      </x:c>
      <x:c r="S12" s="20" t="str">
        <x:v>BR-SU7-PRO-MAX|HV_EXTERNAL_DELTA</x:v>
      </x:c>
      <x:c r="T12" s="20" t="str">
        <x:f>IF(COUNTIF($S$7:$S$43,S12)=1,"PASS","FAIL")</x:f>
        <x:v>PASS</x:v>
      </x:c>
      <x:c r="U12" s="20" t="str">
        <x:f>IF(AND(I12&lt;=J12,J12&lt;=K12),"PASS","FAIL")</x:f>
        <x:v>PASS</x:v>
      </x:c>
    </x:row>
    <x:row r="13" ht="38" customHeight="1">
      <x:c r="A13" s="19" t="str">
        <x:v>BR-SU7-PRO-MAX</x:v>
      </x:c>
      <x:c r="B13" s="19" t="str">
        <x:v>SU7</x:v>
      </x:c>
      <x:c r="C13" s="19" t="str">
        <x:v>SU7-G2-PRO</x:v>
      </x:c>
      <x:c r="D13" s="19" t="str">
        <x:v>SU7-G2-MAX</x:v>
      </x:c>
      <x:c r="E13" s="19" t="str">
        <x:v>INC_BREMBO</x:v>
      </x:c>
      <x:c r="F13" s="19" t="str">
        <x:v>M04_CHASSIS</x:v>
      </x:c>
      <x:c r="G13" s="19" t="str">
        <x:v>固定4P→Brembo品牌/规格升级</x:v>
      </x:c>
      <x:c r="H13" s="19" t="n">
        <x:v>1</x:v>
      </x:c>
      <x:c r="I13" s="21" t="n">
        <x:f>'01_原子成本假设'!$E$30*H13</x:f>
        <x:v>150</x:v>
      </x:c>
      <x:c r="J13" s="21" t="n">
        <x:f>'01_原子成本假设'!$F$30*H13</x:f>
        <x:v>350</x:v>
      </x:c>
      <x:c r="K13" s="21" t="n">
        <x:f>'01_原子成本假设'!$G$30*H13</x:f>
        <x:v>650</x:v>
      </x:c>
      <x:c r="L13" s="19" t="str">
        <x:v>元/车</x:v>
      </x:c>
      <x:c r="M13" s="19" t="str">
        <x:v>CORE</x:v>
      </x:c>
      <x:c r="N13" s="19" t="str">
        <x:v>eligible_base</x:v>
      </x:c>
      <x:c r="O13" s="19" t="str">
        <x:v>FRONT_CALIPER_UPGRADE</x:v>
      </x:c>
      <x:c r="P13" s="19" t="str">
        <x:v>SRC-WANAN-CALIPER；SRC-XM-SU7-APP；SRC-XM-YU7-APP</x:v>
      </x:c>
      <x:c r="Q13" s="19" t="str">
        <x:v>含HUD；SU7静谧座舱为选装不计，后盘不变，片型基线未知不计。</x:v>
      </x:c>
      <x:c r="R13" s="19" t="str">
        <x:v>BR-SU7-PRO-MAX|M04_CHASSIS</x:v>
      </x:c>
      <x:c r="S13" s="19" t="str">
        <x:v>BR-SU7-PRO-MAX|FRONT_CALIPER_UPGRADE</x:v>
      </x:c>
      <x:c r="T13" s="19" t="str">
        <x:f>IF(COUNTIF($S$7:$S$43,S13)=1,"PASS","FAIL")</x:f>
        <x:v>PASS</x:v>
      </x:c>
      <x:c r="U13" s="19" t="str">
        <x:f>IF(AND(I13&lt;=J13,J13&lt;=K13),"PASS","FAIL")</x:f>
        <x:v>PASS</x:v>
      </x:c>
    </x:row>
    <x:row r="14" ht="38" customHeight="1">
      <x:c r="A14" s="20" t="str">
        <x:v>BR-SU7-PRO-MAX</x:v>
      </x:c>
      <x:c r="B14" s="20" t="str">
        <x:v>SU7</x:v>
      </x:c>
      <x:c r="C14" s="20" t="str">
        <x:v>SU7-G2-PRO</x:v>
      </x:c>
      <x:c r="D14" s="20" t="str">
        <x:v>SU7-G2-MAX</x:v>
      </x:c>
      <x:c r="E14" s="20" t="str">
        <x:v>INC_FRONT_DRILLED_DISC</x:v>
      </x:c>
      <x:c r="F14" s="20" t="str">
        <x:v>M04_CHASSIS</x:v>
      </x:c>
      <x:c r="G14" s="20" t="str">
        <x:v>前打孔通风盘增量</x:v>
      </x:c>
      <x:c r="H14" s="20" t="n">
        <x:v>1</x:v>
      </x:c>
      <x:c r="I14" s="22" t="n">
        <x:f>'01_原子成本假设'!$E$31*H14</x:f>
        <x:v>120</x:v>
      </x:c>
      <x:c r="J14" s="22" t="n">
        <x:f>'01_原子成本假设'!$F$31*H14</x:f>
        <x:v>240</x:v>
      </x:c>
      <x:c r="K14" s="22" t="n">
        <x:f>'01_原子成本假设'!$G$31*H14</x:f>
        <x:v>420</x:v>
      </x:c>
      <x:c r="L14" s="20" t="str">
        <x:v>元/车</x:v>
      </x:c>
      <x:c r="M14" s="20" t="str">
        <x:v>CORE</x:v>
      </x:c>
      <x:c r="N14" s="20" t="str">
        <x:v>eligible_base</x:v>
      </x:c>
      <x:c r="O14" s="20" t="str">
        <x:v>FRONT_BRAKE_DISC</x:v>
      </x:c>
      <x:c r="P14" s="20" t="str">
        <x:v>SRC-LONGJI-BRAKE；SRC-XM-SU7-APP；SRC-XM-YU7-APP</x:v>
      </x:c>
      <x:c r="Q14" s="20" t="str">
        <x:v>含HUD；SU7静谧座舱为选装不计，后盘不变，片型基线未知不计。</x:v>
      </x:c>
      <x:c r="R14" s="20" t="str">
        <x:v>BR-SU7-PRO-MAX|M04_CHASSIS</x:v>
      </x:c>
      <x:c r="S14" s="20" t="str">
        <x:v>BR-SU7-PRO-MAX|FRONT_BRAKE_DISC</x:v>
      </x:c>
      <x:c r="T14" s="20" t="str">
        <x:f>IF(COUNTIF($S$7:$S$43,S14)=1,"PASS","FAIL")</x:f>
        <x:v>PASS</x:v>
      </x:c>
      <x:c r="U14" s="20" t="str">
        <x:f>IF(AND(I14&lt;=J14,J14&lt;=K14),"PASS","FAIL")</x:f>
        <x:v>PASS</x:v>
      </x:c>
    </x:row>
    <x:row r="15" ht="38" customHeight="1">
      <x:c r="A15" s="19" t="str">
        <x:v>BR-SU7-PRO-MAX</x:v>
      </x:c>
      <x:c r="B15" s="19" t="str">
        <x:v>SU7</x:v>
      </x:c>
      <x:c r="C15" s="19" t="str">
        <x:v>SU7-G2-PRO</x:v>
      </x:c>
      <x:c r="D15" s="19" t="str">
        <x:v>SU7-G2-MAX</x:v>
      </x:c>
      <x:c r="E15" s="19" t="str">
        <x:v>INC_AUDIO_14_25</x:v>
      </x:c>
      <x:c r="F15" s="19" t="str">
        <x:v>M06_COCKPIT</x:v>
      </x:c>
      <x:c r="G15" s="19" t="str">
        <x:v>14→25扬声器系统增量</x:v>
      </x:c>
      <x:c r="H15" s="19" t="n">
        <x:v>1</x:v>
      </x:c>
      <x:c r="I15" s="21" t="n">
        <x:f>'01_原子成本假设'!$E$33*H15</x:f>
        <x:v>400</x:v>
      </x:c>
      <x:c r="J15" s="21" t="n">
        <x:f>'01_原子成本假设'!$F$33*H15</x:f>
        <x:v>650</x:v>
      </x:c>
      <x:c r="K15" s="21" t="n">
        <x:f>'01_原子成本假设'!$G$33*H15</x:f>
        <x:v>1050</x:v>
      </x:c>
      <x:c r="L15" s="19" t="str">
        <x:v>元/车</x:v>
      </x:c>
      <x:c r="M15" s="19" t="str">
        <x:v>CORE</x:v>
      </x:c>
      <x:c r="N15" s="19" t="str">
        <x:v>eligible_base</x:v>
      </x:c>
      <x:c r="O15" s="19" t="str">
        <x:v>AUDIO_SYSTEM_UPGRADE</x:v>
      </x:c>
      <x:c r="P15" s="19" t="str">
        <x:v>SRC-SONAVOX-2025；SRC-XM-SU7-APP；SRC-XM-YU7-APP</x:v>
      </x:c>
      <x:c r="Q15" s="19" t="str">
        <x:v>含HUD；SU7静谧座舱为选装不计，后盘不变，片型基线未知不计。</x:v>
      </x:c>
      <x:c r="R15" s="19" t="str">
        <x:v>BR-SU7-PRO-MAX|M06_COCKPIT</x:v>
      </x:c>
      <x:c r="S15" s="19" t="str">
        <x:v>BR-SU7-PRO-MAX|AUDIO_SYSTEM_UPGRADE</x:v>
      </x:c>
      <x:c r="T15" s="19" t="str">
        <x:f>IF(COUNTIF($S$7:$S$43,S15)=1,"PASS","FAIL")</x:f>
        <x:v>PASS</x:v>
      </x:c>
      <x:c r="U15" s="19" t="str">
        <x:f>IF(AND(I15&lt;=J15,J15&lt;=K15),"PASS","FAIL")</x:f>
        <x:v>PASS</x:v>
      </x:c>
    </x:row>
    <x:row r="16" ht="38" customHeight="1">
      <x:c r="A16" s="20" t="str">
        <x:v>BR-SU7-PRO-MAX</x:v>
      </x:c>
      <x:c r="B16" s="20" t="str">
        <x:v>SU7</x:v>
      </x:c>
      <x:c r="C16" s="20" t="str">
        <x:v>SU7-G2-PRO</x:v>
      </x:c>
      <x:c r="D16" s="20" t="str">
        <x:v>SU7-G2-MAX</x:v>
      </x:c>
      <x:c r="E16" s="20" t="str">
        <x:v>INC_SU7_HUD</x:v>
      </x:c>
      <x:c r="F16" s="20" t="str">
        <x:v>M06_COCKPIT</x:v>
      </x:c>
      <x:c r="G16" s="20" t="str">
        <x:v>SU7 56英寸WHUD</x:v>
      </x:c>
      <x:c r="H16" s="20" t="n">
        <x:v>1</x:v>
      </x:c>
      <x:c r="I16" s="22" t="n">
        <x:f>'01_原子成本假设'!$E$34*H16</x:f>
        <x:v>550</x:v>
      </x:c>
      <x:c r="J16" s="22" t="n">
        <x:f>'01_原子成本假设'!$F$34*H16</x:f>
        <x:v>700</x:v>
      </x:c>
      <x:c r="K16" s="22" t="n">
        <x:f>'01_原子成本假设'!$G$34*H16</x:f>
        <x:v>950</x:v>
      </x:c>
      <x:c r="L16" s="20" t="str">
        <x:v>元/车</x:v>
      </x:c>
      <x:c r="M16" s="20" t="str">
        <x:v>CORE</x:v>
      </x:c>
      <x:c r="N16" s="20" t="str">
        <x:v>eligible_base_su7_only</x:v>
      </x:c>
      <x:c r="O16" s="20" t="str">
        <x:v>SU7_WHUD</x:v>
      </x:c>
      <x:c r="P16" s="20" t="str">
        <x:v>SRC-DESAY-2024；SRC-XM-SU7-APP</x:v>
      </x:c>
      <x:c r="Q16" s="20" t="str">
        <x:v>含HUD；SU7静谧座舱为选装不计，后盘不变，片型基线未知不计。</x:v>
      </x:c>
      <x:c r="R16" s="20" t="str">
        <x:v>BR-SU7-PRO-MAX|M06_COCKPIT</x:v>
      </x:c>
      <x:c r="S16" s="20" t="str">
        <x:v>BR-SU7-PRO-MAX|SU7_WHUD</x:v>
      </x:c>
      <x:c r="T16" s="20" t="str">
        <x:f>IF(COUNTIF($S$7:$S$43,S16)=1,"PASS","FAIL")</x:f>
        <x:v>PASS</x:v>
      </x:c>
      <x:c r="U16" s="20" t="str">
        <x:f>IF(AND(I16&lt;=J16,J16&lt;=K16),"PASS","FAIL")</x:f>
        <x:v>PASS</x:v>
      </x:c>
    </x:row>
    <x:row r="17" ht="38" customHeight="1">
      <x:c r="A17" s="19" t="str">
        <x:v>BR-SU7-PRO-MAX</x:v>
      </x:c>
      <x:c r="B17" s="19" t="str">
        <x:v>SU7</x:v>
      </x:c>
      <x:c r="C17" s="19" t="str">
        <x:v>SU7-G2-PRO</x:v>
      </x:c>
      <x:c r="D17" s="19" t="str">
        <x:v>SU7-G2-MAX</x:v>
      </x:c>
      <x:c r="E17" s="19" t="str">
        <x:v>INC_DIMMING_CANOPY</x:v>
      </x:c>
      <x:c r="F17" s="19" t="str">
        <x:v>M07_BODY</x:v>
      </x:c>
      <x:c r="G17" s="19" t="str">
        <x:v>双分区调光天幕增量</x:v>
      </x:c>
      <x:c r="H17" s="19" t="n">
        <x:v>1</x:v>
      </x:c>
      <x:c r="I17" s="21" t="n">
        <x:f>'01_原子成本假设'!$E$35*H17</x:f>
        <x:v>1800</x:v>
      </x:c>
      <x:c r="J17" s="21" t="n">
        <x:f>'01_原子成本假设'!$F$35*H17</x:f>
        <x:v>2600</x:v>
      </x:c>
      <x:c r="K17" s="21" t="n">
        <x:f>'01_原子成本假设'!$G$35*H17</x:f>
        <x:v>3800</x:v>
      </x:c>
      <x:c r="L17" s="19" t="str">
        <x:v>元/车</x:v>
      </x:c>
      <x:c r="M17" s="19" t="str">
        <x:v>CORE</x:v>
      </x:c>
      <x:c r="N17" s="19" t="str">
        <x:v>eligible_base</x:v>
      </x:c>
      <x:c r="O17" s="19" t="str">
        <x:v>DIMMING_CANOPY_ATOMIC</x:v>
      </x:c>
      <x:c r="P17" s="19" t="str">
        <x:v>SRC-PDCLC-PROJECT；SRC-XM-SU7-APP；SRC-XM-YU7-APP</x:v>
      </x:c>
      <x:c r="Q17" s="19" t="str">
        <x:v>含HUD；SU7静谧座舱为选装不计，后盘不变，片型基线未知不计。</x:v>
      </x:c>
      <x:c r="R17" s="19" t="str">
        <x:v>BR-SU7-PRO-MAX|M07_BODY</x:v>
      </x:c>
      <x:c r="S17" s="19" t="str">
        <x:v>BR-SU7-PRO-MAX|DIMMING_CANOPY_ATOMIC</x:v>
      </x:c>
      <x:c r="T17" s="19" t="str">
        <x:f>IF(COUNTIF($S$7:$S$43,S17)=1,"PASS","FAIL")</x:f>
        <x:v>PASS</x:v>
      </x:c>
      <x:c r="U17" s="19" t="str">
        <x:f>IF(AND(I17&lt;=J17,J17&lt;=K17),"PASS","FAIL")</x:f>
        <x:v>PASS</x:v>
      </x:c>
    </x:row>
    <x:row r="18" ht="38" customHeight="1">
      <x:c r="A18" s="20" t="str">
        <x:v>BR-SU7-PRO-MAX</x:v>
      </x:c>
      <x:c r="B18" s="20" t="str">
        <x:v>SU7</x:v>
      </x:c>
      <x:c r="C18" s="20" t="str">
        <x:v>SU7-G2-PRO</x:v>
      </x:c>
      <x:c r="D18" s="20" t="str">
        <x:v>SU7-G2-MAX</x:v>
      </x:c>
      <x:c r="E18" s="20" t="str">
        <x:v>INC_SUEDE_HEADLINER</x:v>
      </x:c>
      <x:c r="F18" s="20" t="str">
        <x:v>M07_BODY</x:v>
      </x:c>
      <x:c r="G18" s="20" t="str">
        <x:v>麂皮/超纤绒顶棚面层增量</x:v>
      </x:c>
      <x:c r="H18" s="20" t="n">
        <x:v>1</x:v>
      </x:c>
      <x:c r="I18" s="22" t="n">
        <x:f>'01_原子成本假设'!$E$37*H18</x:f>
        <x:v>120</x:v>
      </x:c>
      <x:c r="J18" s="22" t="n">
        <x:f>'01_原子成本假设'!$F$37*H18</x:f>
        <x:v>260</x:v>
      </x:c>
      <x:c r="K18" s="22" t="n">
        <x:f>'01_原子成本假设'!$G$37*H18</x:f>
        <x:v>450</x:v>
      </x:c>
      <x:c r="L18" s="20" t="str">
        <x:v>元/车</x:v>
      </x:c>
      <x:c r="M18" s="20" t="str">
        <x:v>CORE</x:v>
      </x:c>
      <x:c r="N18" s="20" t="str">
        <x:v>eligible_base</x:v>
      </x:c>
      <x:c r="O18" s="20" t="str">
        <x:v>SUEDE_HEADLINER</x:v>
      </x:c>
      <x:c r="P18" s="20" t="str">
        <x:v>SRC-DAIMAY-2023；SRC-XM-SU7-APP；SRC-XM-YU7-APP</x:v>
      </x:c>
      <x:c r="Q18" s="20" t="str">
        <x:v>含HUD；SU7静谧座舱为选装不计，后盘不变，片型基线未知不计。</x:v>
      </x:c>
      <x:c r="R18" s="20" t="str">
        <x:v>BR-SU7-PRO-MAX|M07_BODY</x:v>
      </x:c>
      <x:c r="S18" s="20" t="str">
        <x:v>BR-SU7-PRO-MAX|SUEDE_HEADLINER</x:v>
      </x:c>
      <x:c r="T18" s="20" t="str">
        <x:f>IF(COUNTIF($S$7:$S$43,S18)=1,"PASS","FAIL")</x:f>
        <x:v>PASS</x:v>
      </x:c>
      <x:c r="U18" s="20" t="str">
        <x:f>IF(AND(I18&lt;=J18,J18&lt;=K18),"PASS","FAIL")</x:f>
        <x:v>PASS</x:v>
      </x:c>
    </x:row>
    <x:row r="19" ht="38" customHeight="1">
      <x:c r="A19" s="19" t="str">
        <x:v>BR-SU7-PRO-MAX</x:v>
      </x:c>
      <x:c r="B19" s="19" t="str">
        <x:v>SU7</x:v>
      </x:c>
      <x:c r="C19" s="19" t="str">
        <x:v>SU7-G2-PRO</x:v>
      </x:c>
      <x:c r="D19" s="19" t="str">
        <x:v>SU7-G2-MAX</x:v>
      </x:c>
      <x:c r="E19" s="19" t="str">
        <x:v>INC_WELCOME_LIGHTS</x:v>
      </x:c>
      <x:c r="F19" s="19" t="str">
        <x:v>M07_BODY</x:v>
      </x:c>
      <x:c r="G19" s="19" t="str">
        <x:v>前门迎宾灯一对</x:v>
      </x:c>
      <x:c r="H19" s="19" t="n">
        <x:v>1</x:v>
      </x:c>
      <x:c r="I19" s="21" t="n">
        <x:f>'01_原子成本假设'!$E$38*H19</x:f>
        <x:v>70</x:v>
      </x:c>
      <x:c r="J19" s="21" t="n">
        <x:f>'01_原子成本假设'!$F$38*H19</x:f>
        <x:v>120</x:v>
      </x:c>
      <x:c r="K19" s="21" t="n">
        <x:f>'01_原子成本假设'!$G$38*H19</x:f>
        <x:v>220</x:v>
      </x:c>
      <x:c r="L19" s="19" t="str">
        <x:v>元/车</x:v>
      </x:c>
      <x:c r="M19" s="19" t="str">
        <x:v>CORE</x:v>
      </x:c>
      <x:c r="N19" s="19" t="str">
        <x:v>eligible_base</x:v>
      </x:c>
      <x:c r="O19" s="19" t="str">
        <x:v>WELCOME_LIGHTING</x:v>
      </x:c>
      <x:c r="P19" s="19" t="str">
        <x:v>SRC-XM-SU7-APP；SRC-XM-YU7-APP；SRC-MODEL-ASSUMPTION</x:v>
      </x:c>
      <x:c r="Q19" s="19" t="str">
        <x:v>含HUD；SU7静谧座舱为选装不计，后盘不变，片型基线未知不计。</x:v>
      </x:c>
      <x:c r="R19" s="19" t="str">
        <x:v>BR-SU7-PRO-MAX|M07_BODY</x:v>
      </x:c>
      <x:c r="S19" s="19" t="str">
        <x:v>BR-SU7-PRO-MAX|WELCOME_LIGHTING</x:v>
      </x:c>
      <x:c r="T19" s="19" t="str">
        <x:f>IF(COUNTIF($S$7:$S$43,S19)=1,"PASS","FAIL")</x:f>
        <x:v>PASS</x:v>
      </x:c>
      <x:c r="U19" s="19" t="str">
        <x:f>IF(AND(I19&lt;=J19,J19&lt;=K19),"PASS","FAIL")</x:f>
        <x:v>PASS</x:v>
      </x:c>
    </x:row>
    <x:row r="20" ht="38" customHeight="1">
      <x:c r="A20" s="20" t="str">
        <x:v>BR-SU7-PRO-MAX</x:v>
      </x:c>
      <x:c r="B20" s="20" t="str">
        <x:v>SU7</x:v>
      </x:c>
      <x:c r="C20" s="20" t="str">
        <x:v>SU7-G2-PRO</x:v>
      </x:c>
      <x:c r="D20" s="20" t="str">
        <x:v>SU7-G2-MAX</x:v>
      </x:c>
      <x:c r="E20" s="20" t="str">
        <x:v>INC_ACTIVE_WING</x:v>
      </x:c>
      <x:c r="F20" s="20" t="str">
        <x:v>M07_BODY</x:v>
      </x:c>
      <x:c r="G20" s="20" t="str">
        <x:v>SU7主动尾翼总成</x:v>
      </x:c>
      <x:c r="H20" s="20" t="n">
        <x:v>1</x:v>
      </x:c>
      <x:c r="I20" s="22" t="n">
        <x:f>'01_原子成本假设'!$E$39*H20</x:f>
        <x:v>350</x:v>
      </x:c>
      <x:c r="J20" s="22" t="n">
        <x:f>'01_原子成本假设'!$F$39*H20</x:f>
        <x:v>600</x:v>
      </x:c>
      <x:c r="K20" s="22" t="n">
        <x:f>'01_原子成本假设'!$G$39*H20</x:f>
        <x:v>950</x:v>
      </x:c>
      <x:c r="L20" s="20" t="str">
        <x:v>元/车</x:v>
      </x:c>
      <x:c r="M20" s="20" t="str">
        <x:v>CORE</x:v>
      </x:c>
      <x:c r="N20" s="20" t="str">
        <x:v>eligible_base_su7_only</x:v>
      </x:c>
      <x:c r="O20" s="20" t="str">
        <x:v>ACTIVE_REAR_WING</x:v>
      </x:c>
      <x:c r="P20" s="20" t="str">
        <x:v>SRC-XM-SU7-APP；SRC-MODEL-ASSUMPTION</x:v>
      </x:c>
      <x:c r="Q20" s="20" t="str">
        <x:v>含HUD；SU7静谧座舱为选装不计，后盘不变，片型基线未知不计。</x:v>
      </x:c>
      <x:c r="R20" s="20" t="str">
        <x:v>BR-SU7-PRO-MAX|M07_BODY</x:v>
      </x:c>
      <x:c r="S20" s="20" t="str">
        <x:v>BR-SU7-PRO-MAX|ACTIVE_REAR_WING</x:v>
      </x:c>
      <x:c r="T20" s="20" t="str">
        <x:f>IF(COUNTIF($S$7:$S$43,S20)=1,"PASS","FAIL")</x:f>
        <x:v>PASS</x:v>
      </x:c>
      <x:c r="U20" s="20" t="str">
        <x:f>IF(AND(I20&lt;=J20,J20&lt;=K20),"PASS","FAIL")</x:f>
        <x:v>PASS</x:v>
      </x:c>
    </x:row>
    <x:row r="21" ht="38" customHeight="1">
      <x:c r="A21" s="19" t="str">
        <x:v>BR-SU7-PRO-MAX</x:v>
      </x:c>
      <x:c r="B21" s="19" t="str">
        <x:v>SU7</x:v>
      </x:c>
      <x:c r="C21" s="19" t="str">
        <x:v>SU7-G2-PRO</x:v>
      </x:c>
      <x:c r="D21" s="19" t="str">
        <x:v>SU7-G2-MAX</x:v>
      </x:c>
      <x:c r="E21" s="19" t="str">
        <x:v>INC_NAPPA_TRIM</x:v>
      </x:c>
      <x:c r="F21" s="19" t="str">
        <x:v>M08_COMFORT</x:v>
      </x:c>
      <x:c r="G21" s="19" t="str">
        <x:v>Nappa相对环保复合皮面料增量</x:v>
      </x:c>
      <x:c r="H21" s="19" t="n">
        <x:v>1</x:v>
      </x:c>
      <x:c r="I21" s="21" t="n">
        <x:f>'01_原子成本假设'!$E$40*H21</x:f>
        <x:v>600</x:v>
      </x:c>
      <x:c r="J21" s="21" t="n">
        <x:f>'01_原子成本假设'!$F$40*H21</x:f>
        <x:v>950</x:v>
      </x:c>
      <x:c r="K21" s="21" t="n">
        <x:f>'01_原子成本假设'!$G$40*H21</x:f>
        <x:v>1400</x:v>
      </x:c>
      <x:c r="L21" s="19" t="str">
        <x:v>元/车</x:v>
      </x:c>
      <x:c r="M21" s="19" t="str">
        <x:v>CORE</x:v>
      </x:c>
      <x:c r="N21" s="19" t="str">
        <x:v>eligible_base_su7_only</x:v>
      </x:c>
      <x:c r="O21" s="19" t="str">
        <x:v>SEAT_TRIM</x:v>
      </x:c>
      <x:c r="P21" s="19" t="str">
        <x:v>SRC-MINGXIN-2024；SRC-XM-SU7-APP</x:v>
      </x:c>
      <x:c r="Q21" s="19" t="str">
        <x:v>含HUD；SU7静谧座舱为选装不计，后盘不变，片型基线未知不计。</x:v>
      </x:c>
      <x:c r="R21" s="19" t="str">
        <x:v>BR-SU7-PRO-MAX|M08_COMFORT</x:v>
      </x:c>
      <x:c r="S21" s="19" t="str">
        <x:v>BR-SU7-PRO-MAX|SEAT_TRIM</x:v>
      </x:c>
      <x:c r="T21" s="19" t="str">
        <x:f>IF(COUNTIF($S$7:$S$43,S21)=1,"PASS","FAIL")</x:f>
        <x:v>PASS</x:v>
      </x:c>
      <x:c r="U21" s="19" t="str">
        <x:f>IF(AND(I21&lt;=J21,J21&lt;=K21),"PASS","FAIL")</x:f>
        <x:v>PASS</x:v>
      </x:c>
    </x:row>
    <x:row r="22" ht="38" customHeight="1">
      <x:c r="A22" s="20" t="str">
        <x:v>BR-SU7-PRO-MAX</x:v>
      </x:c>
      <x:c r="B22" s="20" t="str">
        <x:v>SU7</x:v>
      </x:c>
      <x:c r="C22" s="20" t="str">
        <x:v>SU7-G2-PRO</x:v>
      </x:c>
      <x:c r="D22" s="20" t="str">
        <x:v>SU7-G2-MAX</x:v>
      </x:c>
      <x:c r="E22" s="20" t="str">
        <x:v>INC_SOFT_CLOSE</x:v>
      </x:c>
      <x:c r="F22" s="20" t="str">
        <x:v>M08_COMFORT</x:v>
      </x:c>
      <x:c r="G22" s="20" t="str">
        <x:v>四门电吸门</x:v>
      </x:c>
      <x:c r="H22" s="20" t="n">
        <x:v>1</x:v>
      </x:c>
      <x:c r="I22" s="22" t="n">
        <x:f>'01_原子成本假设'!$E$41*H22</x:f>
        <x:v>800</x:v>
      </x:c>
      <x:c r="J22" s="22" t="n">
        <x:f>'01_原子成本假设'!$F$41*H22</x:f>
        <x:v>1000</x:v>
      </x:c>
      <x:c r="K22" s="22" t="n">
        <x:f>'01_原子成本假设'!$G$41*H22</x:f>
        <x:v>1300</x:v>
      </x:c>
      <x:c r="L22" s="20" t="str">
        <x:v>元/车</x:v>
      </x:c>
      <x:c r="M22" s="20" t="str">
        <x:v>CORE</x:v>
      </x:c>
      <x:c r="N22" s="20" t="str">
        <x:v>eligible_base</x:v>
      </x:c>
      <x:c r="O22" s="20" t="str">
        <x:v>SOFT_CLOSE_DOORS</x:v>
      </x:c>
      <x:c r="P22" s="20" t="str">
        <x:v>SRC-SOFTCLOSE-SECONDARY；SRC-XM-SU7-APP；SRC-XM-YU7-APP</x:v>
      </x:c>
      <x:c r="Q22" s="20" t="str">
        <x:v>含HUD；SU7静谧座舱为选装不计，后盘不变，片型基线未知不计。</x:v>
      </x:c>
      <x:c r="R22" s="20" t="str">
        <x:v>BR-SU7-PRO-MAX|M08_COMFORT</x:v>
      </x:c>
      <x:c r="S22" s="20" t="str">
        <x:v>BR-SU7-PRO-MAX|SOFT_CLOSE_DOORS</x:v>
      </x:c>
      <x:c r="T22" s="20" t="str">
        <x:f>IF(COUNTIF($S$7:$S$43,S22)=1,"PASS","FAIL")</x:f>
        <x:v>PASS</x:v>
      </x:c>
      <x:c r="U22" s="20" t="str">
        <x:f>IF(AND(I22&lt;=J22,J22&lt;=K22),"PASS","FAIL")</x:f>
        <x:v>PASS</x:v>
      </x:c>
    </x:row>
    <x:row r="23" ht="38" customHeight="1">
      <x:c r="A23" s="19" t="str">
        <x:v>BR-SU7-PRO-MAX</x:v>
      </x:c>
      <x:c r="B23" s="19" t="str">
        <x:v>SU7</x:v>
      </x:c>
      <x:c r="C23" s="19" t="str">
        <x:v>SU7-G2-PRO</x:v>
      </x:c>
      <x:c r="D23" s="19" t="str">
        <x:v>SU7-G2-MAX</x:v>
      </x:c>
      <x:c r="E23" s="19" t="str">
        <x:v>INC_POWER_COLUMN</x:v>
      </x:c>
      <x:c r="F23" s="19" t="str">
        <x:v>M08_COMFORT</x:v>
      </x:c>
      <x:c r="G23" s="19" t="str">
        <x:v>电动方向柱+记忆增量</x:v>
      </x:c>
      <x:c r="H23" s="19" t="n">
        <x:v>1</x:v>
      </x:c>
      <x:c r="I23" s="21" t="n">
        <x:f>'01_原子成本假设'!$E$42*H23</x:f>
        <x:v>450</x:v>
      </x:c>
      <x:c r="J23" s="21" t="n">
        <x:f>'01_原子成本假设'!$F$42*H23</x:f>
        <x:v>550</x:v>
      </x:c>
      <x:c r="K23" s="21" t="n">
        <x:f>'01_原子成本假设'!$G$42*H23</x:f>
        <x:v>700</x:v>
      </x:c>
      <x:c r="L23" s="19" t="str">
        <x:v>元/车</x:v>
      </x:c>
      <x:c r="M23" s="19" t="str">
        <x:v>CORE</x:v>
      </x:c>
      <x:c r="N23" s="19" t="str">
        <x:v>eligible_base</x:v>
      </x:c>
      <x:c r="O23" s="19" t="str">
        <x:v>POWERED_STEERING_COLUMN</x:v>
      </x:c>
      <x:c r="P23" s="19" t="str">
        <x:v>SRC-ZHEJIANG-SHIBAO；SRC-XM-SU7-APP；SRC-XM-YU7-APP</x:v>
      </x:c>
      <x:c r="Q23" s="19" t="str">
        <x:v>含HUD；SU7静谧座舱为选装不计，后盘不变，片型基线未知不计。</x:v>
      </x:c>
      <x:c r="R23" s="19" t="str">
        <x:v>BR-SU7-PRO-MAX|M08_COMFORT</x:v>
      </x:c>
      <x:c r="S23" s="19" t="str">
        <x:v>BR-SU7-PRO-MAX|POWERED_STEERING_COLUMN</x:v>
      </x:c>
      <x:c r="T23" s="19" t="str">
        <x:f>IF(COUNTIF($S$7:$S$43,S23)=1,"PASS","FAIL")</x:f>
        <x:v>PASS</x:v>
      </x:c>
      <x:c r="U23" s="19" t="str">
        <x:f>IF(AND(I23&lt;=J23,J23&lt;=K23),"PASS","FAIL")</x:f>
        <x:v>PASS</x:v>
      </x:c>
    </x:row>
    <x:row r="24" ht="38" customHeight="1">
      <x:c r="A24" s="20" t="str">
        <x:v>BR-SU7-PRO-MAX</x:v>
      </x:c>
      <x:c r="B24" s="20" t="str">
        <x:v>SU7</x:v>
      </x:c>
      <x:c r="C24" s="20" t="str">
        <x:v>SU7-G2-PRO</x:v>
      </x:c>
      <x:c r="D24" s="20" t="str">
        <x:v>SU7-G2-MAX</x:v>
      </x:c>
      <x:c r="E24" s="20" t="str">
        <x:v>INC_AUTO_DIM_MIRROR</x:v>
      </x:c>
      <x:c r="F24" s="20" t="str">
        <x:v>M08_COMFORT</x:v>
      </x:c>
      <x:c r="G24" s="20" t="str">
        <x:v>两侧外后视镜自动防眩增量</x:v>
      </x:c>
      <x:c r="H24" s="20" t="n">
        <x:v>1</x:v>
      </x:c>
      <x:c r="I24" s="22" t="n">
        <x:f>'01_原子成本假设'!$E$43*H24</x:f>
        <x:v>300</x:v>
      </x:c>
      <x:c r="J24" s="22" t="n">
        <x:f>'01_原子成本假设'!$F$43*H24</x:f>
        <x:v>500</x:v>
      </x:c>
      <x:c r="K24" s="22" t="n">
        <x:f>'01_原子成本假设'!$G$43*H24</x:f>
        <x:v>750</x:v>
      </x:c>
      <x:c r="L24" s="20" t="str">
        <x:v>元/车</x:v>
      </x:c>
      <x:c r="M24" s="20" t="str">
        <x:v>CORE</x:v>
      </x:c>
      <x:c r="N24" s="20" t="str">
        <x:v>eligible_base</x:v>
      </x:c>
      <x:c r="O24" s="20" t="str">
        <x:v>AUTO_DIMMING_MIRROR</x:v>
      </x:c>
      <x:c r="P24" s="20" t="str">
        <x:v>SRC-GENTEX-2025；SRC-XM-SU7-APP；SRC-XM-YU7-APP</x:v>
      </x:c>
      <x:c r="Q24" s="20" t="str">
        <x:v>含HUD；SU7静谧座舱为选装不计，后盘不变，片型基线未知不计。</x:v>
      </x:c>
      <x:c r="R24" s="20" t="str">
        <x:v>BR-SU7-PRO-MAX|M08_COMFORT</x:v>
      </x:c>
      <x:c r="S24" s="20" t="str">
        <x:v>BR-SU7-PRO-MAX|AUTO_DIMMING_MIRROR</x:v>
      </x:c>
      <x:c r="T24" s="20" t="str">
        <x:f>IF(COUNTIF($S$7:$S$43,S24)=1,"PASS","FAIL")</x:f>
        <x:v>PASS</x:v>
      </x:c>
      <x:c r="U24" s="20" t="str">
        <x:f>IF(AND(I24&lt;=J24,J24&lt;=K24),"PASS","FAIL")</x:f>
        <x:v>PASS</x:v>
      </x:c>
    </x:row>
    <x:row r="25" ht="38" customHeight="1">
      <x:c r="A25" s="19" t="str">
        <x:v>BR-YU7-STD-LR</x:v>
      </x:c>
      <x:c r="B25" s="19" t="str">
        <x:v>YU7</x:v>
      </x:c>
      <x:c r="C25" s="19" t="str">
        <x:v>YU7-G1-STD</x:v>
      </x:c>
      <x:c r="D25" s="19" t="str">
        <x:v>YU7-G1-LR</x:v>
      </x:c>
      <x:c r="E25" s="19" t="str">
        <x:v>INC_BAT_ADD_23_3</x:v>
      </x:c>
      <x:c r="F25" s="19" t="str">
        <x:v>M01_BATTERY</x:v>
      </x:c>
      <x:c r="G25" s="19" t="str">
        <x:v>73→96.3kWh LFP整包增量</x:v>
      </x:c>
      <x:c r="H25" s="19" t="n">
        <x:v>1</x:v>
      </x:c>
      <x:c r="I25" s="21" t="n">
        <x:f>'01_原子成本假设'!$E$21*H25</x:f>
        <x:v>11650</x:v>
      </x:c>
      <x:c r="J25" s="21" t="n">
        <x:f>'01_原子成本假设'!$F$21*H25</x:f>
        <x:v>13514</x:v>
      </x:c>
      <x:c r="K25" s="21" t="n">
        <x:f>'01_原子成本假设'!$G$21*H25</x:f>
        <x:v>15844</x:v>
      </x:c>
      <x:c r="L25" s="19" t="str">
        <x:v>元/车</x:v>
      </x:c>
      <x:c r="M25" s="19" t="str">
        <x:v>CORE</x:v>
      </x:c>
      <x:c r="N25" s="19" t="str">
        <x:v>eligible_base</x:v>
      </x:c>
      <x:c r="O25" s="19" t="str">
        <x:v>PACK_CAPACITY_23_3</x:v>
      </x:c>
      <x:c r="P25" s="19" t="str">
        <x:v>SRC-BNEF-2025；SRC-CATL-2025-AR</x:v>
      </x:c>
      <x:c r="Q25" s="19" t="str">
        <x:v>+23.3kWh、CDC与后排屏进入base；活动赠送不计。</x:v>
      </x:c>
      <x:c r="R25" s="19" t="str">
        <x:v>BR-YU7-STD-LR|M01_BATTERY</x:v>
      </x:c>
      <x:c r="S25" s="19" t="str">
        <x:v>BR-YU7-STD-LR|PACK_CAPACITY_23_3</x:v>
      </x:c>
      <x:c r="T25" s="19" t="str">
        <x:f>IF(COUNTIF($S$7:$S$43,S25)=1,"PASS","FAIL")</x:f>
        <x:v>PASS</x:v>
      </x:c>
      <x:c r="U25" s="19" t="str">
        <x:f>IF(AND(I25&lt;=J25,J25&lt;=K25),"PASS","FAIL")</x:f>
        <x:v>PASS</x:v>
      </x:c>
    </x:row>
    <x:row r="26" ht="38" customHeight="1">
      <x:c r="A26" s="20" t="str">
        <x:v>BR-YU7-STD-LR</x:v>
      </x:c>
      <x:c r="B26" s="20" t="str">
        <x:v>YU7</x:v>
      </x:c>
      <x:c r="C26" s="20" t="str">
        <x:v>YU7-G1-STD</x:v>
      </x:c>
      <x:c r="D26" s="20" t="str">
        <x:v>YU7-G1-LR</x:v>
      </x:c>
      <x:c r="E26" s="20" t="str">
        <x:v>INC_CDC</x:v>
      </x:c>
      <x:c r="F26" s="20" t="str">
        <x:v>M04_CHASSIS</x:v>
      </x:c>
      <x:c r="G26" s="20" t="str">
        <x:v>四角CDC相对被动减振器增量</x:v>
      </x:c>
      <x:c r="H26" s="20" t="n">
        <x:v>1</x:v>
      </x:c>
      <x:c r="I26" s="22" t="n">
        <x:f>'01_原子成本假设'!$E$28*H26</x:f>
        <x:v>1800</x:v>
      </x:c>
      <x:c r="J26" s="22" t="n">
        <x:f>'01_原子成本假设'!$F$28*H26</x:f>
        <x:v>2500</x:v>
      </x:c>
      <x:c r="K26" s="22" t="n">
        <x:f>'01_原子成本假设'!$G$28*H26</x:f>
        <x:v>3200</x:v>
      </x:c>
      <x:c r="L26" s="20" t="str">
        <x:v>元/车</x:v>
      </x:c>
      <x:c r="M26" s="20" t="str">
        <x:v>CORE</x:v>
      </x:c>
      <x:c r="N26" s="20" t="str">
        <x:v>eligible_base</x:v>
      </x:c>
      <x:c r="O26" s="20" t="str">
        <x:v>ADAPTIVE_DAMPING</x:v>
      </x:c>
      <x:c r="P26" s="20" t="str">
        <x:v>SRC-BAOLONG-AIR</x:v>
      </x:c>
      <x:c r="Q26" s="20" t="str">
        <x:v>+23.3kWh、CDC与后排屏进入base；活动赠送不计。</x:v>
      </x:c>
      <x:c r="R26" s="20" t="str">
        <x:v>BR-YU7-STD-LR|M04_CHASSIS</x:v>
      </x:c>
      <x:c r="S26" s="20" t="str">
        <x:v>BR-YU7-STD-LR|ADAPTIVE_DAMPING</x:v>
      </x:c>
      <x:c r="T26" s="20" t="str">
        <x:f>IF(COUNTIF($S$7:$S$43,S26)=1,"PASS","FAIL")</x:f>
        <x:v>PASS</x:v>
      </x:c>
      <x:c r="U26" s="20" t="str">
        <x:f>IF(AND(I26&lt;=J26,J26&lt;=K26),"PASS","FAIL")</x:f>
        <x:v>PASS</x:v>
      </x:c>
    </x:row>
    <x:row r="27" ht="38" customHeight="1">
      <x:c r="A27" s="19" t="str">
        <x:v>BR-YU7-STD-LR</x:v>
      </x:c>
      <x:c r="B27" s="19" t="str">
        <x:v>YU7</x:v>
      </x:c>
      <x:c r="C27" s="19" t="str">
        <x:v>YU7-G1-STD</x:v>
      </x:c>
      <x:c r="D27" s="19" t="str">
        <x:v>YU7-G1-LR</x:v>
      </x:c>
      <x:c r="E27" s="19" t="str">
        <x:v>INC_REAR_DISPLAY</x:v>
      </x:c>
      <x:c r="F27" s="19" t="str">
        <x:v>M06_COCKPIT</x:v>
      </x:c>
      <x:c r="G27" s="19" t="str">
        <x:v>后排移动控制屏</x:v>
      </x:c>
      <x:c r="H27" s="19" t="n">
        <x:v>1</x:v>
      </x:c>
      <x:c r="I27" s="21" t="n">
        <x:f>'01_原子成本假设'!$E$29*H27</x:f>
        <x:v>400</x:v>
      </x:c>
      <x:c r="J27" s="21" t="n">
        <x:f>'01_原子成本假设'!$F$29*H27</x:f>
        <x:v>600</x:v>
      </x:c>
      <x:c r="K27" s="21" t="n">
        <x:f>'01_原子成本假设'!$G$29*H27</x:f>
        <x:v>850</x:v>
      </x:c>
      <x:c r="L27" s="19" t="str">
        <x:v>元/车</x:v>
      </x:c>
      <x:c r="M27" s="19" t="str">
        <x:v>CORE</x:v>
      </x:c>
      <x:c r="N27" s="19" t="str">
        <x:v>eligible_base</x:v>
      </x:c>
      <x:c r="O27" s="19" t="str">
        <x:v>REAR_DISPLAY</x:v>
      </x:c>
      <x:c r="P27" s="19" t="str">
        <x:v>SRC-DESAY-2024；SRC-XM-YU7-APP</x:v>
      </x:c>
      <x:c r="Q27" s="19" t="str">
        <x:v>+23.3kWh、CDC与后排屏进入base；活动赠送不计。</x:v>
      </x:c>
      <x:c r="R27" s="19" t="str">
        <x:v>BR-YU7-STD-LR|M06_COCKPIT</x:v>
      </x:c>
      <x:c r="S27" s="19" t="str">
        <x:v>BR-YU7-STD-LR|REAR_DISPLAY</x:v>
      </x:c>
      <x:c r="T27" s="19" t="str">
        <x:f>IF(COUNTIF($S$7:$S$43,S27)=1,"PASS","FAIL")</x:f>
        <x:v>PASS</x:v>
      </x:c>
      <x:c r="U27" s="19" t="str">
        <x:f>IF(AND(I27&lt;=J27,J27&lt;=K27),"PASS","FAIL")</x:f>
        <x:v>PASS</x:v>
      </x:c>
    </x:row>
    <x:row r="28" ht="38" customHeight="1">
      <x:c r="A28" s="20" t="str">
        <x:v>BR-YU7-LR-PRO</x:v>
      </x:c>
      <x:c r="B28" s="20" t="str">
        <x:v>YU7</x:v>
      </x:c>
      <x:c r="C28" s="20" t="str">
        <x:v>YU7-G1-LR</x:v>
      </x:c>
      <x:c r="D28" s="20" t="str">
        <x:v>YU7-G1-PRO</x:v>
      </x:c>
      <x:c r="E28" s="20" t="str">
        <x:v>INC_EDRIVE_235_365</x:v>
      </x:c>
      <x:c r="F28" s="20" t="str">
        <x:v>M02_EDRIVE</x:v>
      </x:c>
      <x:c r="G28" s="20" t="str">
        <x:v>235单驱→365双驱</x:v>
      </x:c>
      <x:c r="H28" s="20" t="n">
        <x:v>1</x:v>
      </x:c>
      <x:c r="I28" s="22" t="n">
        <x:f>'01_原子成本假设'!$E$23*H28</x:f>
        <x:v>4000</x:v>
      </x:c>
      <x:c r="J28" s="22" t="n">
        <x:f>'01_原子成本假设'!$F$23*H28</x:f>
        <x:v>5500</x:v>
      </x:c>
      <x:c r="K28" s="22" t="n">
        <x:f>'01_原子成本假设'!$G$23*H28</x:f>
        <x:v>7500</x:v>
      </x:c>
      <x:c r="L28" s="20" t="str">
        <x:v>元/车</x:v>
      </x:c>
      <x:c r="M28" s="20" t="str">
        <x:v>CORE</x:v>
      </x:c>
      <x:c r="N28" s="20" t="str">
        <x:v>eligible_base</x:v>
      </x:c>
      <x:c r="O28" s="20" t="str">
        <x:v>EDRIVE_DELTA_235_365</x:v>
      </x:c>
      <x:c r="P28" s="20" t="str">
        <x:v>SRC-VMAX-2025-AR；SRC-JINGJIN-2025-AR</x:v>
      </x:c>
      <x:c r="Q28" s="20" t="str">
        <x:v>同电池/同752V；新增130kW前驱动与空悬硬件，CDC不重复。</x:v>
      </x:c>
      <x:c r="R28" s="20" t="str">
        <x:v>BR-YU7-LR-PRO|M02_EDRIVE</x:v>
      </x:c>
      <x:c r="S28" s="20" t="str">
        <x:v>BR-YU7-LR-PRO|EDRIVE_DELTA_235_365</x:v>
      </x:c>
      <x:c r="T28" s="20" t="str">
        <x:f>IF(COUNTIF($S$7:$S$43,S28)=1,"PASS","FAIL")</x:f>
        <x:v>PASS</x:v>
      </x:c>
      <x:c r="U28" s="20" t="str">
        <x:f>IF(AND(I28&lt;=J28,J28&lt;=K28),"PASS","FAIL")</x:f>
        <x:v>PASS</x:v>
      </x:c>
    </x:row>
    <x:row r="29" ht="38" customHeight="1">
      <x:c r="A29" s="19" t="str">
        <x:v>BR-YU7-LR-PRO</x:v>
      </x:c>
      <x:c r="B29" s="19" t="str">
        <x:v>YU7</x:v>
      </x:c>
      <x:c r="C29" s="19" t="str">
        <x:v>YU7-G1-LR</x:v>
      </x:c>
      <x:c r="D29" s="19" t="str">
        <x:v>YU7-G1-PRO</x:v>
      </x:c>
      <x:c r="E29" s="19" t="str">
        <x:v>INC_AIR_EXCL_CDC</x:v>
      </x:c>
      <x:c r="F29" s="19" t="str">
        <x:v>M04_CHASSIS</x:v>
      </x:c>
      <x:c r="G29" s="19" t="str">
        <x:v>双腔空气硬件增量（不含CDC）</x:v>
      </x:c>
      <x:c r="H29" s="19" t="n">
        <x:v>1</x:v>
      </x:c>
      <x:c r="I29" s="21" t="n">
        <x:f>'01_原子成本假设'!$E$27*H29</x:f>
        <x:v>3800</x:v>
      </x:c>
      <x:c r="J29" s="21" t="n">
        <x:f>'01_原子成本假设'!$F$27*H29</x:f>
        <x:v>5000</x:v>
      </x:c>
      <x:c r="K29" s="21" t="n">
        <x:f>'01_原子成本假设'!$G$27*H29</x:f>
        <x:v>6300</x:v>
      </x:c>
      <x:c r="L29" s="19" t="str">
        <x:v>元/车</x:v>
      </x:c>
      <x:c r="M29" s="19" t="str">
        <x:v>CORE</x:v>
      </x:c>
      <x:c r="N29" s="19" t="str">
        <x:v>eligible_base</x:v>
      </x:c>
      <x:c r="O29" s="19" t="str">
        <x:v>AIR_HARDWARE_EXCL_CDC</x:v>
      </x:c>
      <x:c r="P29" s="19" t="str">
        <x:v>SRC-BAOLONG-AIR</x:v>
      </x:c>
      <x:c r="Q29" s="19" t="str">
        <x:v>同电池/同752V；新增130kW前驱动与空悬硬件，CDC不重复。</x:v>
      </x:c>
      <x:c r="R29" s="19" t="str">
        <x:v>BR-YU7-LR-PRO|M04_CHASSIS</x:v>
      </x:c>
      <x:c r="S29" s="19" t="str">
        <x:v>BR-YU7-LR-PRO|AIR_HARDWARE_EXCL_CDC</x:v>
      </x:c>
      <x:c r="T29" s="19" t="str">
        <x:f>IF(COUNTIF($S$7:$S$43,S29)=1,"PASS","FAIL")</x:f>
        <x:v>PASS</x:v>
      </x:c>
      <x:c r="U29" s="19" t="str">
        <x:f>IF(AND(I29&lt;=J29,J29&lt;=K29),"PASS","FAIL")</x:f>
        <x:v>PASS</x:v>
      </x:c>
    </x:row>
    <x:row r="30" ht="38" customHeight="1">
      <x:c r="A30" s="20" t="str">
        <x:v>BR-YU7-PRO-MAX</x:v>
      </x:c>
      <x:c r="B30" s="20" t="str">
        <x:v>YU7</x:v>
      </x:c>
      <x:c r="C30" s="20" t="str">
        <x:v>YU7-G1-PRO</x:v>
      </x:c>
      <x:c r="D30" s="20" t="str">
        <x:v>YU7-G1-MAX</x:v>
      </x:c>
      <x:c r="E30" s="20" t="str">
        <x:v>INC_BAT_SWAP_NCM</x:v>
      </x:c>
      <x:c r="F30" s="20" t="str">
        <x:v>M01_BATTERY</x:v>
      </x:c>
      <x:c r="G30" s="20" t="str">
        <x:v>96.3LFP→101.7NCM整包置换</x:v>
      </x:c>
      <x:c r="H30" s="20" t="n">
        <x:v>1</x:v>
      </x:c>
      <x:c r="I30" s="22" t="n">
        <x:f>'01_原子成本假设'!$E$22*H30</x:f>
        <x:v>21006</x:v>
      </x:c>
      <x:c r="J30" s="22" t="n">
        <x:f>'01_原子成本假设'!$F$22*H30</x:f>
        <x:v>25506</x:v>
      </x:c>
      <x:c r="K30" s="22" t="n">
        <x:f>'01_原子成本假设'!$G$22*H30</x:f>
        <x:v>29097</x:v>
      </x:c>
      <x:c r="L30" s="20" t="str">
        <x:v>元/车</x:v>
      </x:c>
      <x:c r="M30" s="20" t="str">
        <x:v>CORE</x:v>
      </x:c>
      <x:c r="N30" s="20" t="str">
        <x:v>eligible_base</x:v>
      </x:c>
      <x:c r="O30" s="20" t="str">
        <x:v>PACK_SWAP_LFP_NCM</x:v>
      </x:c>
      <x:c r="P30" s="20" t="str">
        <x:v>SRC-BNEF-2025；SRC-IEA-GEO2025；SRC-ARGONNE-BATPAC</x:v>
      </x:c>
      <x:c r="Q30" s="20" t="str">
        <x:v>AWD拓扑不重复；Nappa仍为选装，片型基线未知不计。</x:v>
      </x:c>
      <x:c r="R30" s="20" t="str">
        <x:v>BR-YU7-PRO-MAX|M01_BATTERY</x:v>
      </x:c>
      <x:c r="S30" s="20" t="str">
        <x:v>BR-YU7-PRO-MAX|PACK_SWAP_LFP_NCM</x:v>
      </x:c>
      <x:c r="T30" s="20" t="str">
        <x:f>IF(COUNTIF($S$7:$S$43,S30)=1,"PASS","FAIL")</x:f>
        <x:v>PASS</x:v>
      </x:c>
      <x:c r="U30" s="20" t="str">
        <x:f>IF(AND(I30&lt;=J30,J30&lt;=K30),"PASS","FAIL")</x:f>
        <x:v>PASS</x:v>
      </x:c>
    </x:row>
    <x:row r="31" ht="38" customHeight="1">
      <x:c r="A31" s="19" t="str">
        <x:v>BR-YU7-PRO-MAX</x:v>
      </x:c>
      <x:c r="B31" s="19" t="str">
        <x:v>YU7</x:v>
      </x:c>
      <x:c r="C31" s="19" t="str">
        <x:v>YU7-G1-PRO</x:v>
      </x:c>
      <x:c r="D31" s="19" t="str">
        <x:v>YU7-G1-MAX</x:v>
      </x:c>
      <x:c r="E31" s="19" t="str">
        <x:v>INC_EDRIVE_365_508</x:v>
      </x:c>
      <x:c r="F31" s="19" t="str">
        <x:v>M02_EDRIVE</x:v>
      </x:c>
      <x:c r="G31" s="19" t="str">
        <x:v>365双驱→508双驱升级</x:v>
      </x:c>
      <x:c r="H31" s="19" t="n">
        <x:v>1</x:v>
      </x:c>
      <x:c r="I31" s="21" t="n">
        <x:f>'01_原子成本假设'!$E$25*H31</x:f>
        <x:v>3000</x:v>
      </x:c>
      <x:c r="J31" s="21" t="n">
        <x:f>'01_原子成本假设'!$F$25*H31</x:f>
        <x:v>4000</x:v>
      </x:c>
      <x:c r="K31" s="21" t="n">
        <x:f>'01_原子成本假设'!$G$25*H31</x:f>
        <x:v>5000</x:v>
      </x:c>
      <x:c r="L31" s="19" t="str">
        <x:v>元/车</x:v>
      </x:c>
      <x:c r="M31" s="19" t="str">
        <x:v>CORE</x:v>
      </x:c>
      <x:c r="N31" s="19" t="str">
        <x:v>eligible_base</x:v>
      </x:c>
      <x:c r="O31" s="19" t="str">
        <x:v>EDRIVE_DELTA_365_508</x:v>
      </x:c>
      <x:c r="P31" s="19" t="str">
        <x:v>SRC-VMAX-2025-AR；SRC-JINGJIN-2025-AR</x:v>
      </x:c>
      <x:c r="Q31" s="19" t="str">
        <x:v>AWD拓扑不重复；Nappa仍为选装，片型基线未知不计。</x:v>
      </x:c>
      <x:c r="R31" s="19" t="str">
        <x:v>BR-YU7-PRO-MAX|M02_EDRIVE</x:v>
      </x:c>
      <x:c r="S31" s="19" t="str">
        <x:v>BR-YU7-PRO-MAX|EDRIVE_DELTA_365_508</x:v>
      </x:c>
      <x:c r="T31" s="19" t="str">
        <x:f>IF(COUNTIF($S$7:$S$43,S31)=1,"PASS","FAIL")</x:f>
        <x:v>PASS</x:v>
      </x:c>
      <x:c r="U31" s="19" t="str">
        <x:f>IF(AND(I31&lt;=J31,J31&lt;=K31),"PASS","FAIL")</x:f>
        <x:v>PASS</x:v>
      </x:c>
    </x:row>
    <x:row r="32" ht="38" customHeight="1">
      <x:c r="A32" s="20" t="str">
        <x:v>BR-YU7-PRO-MAX</x:v>
      </x:c>
      <x:c r="B32" s="20" t="str">
        <x:v>YU7</x:v>
      </x:c>
      <x:c r="C32" s="20" t="str">
        <x:v>YU7-G1-PRO</x:v>
      </x:c>
      <x:c r="D32" s="20" t="str">
        <x:v>YU7-G1-MAX</x:v>
      </x:c>
      <x:c r="E32" s="20" t="str">
        <x:v>INC_HV_752_897</x:v>
      </x:c>
      <x:c r="F32" s="20" t="str">
        <x:v>M03_HIGH_VOLTAGE</x:v>
      </x:c>
      <x:c r="G32" s="20" t="str">
        <x:v>752→897V包外高压链路</x:v>
      </x:c>
      <x:c r="H32" s="20" t="n">
        <x:v>1</x:v>
      </x:c>
      <x:c r="I32" s="22" t="n">
        <x:f>'01_原子成本假设'!$E$26*H32</x:f>
        <x:v>800</x:v>
      </x:c>
      <x:c r="J32" s="22" t="n">
        <x:f>'01_原子成本假设'!$F$26*H32</x:f>
        <x:v>1500</x:v>
      </x:c>
      <x:c r="K32" s="22" t="n">
        <x:f>'01_原子成本假设'!$G$26*H32</x:f>
        <x:v>2500</x:v>
      </x:c>
      <x:c r="L32" s="20" t="str">
        <x:v>元/车</x:v>
      </x:c>
      <x:c r="M32" s="20" t="str">
        <x:v>CORE</x:v>
      </x:c>
      <x:c r="N32" s="20" t="str">
        <x:v>eligible_base</x:v>
      </x:c>
      <x:c r="O32" s="20" t="str">
        <x:v>HV_EXTERNAL_DELTA</x:v>
      </x:c>
      <x:c r="P32" s="20" t="str">
        <x:v>SRC-VMAX-2025-AR；SRC-SHINRY-2025-AR；SRC-IEA-UFC</x:v>
      </x:c>
      <x:c r="Q32" s="20" t="str">
        <x:v>AWD拓扑不重复；Nappa仍为选装，片型基线未知不计。</x:v>
      </x:c>
      <x:c r="R32" s="20" t="str">
        <x:v>BR-YU7-PRO-MAX|M03_HIGH_VOLTAGE</x:v>
      </x:c>
      <x:c r="S32" s="20" t="str">
        <x:v>BR-YU7-PRO-MAX|HV_EXTERNAL_DELTA</x:v>
      </x:c>
      <x:c r="T32" s="20" t="str">
        <x:f>IF(COUNTIF($S$7:$S$43,S32)=1,"PASS","FAIL")</x:f>
        <x:v>PASS</x:v>
      </x:c>
      <x:c r="U32" s="20" t="str">
        <x:f>IF(AND(I32&lt;=J32,J32&lt;=K32),"PASS","FAIL")</x:f>
        <x:v>PASS</x:v>
      </x:c>
    </x:row>
    <x:row r="33" ht="38" customHeight="1">
      <x:c r="A33" s="19" t="str">
        <x:v>BR-YU7-PRO-MAX</x:v>
      </x:c>
      <x:c r="B33" s="19" t="str">
        <x:v>YU7</x:v>
      </x:c>
      <x:c r="C33" s="19" t="str">
        <x:v>YU7-G1-PRO</x:v>
      </x:c>
      <x:c r="D33" s="19" t="str">
        <x:v>YU7-G1-MAX</x:v>
      </x:c>
      <x:c r="E33" s="19" t="str">
        <x:v>INC_BREMBO</x:v>
      </x:c>
      <x:c r="F33" s="19" t="str">
        <x:v>M04_CHASSIS</x:v>
      </x:c>
      <x:c r="G33" s="19" t="str">
        <x:v>固定4P→Brembo品牌/规格升级</x:v>
      </x:c>
      <x:c r="H33" s="19" t="n">
        <x:v>1</x:v>
      </x:c>
      <x:c r="I33" s="21" t="n">
        <x:f>'01_原子成本假设'!$E$30*H33</x:f>
        <x:v>150</x:v>
      </x:c>
      <x:c r="J33" s="21" t="n">
        <x:f>'01_原子成本假设'!$F$30*H33</x:f>
        <x:v>350</x:v>
      </x:c>
      <x:c r="K33" s="21" t="n">
        <x:f>'01_原子成本假设'!$G$30*H33</x:f>
        <x:v>650</x:v>
      </x:c>
      <x:c r="L33" s="19" t="str">
        <x:v>元/车</x:v>
      </x:c>
      <x:c r="M33" s="19" t="str">
        <x:v>CORE</x:v>
      </x:c>
      <x:c r="N33" s="19" t="str">
        <x:v>eligible_base</x:v>
      </x:c>
      <x:c r="O33" s="19" t="str">
        <x:v>FRONT_CALIPER_UPGRADE</x:v>
      </x:c>
      <x:c r="P33" s="19" t="str">
        <x:v>SRC-WANAN-CALIPER；SRC-XM-SU7-APP；SRC-XM-YU7-APP</x:v>
      </x:c>
      <x:c r="Q33" s="19" t="str">
        <x:v>AWD拓扑不重复；Nappa仍为选装，片型基线未知不计。</x:v>
      </x:c>
      <x:c r="R33" s="19" t="str">
        <x:v>BR-YU7-PRO-MAX|M04_CHASSIS</x:v>
      </x:c>
      <x:c r="S33" s="19" t="str">
        <x:v>BR-YU7-PRO-MAX|FRONT_CALIPER_UPGRADE</x:v>
      </x:c>
      <x:c r="T33" s="19" t="str">
        <x:f>IF(COUNTIF($S$7:$S$43,S33)=1,"PASS","FAIL")</x:f>
        <x:v>PASS</x:v>
      </x:c>
      <x:c r="U33" s="19" t="str">
        <x:f>IF(AND(I33&lt;=J33,J33&lt;=K33),"PASS","FAIL")</x:f>
        <x:v>PASS</x:v>
      </x:c>
    </x:row>
    <x:row r="34" ht="38" customHeight="1">
      <x:c r="A34" s="20" t="str">
        <x:v>BR-YU7-PRO-MAX</x:v>
      </x:c>
      <x:c r="B34" s="20" t="str">
        <x:v>YU7</x:v>
      </x:c>
      <x:c r="C34" s="20" t="str">
        <x:v>YU7-G1-PRO</x:v>
      </x:c>
      <x:c r="D34" s="20" t="str">
        <x:v>YU7-G1-MAX</x:v>
      </x:c>
      <x:c r="E34" s="20" t="str">
        <x:v>INC_FRONT_DRILLED_DISC</x:v>
      </x:c>
      <x:c r="F34" s="20" t="str">
        <x:v>M04_CHASSIS</x:v>
      </x:c>
      <x:c r="G34" s="20" t="str">
        <x:v>前打孔通风盘增量</x:v>
      </x:c>
      <x:c r="H34" s="20" t="n">
        <x:v>1</x:v>
      </x:c>
      <x:c r="I34" s="22" t="n">
        <x:f>'01_原子成本假设'!$E$31*H34</x:f>
        <x:v>120</x:v>
      </x:c>
      <x:c r="J34" s="22" t="n">
        <x:f>'01_原子成本假设'!$F$31*H34</x:f>
        <x:v>240</x:v>
      </x:c>
      <x:c r="K34" s="22" t="n">
        <x:f>'01_原子成本假设'!$G$31*H34</x:f>
        <x:v>420</x:v>
      </x:c>
      <x:c r="L34" s="20" t="str">
        <x:v>元/车</x:v>
      </x:c>
      <x:c r="M34" s="20" t="str">
        <x:v>CORE</x:v>
      </x:c>
      <x:c r="N34" s="20" t="str">
        <x:v>eligible_base</x:v>
      </x:c>
      <x:c r="O34" s="20" t="str">
        <x:v>FRONT_BRAKE_DISC</x:v>
      </x:c>
      <x:c r="P34" s="20" t="str">
        <x:v>SRC-LONGJI-BRAKE；SRC-XM-SU7-APP；SRC-XM-YU7-APP</x:v>
      </x:c>
      <x:c r="Q34" s="20" t="str">
        <x:v>AWD拓扑不重复；Nappa仍为选装，片型基线未知不计。</x:v>
      </x:c>
      <x:c r="R34" s="20" t="str">
        <x:v>BR-YU7-PRO-MAX|M04_CHASSIS</x:v>
      </x:c>
      <x:c r="S34" s="20" t="str">
        <x:v>BR-YU7-PRO-MAX|FRONT_BRAKE_DISC</x:v>
      </x:c>
      <x:c r="T34" s="20" t="str">
        <x:f>IF(COUNTIF($S$7:$S$43,S34)=1,"PASS","FAIL")</x:f>
        <x:v>PASS</x:v>
      </x:c>
      <x:c r="U34" s="20" t="str">
        <x:f>IF(AND(I34&lt;=J34,J34&lt;=K34),"PASS","FAIL")</x:f>
        <x:v>PASS</x:v>
      </x:c>
    </x:row>
    <x:row r="35" ht="38" customHeight="1">
      <x:c r="A35" s="19" t="str">
        <x:v>BR-YU7-PRO-MAX</x:v>
      </x:c>
      <x:c r="B35" s="19" t="str">
        <x:v>YU7</x:v>
      </x:c>
      <x:c r="C35" s="19" t="str">
        <x:v>YU7-G1-PRO</x:v>
      </x:c>
      <x:c r="D35" s="19" t="str">
        <x:v>YU7-G1-MAX</x:v>
      </x:c>
      <x:c r="E35" s="19" t="str">
        <x:v>INC_REAR_DRILLED_DISC</x:v>
      </x:c>
      <x:c r="F35" s="19" t="str">
        <x:v>M04_CHASSIS</x:v>
      </x:c>
      <x:c r="G35" s="19" t="str">
        <x:v>后打孔通风盘增量</x:v>
      </x:c>
      <x:c r="H35" s="19" t="n">
        <x:v>1</x:v>
      </x:c>
      <x:c r="I35" s="21" t="n">
        <x:f>'01_原子成本假设'!$E$32*H35</x:f>
        <x:v>100</x:v>
      </x:c>
      <x:c r="J35" s="21" t="n">
        <x:f>'01_原子成本假设'!$F$32*H35</x:f>
        <x:v>200</x:v>
      </x:c>
      <x:c r="K35" s="21" t="n">
        <x:f>'01_原子成本假设'!$G$32*H35</x:f>
        <x:v>360</x:v>
      </x:c>
      <x:c r="L35" s="19" t="str">
        <x:v>元/车</x:v>
      </x:c>
      <x:c r="M35" s="19" t="str">
        <x:v>CORE</x:v>
      </x:c>
      <x:c r="N35" s="19" t="str">
        <x:v>eligible_base_yu7_only</x:v>
      </x:c>
      <x:c r="O35" s="19" t="str">
        <x:v>REAR_BRAKE_DISC</x:v>
      </x:c>
      <x:c r="P35" s="19" t="str">
        <x:v>SRC-LONGJI-BRAKE；SRC-XM-YU7-APP</x:v>
      </x:c>
      <x:c r="Q35" s="19" t="str">
        <x:v>AWD拓扑不重复；Nappa仍为选装，片型基线未知不计。</x:v>
      </x:c>
      <x:c r="R35" s="19" t="str">
        <x:v>BR-YU7-PRO-MAX|M04_CHASSIS</x:v>
      </x:c>
      <x:c r="S35" s="19" t="str">
        <x:v>BR-YU7-PRO-MAX|REAR_BRAKE_DISC</x:v>
      </x:c>
      <x:c r="T35" s="19" t="str">
        <x:f>IF(COUNTIF($S$7:$S$43,S35)=1,"PASS","FAIL")</x:f>
        <x:v>PASS</x:v>
      </x:c>
      <x:c r="U35" s="19" t="str">
        <x:f>IF(AND(I35&lt;=J35,J35&lt;=K35),"PASS","FAIL")</x:f>
        <x:v>PASS</x:v>
      </x:c>
    </x:row>
    <x:row r="36" ht="38" customHeight="1">
      <x:c r="A36" s="20" t="str">
        <x:v>BR-YU7-PRO-MAX</x:v>
      </x:c>
      <x:c r="B36" s="20" t="str">
        <x:v>YU7</x:v>
      </x:c>
      <x:c r="C36" s="20" t="str">
        <x:v>YU7-G1-PRO</x:v>
      </x:c>
      <x:c r="D36" s="20" t="str">
        <x:v>YU7-G1-MAX</x:v>
      </x:c>
      <x:c r="E36" s="20" t="str">
        <x:v>INC_AUDIO_14_25</x:v>
      </x:c>
      <x:c r="F36" s="20" t="str">
        <x:v>M06_COCKPIT</x:v>
      </x:c>
      <x:c r="G36" s="20" t="str">
        <x:v>14→25扬声器系统增量</x:v>
      </x:c>
      <x:c r="H36" s="20" t="n">
        <x:v>1</x:v>
      </x:c>
      <x:c r="I36" s="22" t="n">
        <x:f>'01_原子成本假设'!$E$33*H36</x:f>
        <x:v>400</x:v>
      </x:c>
      <x:c r="J36" s="22" t="n">
        <x:f>'01_原子成本假设'!$F$33*H36</x:f>
        <x:v>650</x:v>
      </x:c>
      <x:c r="K36" s="22" t="n">
        <x:f>'01_原子成本假设'!$G$33*H36</x:f>
        <x:v>1050</x:v>
      </x:c>
      <x:c r="L36" s="20" t="str">
        <x:v>元/车</x:v>
      </x:c>
      <x:c r="M36" s="20" t="str">
        <x:v>CORE</x:v>
      </x:c>
      <x:c r="N36" s="20" t="str">
        <x:v>eligible_base</x:v>
      </x:c>
      <x:c r="O36" s="20" t="str">
        <x:v>AUDIO_SYSTEM_UPGRADE</x:v>
      </x:c>
      <x:c r="P36" s="20" t="str">
        <x:v>SRC-SONAVOX-2025；SRC-XM-SU7-APP；SRC-XM-YU7-APP</x:v>
      </x:c>
      <x:c r="Q36" s="20" t="str">
        <x:v>AWD拓扑不重复；Nappa仍为选装，片型基线未知不计。</x:v>
      </x:c>
      <x:c r="R36" s="20" t="str">
        <x:v>BR-YU7-PRO-MAX|M06_COCKPIT</x:v>
      </x:c>
      <x:c r="S36" s="20" t="str">
        <x:v>BR-YU7-PRO-MAX|AUDIO_SYSTEM_UPGRADE</x:v>
      </x:c>
      <x:c r="T36" s="20" t="str">
        <x:f>IF(COUNTIF($S$7:$S$43,S36)=1,"PASS","FAIL")</x:f>
        <x:v>PASS</x:v>
      </x:c>
      <x:c r="U36" s="20" t="str">
        <x:f>IF(AND(I36&lt;=J36,J36&lt;=K36),"PASS","FAIL")</x:f>
        <x:v>PASS</x:v>
      </x:c>
    </x:row>
    <x:row r="37" ht="38" customHeight="1">
      <x:c r="A37" s="19" t="str">
        <x:v>BR-YU7-PRO-MAX</x:v>
      </x:c>
      <x:c r="B37" s="19" t="str">
        <x:v>YU7</x:v>
      </x:c>
      <x:c r="C37" s="19" t="str">
        <x:v>YU7-G1-PRO</x:v>
      </x:c>
      <x:c r="D37" s="19" t="str">
        <x:v>YU7-G1-MAX</x:v>
      </x:c>
      <x:c r="E37" s="19" t="str">
        <x:v>INC_DIMMING_CANOPY</x:v>
      </x:c>
      <x:c r="F37" s="19" t="str">
        <x:v>M07_BODY</x:v>
      </x:c>
      <x:c r="G37" s="19" t="str">
        <x:v>双分区调光天幕增量</x:v>
      </x:c>
      <x:c r="H37" s="19" t="n">
        <x:v>1</x:v>
      </x:c>
      <x:c r="I37" s="21" t="n">
        <x:f>'01_原子成本假设'!$E$35*H37</x:f>
        <x:v>1800</x:v>
      </x:c>
      <x:c r="J37" s="21" t="n">
        <x:f>'01_原子成本假设'!$F$35*H37</x:f>
        <x:v>2600</x:v>
      </x:c>
      <x:c r="K37" s="21" t="n">
        <x:f>'01_原子成本假设'!$G$35*H37</x:f>
        <x:v>3800</x:v>
      </x:c>
      <x:c r="L37" s="19" t="str">
        <x:v>元/车</x:v>
      </x:c>
      <x:c r="M37" s="19" t="str">
        <x:v>CORE</x:v>
      </x:c>
      <x:c r="N37" s="19" t="str">
        <x:v>eligible_base</x:v>
      </x:c>
      <x:c r="O37" s="19" t="str">
        <x:v>DIMMING_CANOPY_ATOMIC</x:v>
      </x:c>
      <x:c r="P37" s="19" t="str">
        <x:v>SRC-PDCLC-PROJECT；SRC-XM-SU7-APP；SRC-XM-YU7-APP</x:v>
      </x:c>
      <x:c r="Q37" s="19" t="str">
        <x:v>AWD拓扑不重复；Nappa仍为选装，片型基线未知不计。</x:v>
      </x:c>
      <x:c r="R37" s="19" t="str">
        <x:v>BR-YU7-PRO-MAX|M07_BODY</x:v>
      </x:c>
      <x:c r="S37" s="19" t="str">
        <x:v>BR-YU7-PRO-MAX|DIMMING_CANOPY_ATOMIC</x:v>
      </x:c>
      <x:c r="T37" s="19" t="str">
        <x:f>IF(COUNTIF($S$7:$S$43,S37)=1,"PASS","FAIL")</x:f>
        <x:v>PASS</x:v>
      </x:c>
      <x:c r="U37" s="19" t="str">
        <x:f>IF(AND(I37&lt;=J37,J37&lt;=K37),"PASS","FAIL")</x:f>
        <x:v>PASS</x:v>
      </x:c>
    </x:row>
    <x:row r="38" ht="38" customHeight="1">
      <x:c r="A38" s="20" t="str">
        <x:v>BR-YU7-PRO-MAX</x:v>
      </x:c>
      <x:c r="B38" s="20" t="str">
        <x:v>YU7</x:v>
      </x:c>
      <x:c r="C38" s="20" t="str">
        <x:v>YU7-G1-PRO</x:v>
      </x:c>
      <x:c r="D38" s="20" t="str">
        <x:v>YU7-G1-MAX</x:v>
      </x:c>
      <x:c r="E38" s="20" t="str">
        <x:v>INC_QUIET_CABIN</x:v>
      </x:c>
      <x:c r="F38" s="20" t="str">
        <x:v>M07_BODY</x:v>
      </x:c>
      <x:c r="G38" s="20" t="str">
        <x:v>YU7超静谧座舱原子包</x:v>
      </x:c>
      <x:c r="H38" s="20" t="n">
        <x:v>1</x:v>
      </x:c>
      <x:c r="I38" s="22" t="n">
        <x:f>'01_原子成本假设'!$E$36*H38</x:f>
        <x:v>550</x:v>
      </x:c>
      <x:c r="J38" s="22" t="n">
        <x:f>'01_原子成本假设'!$F$36*H38</x:f>
        <x:v>1050</x:v>
      </x:c>
      <x:c r="K38" s="22" t="n">
        <x:f>'01_原子成本假设'!$G$36*H38</x:f>
        <x:v>1800</x:v>
      </x:c>
      <x:c r="L38" s="20" t="str">
        <x:v>元/车</x:v>
      </x:c>
      <x:c r="M38" s="20" t="str">
        <x:v>CORE</x:v>
      </x:c>
      <x:c r="N38" s="20" t="str">
        <x:v>eligible_base_yu7_only</x:v>
      </x:c>
      <x:c r="O38" s="20" t="str">
        <x:v>QUIET_CABIN_ATOMIC</x:v>
      </x:c>
      <x:c r="P38" s="20" t="str">
        <x:v>SRC-XIAOMI-YU7；SRC-MODEL-ASSUMPTION</x:v>
      </x:c>
      <x:c r="Q38" s="20" t="str">
        <x:v>AWD拓扑不重复；Nappa仍为选装，片型基线未知不计。</x:v>
      </x:c>
      <x:c r="R38" s="20" t="str">
        <x:v>BR-YU7-PRO-MAX|M07_BODY</x:v>
      </x:c>
      <x:c r="S38" s="20" t="str">
        <x:v>BR-YU7-PRO-MAX|QUIET_CABIN_ATOMIC</x:v>
      </x:c>
      <x:c r="T38" s="20" t="str">
        <x:f>IF(COUNTIF($S$7:$S$43,S38)=1,"PASS","FAIL")</x:f>
        <x:v>PASS</x:v>
      </x:c>
      <x:c r="U38" s="20" t="str">
        <x:f>IF(AND(I38&lt;=J38,J38&lt;=K38),"PASS","FAIL")</x:f>
        <x:v>PASS</x:v>
      </x:c>
    </x:row>
    <x:row r="39" ht="38" customHeight="1">
      <x:c r="A39" s="19" t="str">
        <x:v>BR-YU7-PRO-MAX</x:v>
      </x:c>
      <x:c r="B39" s="19" t="str">
        <x:v>YU7</x:v>
      </x:c>
      <x:c r="C39" s="19" t="str">
        <x:v>YU7-G1-PRO</x:v>
      </x:c>
      <x:c r="D39" s="19" t="str">
        <x:v>YU7-G1-MAX</x:v>
      </x:c>
      <x:c r="E39" s="19" t="str">
        <x:v>INC_SUEDE_HEADLINER</x:v>
      </x:c>
      <x:c r="F39" s="19" t="str">
        <x:v>M07_BODY</x:v>
      </x:c>
      <x:c r="G39" s="19" t="str">
        <x:v>麂皮/超纤绒顶棚面层增量</x:v>
      </x:c>
      <x:c r="H39" s="19" t="n">
        <x:v>1</x:v>
      </x:c>
      <x:c r="I39" s="21" t="n">
        <x:f>'01_原子成本假设'!$E$37*H39</x:f>
        <x:v>120</x:v>
      </x:c>
      <x:c r="J39" s="21" t="n">
        <x:f>'01_原子成本假设'!$F$37*H39</x:f>
        <x:v>260</x:v>
      </x:c>
      <x:c r="K39" s="21" t="n">
        <x:f>'01_原子成本假设'!$G$37*H39</x:f>
        <x:v>450</x:v>
      </x:c>
      <x:c r="L39" s="19" t="str">
        <x:v>元/车</x:v>
      </x:c>
      <x:c r="M39" s="19" t="str">
        <x:v>CORE</x:v>
      </x:c>
      <x:c r="N39" s="19" t="str">
        <x:v>eligible_base</x:v>
      </x:c>
      <x:c r="O39" s="19" t="str">
        <x:v>SUEDE_HEADLINER</x:v>
      </x:c>
      <x:c r="P39" s="19" t="str">
        <x:v>SRC-DAIMAY-2023；SRC-XM-SU7-APP；SRC-XM-YU7-APP</x:v>
      </x:c>
      <x:c r="Q39" s="19" t="str">
        <x:v>AWD拓扑不重复；Nappa仍为选装，片型基线未知不计。</x:v>
      </x:c>
      <x:c r="R39" s="19" t="str">
        <x:v>BR-YU7-PRO-MAX|M07_BODY</x:v>
      </x:c>
      <x:c r="S39" s="19" t="str">
        <x:v>BR-YU7-PRO-MAX|SUEDE_HEADLINER</x:v>
      </x:c>
      <x:c r="T39" s="19" t="str">
        <x:f>IF(COUNTIF($S$7:$S$43,S39)=1,"PASS","FAIL")</x:f>
        <x:v>PASS</x:v>
      </x:c>
      <x:c r="U39" s="19" t="str">
        <x:f>IF(AND(I39&lt;=J39,J39&lt;=K39),"PASS","FAIL")</x:f>
        <x:v>PASS</x:v>
      </x:c>
    </x:row>
    <x:row r="40" ht="38" customHeight="1">
      <x:c r="A40" s="20" t="str">
        <x:v>BR-YU7-PRO-MAX</x:v>
      </x:c>
      <x:c r="B40" s="20" t="str">
        <x:v>YU7</x:v>
      </x:c>
      <x:c r="C40" s="20" t="str">
        <x:v>YU7-G1-PRO</x:v>
      </x:c>
      <x:c r="D40" s="20" t="str">
        <x:v>YU7-G1-MAX</x:v>
      </x:c>
      <x:c r="E40" s="20" t="str">
        <x:v>INC_WELCOME_LIGHTS</x:v>
      </x:c>
      <x:c r="F40" s="20" t="str">
        <x:v>M07_BODY</x:v>
      </x:c>
      <x:c r="G40" s="20" t="str">
        <x:v>前门迎宾灯一对</x:v>
      </x:c>
      <x:c r="H40" s="20" t="n">
        <x:v>1</x:v>
      </x:c>
      <x:c r="I40" s="22" t="n">
        <x:f>'01_原子成本假设'!$E$38*H40</x:f>
        <x:v>70</x:v>
      </x:c>
      <x:c r="J40" s="22" t="n">
        <x:f>'01_原子成本假设'!$F$38*H40</x:f>
        <x:v>120</x:v>
      </x:c>
      <x:c r="K40" s="22" t="n">
        <x:f>'01_原子成本假设'!$G$38*H40</x:f>
        <x:v>220</x:v>
      </x:c>
      <x:c r="L40" s="20" t="str">
        <x:v>元/车</x:v>
      </x:c>
      <x:c r="M40" s="20" t="str">
        <x:v>CORE</x:v>
      </x:c>
      <x:c r="N40" s="20" t="str">
        <x:v>eligible_base</x:v>
      </x:c>
      <x:c r="O40" s="20" t="str">
        <x:v>WELCOME_LIGHTING</x:v>
      </x:c>
      <x:c r="P40" s="20" t="str">
        <x:v>SRC-XM-SU7-APP；SRC-XM-YU7-APP；SRC-MODEL-ASSUMPTION</x:v>
      </x:c>
      <x:c r="Q40" s="20" t="str">
        <x:v>AWD拓扑不重复；Nappa仍为选装，片型基线未知不计。</x:v>
      </x:c>
      <x:c r="R40" s="20" t="str">
        <x:v>BR-YU7-PRO-MAX|M07_BODY</x:v>
      </x:c>
      <x:c r="S40" s="20" t="str">
        <x:v>BR-YU7-PRO-MAX|WELCOME_LIGHTING</x:v>
      </x:c>
      <x:c r="T40" s="20" t="str">
        <x:f>IF(COUNTIF($S$7:$S$43,S40)=1,"PASS","FAIL")</x:f>
        <x:v>PASS</x:v>
      </x:c>
      <x:c r="U40" s="20" t="str">
        <x:f>IF(AND(I40&lt;=J40,J40&lt;=K40),"PASS","FAIL")</x:f>
        <x:v>PASS</x:v>
      </x:c>
    </x:row>
    <x:row r="41" ht="38" customHeight="1">
      <x:c r="A41" s="19" t="str">
        <x:v>BR-YU7-PRO-MAX</x:v>
      </x:c>
      <x:c r="B41" s="19" t="str">
        <x:v>YU7</x:v>
      </x:c>
      <x:c r="C41" s="19" t="str">
        <x:v>YU7-G1-PRO</x:v>
      </x:c>
      <x:c r="D41" s="19" t="str">
        <x:v>YU7-G1-MAX</x:v>
      </x:c>
      <x:c r="E41" s="19" t="str">
        <x:v>INC_SOFT_CLOSE</x:v>
      </x:c>
      <x:c r="F41" s="19" t="str">
        <x:v>M08_COMFORT</x:v>
      </x:c>
      <x:c r="G41" s="19" t="str">
        <x:v>四门电吸门</x:v>
      </x:c>
      <x:c r="H41" s="19" t="n">
        <x:v>1</x:v>
      </x:c>
      <x:c r="I41" s="21" t="n">
        <x:f>'01_原子成本假设'!$E$41*H41</x:f>
        <x:v>800</x:v>
      </x:c>
      <x:c r="J41" s="21" t="n">
        <x:f>'01_原子成本假设'!$F$41*H41</x:f>
        <x:v>1000</x:v>
      </x:c>
      <x:c r="K41" s="21" t="n">
        <x:f>'01_原子成本假设'!$G$41*H41</x:f>
        <x:v>1300</x:v>
      </x:c>
      <x:c r="L41" s="19" t="str">
        <x:v>元/车</x:v>
      </x:c>
      <x:c r="M41" s="19" t="str">
        <x:v>CORE</x:v>
      </x:c>
      <x:c r="N41" s="19" t="str">
        <x:v>eligible_base</x:v>
      </x:c>
      <x:c r="O41" s="19" t="str">
        <x:v>SOFT_CLOSE_DOORS</x:v>
      </x:c>
      <x:c r="P41" s="19" t="str">
        <x:v>SRC-SOFTCLOSE-SECONDARY；SRC-XM-SU7-APP；SRC-XM-YU7-APP</x:v>
      </x:c>
      <x:c r="Q41" s="19" t="str">
        <x:v>AWD拓扑不重复；Nappa仍为选装，片型基线未知不计。</x:v>
      </x:c>
      <x:c r="R41" s="19" t="str">
        <x:v>BR-YU7-PRO-MAX|M08_COMFORT</x:v>
      </x:c>
      <x:c r="S41" s="19" t="str">
        <x:v>BR-YU7-PRO-MAX|SOFT_CLOSE_DOORS</x:v>
      </x:c>
      <x:c r="T41" s="19" t="str">
        <x:f>IF(COUNTIF($S$7:$S$43,S41)=1,"PASS","FAIL")</x:f>
        <x:v>PASS</x:v>
      </x:c>
      <x:c r="U41" s="19" t="str">
        <x:f>IF(AND(I41&lt;=J41,J41&lt;=K41),"PASS","FAIL")</x:f>
        <x:v>PASS</x:v>
      </x:c>
    </x:row>
    <x:row r="42" ht="38" customHeight="1">
      <x:c r="A42" s="20" t="str">
        <x:v>BR-YU7-PRO-MAX</x:v>
      </x:c>
      <x:c r="B42" s="20" t="str">
        <x:v>YU7</x:v>
      </x:c>
      <x:c r="C42" s="20" t="str">
        <x:v>YU7-G1-PRO</x:v>
      </x:c>
      <x:c r="D42" s="20" t="str">
        <x:v>YU7-G1-MAX</x:v>
      </x:c>
      <x:c r="E42" s="20" t="str">
        <x:v>INC_POWER_COLUMN</x:v>
      </x:c>
      <x:c r="F42" s="20" t="str">
        <x:v>M08_COMFORT</x:v>
      </x:c>
      <x:c r="G42" s="20" t="str">
        <x:v>电动方向柱+记忆增量</x:v>
      </x:c>
      <x:c r="H42" s="20" t="n">
        <x:v>1</x:v>
      </x:c>
      <x:c r="I42" s="22" t="n">
        <x:f>'01_原子成本假设'!$E$42*H42</x:f>
        <x:v>450</x:v>
      </x:c>
      <x:c r="J42" s="22" t="n">
        <x:f>'01_原子成本假设'!$F$42*H42</x:f>
        <x:v>550</x:v>
      </x:c>
      <x:c r="K42" s="22" t="n">
        <x:f>'01_原子成本假设'!$G$42*H42</x:f>
        <x:v>700</x:v>
      </x:c>
      <x:c r="L42" s="20" t="str">
        <x:v>元/车</x:v>
      </x:c>
      <x:c r="M42" s="20" t="str">
        <x:v>CORE</x:v>
      </x:c>
      <x:c r="N42" s="20" t="str">
        <x:v>eligible_base</x:v>
      </x:c>
      <x:c r="O42" s="20" t="str">
        <x:v>POWERED_STEERING_COLUMN</x:v>
      </x:c>
      <x:c r="P42" s="20" t="str">
        <x:v>SRC-ZHEJIANG-SHIBAO；SRC-XM-SU7-APP；SRC-XM-YU7-APP</x:v>
      </x:c>
      <x:c r="Q42" s="20" t="str">
        <x:v>AWD拓扑不重复；Nappa仍为选装，片型基线未知不计。</x:v>
      </x:c>
      <x:c r="R42" s="20" t="str">
        <x:v>BR-YU7-PRO-MAX|M08_COMFORT</x:v>
      </x:c>
      <x:c r="S42" s="20" t="str">
        <x:v>BR-YU7-PRO-MAX|POWERED_STEERING_COLUMN</x:v>
      </x:c>
      <x:c r="T42" s="20" t="str">
        <x:f>IF(COUNTIF($S$7:$S$43,S42)=1,"PASS","FAIL")</x:f>
        <x:v>PASS</x:v>
      </x:c>
      <x:c r="U42" s="20" t="str">
        <x:f>IF(AND(I42&lt;=J42,J42&lt;=K42),"PASS","FAIL")</x:f>
        <x:v>PASS</x:v>
      </x:c>
    </x:row>
    <x:row r="43" ht="38" customHeight="1">
      <x:c r="A43" s="19" t="str">
        <x:v>BR-YU7-PRO-MAX</x:v>
      </x:c>
      <x:c r="B43" s="19" t="str">
        <x:v>YU7</x:v>
      </x:c>
      <x:c r="C43" s="19" t="str">
        <x:v>YU7-G1-PRO</x:v>
      </x:c>
      <x:c r="D43" s="19" t="str">
        <x:v>YU7-G1-MAX</x:v>
      </x:c>
      <x:c r="E43" s="19" t="str">
        <x:v>INC_AUTO_DIM_MIRROR</x:v>
      </x:c>
      <x:c r="F43" s="19" t="str">
        <x:v>M08_COMFORT</x:v>
      </x:c>
      <x:c r="G43" s="19" t="str">
        <x:v>两侧外后视镜自动防眩增量</x:v>
      </x:c>
      <x:c r="H43" s="19" t="n">
        <x:v>1</x:v>
      </x:c>
      <x:c r="I43" s="21" t="n">
        <x:f>'01_原子成本假设'!$E$43*H43</x:f>
        <x:v>300</x:v>
      </x:c>
      <x:c r="J43" s="21" t="n">
        <x:f>'01_原子成本假设'!$F$43*H43</x:f>
        <x:v>500</x:v>
      </x:c>
      <x:c r="K43" s="21" t="n">
        <x:f>'01_原子成本假设'!$G$43*H43</x:f>
        <x:v>750</x:v>
      </x:c>
      <x:c r="L43" s="19" t="str">
        <x:v>元/车</x:v>
      </x:c>
      <x:c r="M43" s="19" t="str">
        <x:v>CORE</x:v>
      </x:c>
      <x:c r="N43" s="19" t="str">
        <x:v>eligible_base</x:v>
      </x:c>
      <x:c r="O43" s="19" t="str">
        <x:v>AUTO_DIMMING_MIRROR</x:v>
      </x:c>
      <x:c r="P43" s="19" t="str">
        <x:v>SRC-GENTEX-2025；SRC-XM-SU7-APP；SRC-XM-YU7-APP</x:v>
      </x:c>
      <x:c r="Q43" s="19" t="str">
        <x:v>AWD拓扑不重复；Nappa仍为选装，片型基线未知不计。</x:v>
      </x:c>
      <x:c r="R43" s="19" t="str">
        <x:v>BR-YU7-PRO-MAX|M08_COMFORT</x:v>
      </x:c>
      <x:c r="S43" s="19" t="str">
        <x:v>BR-YU7-PRO-MAX|AUTO_DIMMING_MIRROR</x:v>
      </x:c>
      <x:c r="T43" s="19" t="str">
        <x:f>IF(COUNTIF($S$7:$S$43,S43)=1,"PASS","FAIL")</x:f>
        <x:v>PASS</x:v>
      </x:c>
      <x:c r="U43" s="19" t="str">
        <x:f>IF(AND(I43&lt;=J43,J43&lt;=K43),"PASS","FAIL")</x:f>
        <x:v>PASS</x:v>
      </x:c>
    </x:row>
  </x:sheetData>
  <x:mergeCells>
    <x:mergeCell ref="A1:U1"/>
    <x:mergeCell ref="A2:U2"/>
    <x:mergeCell ref="A3:U3"/>
  </x:mergeCells>
  <x:conditionalFormatting sqref="T7:U43">
    <x:cfRule type="containsText" dxfId="12" priority="1" operator="containsText" text="PASS"/>
    <x:cfRule type="containsText" dxfId="13" priority="2" operator="containsText" text="FAIL"/>
    <x:cfRule type="containsText" dxfId="14" priority="3" operator="containsText" text="REVIEW"/>
    <x:cfRule type="containsText" dxfId="15" priority="4" operator="containsText" text="BLOCKED"/>
  </x:conditionalFormatting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9" hidden="0" customWidth="1"/>
    <x:col min="3" max="3" width="23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24" hidden="0" customWidth="1"/>
    <x:col min="9" max="9" width="52" hidden="0" customWidth="1"/>
  </x:cols>
  <x:sheetData>
    <x:row r="1" ht="30" customHeight="1">
      <x:c r="A1" s="3" t="str">
        <x:v>03｜桥接 × 成本模块汇总</x:v>
      </x:c>
      <x:c r="B1" s="3"/>
      <x:c r="C1" s="3"/>
      <x:c r="D1" s="3"/>
      <x:c r="E1" s="3"/>
      <x:c r="F1" s="3"/>
      <x:c r="G1" s="3"/>
      <x:c r="H1" s="3"/>
      <x:c r="I1" s="3"/>
    </x:row>
    <x:row r="2" ht="22" customHeight="1">
      <x:c r="A2" s="6" t="str">
        <x:v>M01—M08为物理BOM；M09/M10以物理小计为基数分别计一次</x:v>
      </x:c>
      <x:c r="B2" s="6"/>
      <x:c r="C2" s="6"/>
      <x:c r="D2" s="6"/>
      <x:c r="E2" s="6"/>
      <x:c r="F2" s="6"/>
      <x:c r="G2" s="6"/>
      <x:c r="H2" s="6"/>
      <x:c r="I2" s="6"/>
    </x:row>
    <x:row r="3" ht="38" customHeight="1">
      <x:c r="A3" s="10" t="str">
        <x:v>无观察到base差异的模块为0；共同ADAS硬件只保留绝对参考，不进入相邻版本差分。</x:v>
      </x:c>
      <x:c r="B3" s="10"/>
      <x:c r="C3" s="10"/>
      <x:c r="D3" s="10"/>
      <x:c r="E3" s="10"/>
      <x:c r="F3" s="10"/>
      <x:c r="G3" s="10"/>
      <x:c r="H3" s="10"/>
      <x:c r="I3" s="10"/>
    </x:row>
    <x:row r="6" ht="38" customHeight="1">
      <x:c r="A6" s="15" t="str">
        <x:v>bridge_id</x:v>
      </x:c>
      <x:c r="B6" s="15" t="str">
        <x:v>family</x:v>
      </x:c>
      <x:c r="C6" s="15" t="str">
        <x:v>module</x:v>
      </x:c>
      <x:c r="D6" s="15" t="str">
        <x:v>low</x:v>
      </x:c>
      <x:c r="E6" s="15" t="str">
        <x:v>mid</x:v>
      </x:c>
      <x:c r="F6" s="15" t="str">
        <x:v>high</x:v>
      </x:c>
      <x:c r="G6" s="15" t="str">
        <x:v>range_status</x:v>
      </x:c>
      <x:c r="H6" s="15" t="str">
        <x:v>row_status</x:v>
      </x:c>
      <x:c r="I6" s="15" t="str">
        <x:v>note</x:v>
      </x:c>
    </x:row>
    <x:row r="7" ht="32" customHeight="1">
      <x:c r="A7" s="19" t="str">
        <x:v>BR-SU7-STD-PRO</x:v>
      </x:c>
      <x:c r="B7" s="19" t="str">
        <x:v>SU7</x:v>
      </x:c>
      <x:c r="C7" s="19" t="str">
        <x:v>M01_BATTERY</x:v>
      </x:c>
      <x:c r="D7" s="21" t="n">
        <x:f>SUM('02_桥接拆项'!I7)</x:f>
        <x:v>11650</x:v>
      </x:c>
      <x:c r="E7" s="21" t="n">
        <x:f>SUM('02_桥接拆项'!J7)</x:f>
        <x:v>13514</x:v>
      </x:c>
      <x:c r="F7" s="21" t="n">
        <x:f>SUM('02_桥接拆项'!K7)</x:f>
        <x:v>15844</x:v>
      </x:c>
      <x:c r="G7" s="19" t="str">
        <x:f>IF(AND(D7&lt;=E7,E7&lt;=F7),"PASS","FAIL")</x:f>
        <x:v>PASS</x:v>
      </x:c>
      <x:c r="H7" s="19" t="str">
        <x:v>CORE_COST</x:v>
      </x:c>
      <x:c r="I7" s="19" t="str">
        <x:v>1条核心原子项。</x:v>
      </x:c>
    </x:row>
    <x:row r="8" ht="32" customHeight="1">
      <x:c r="A8" s="20" t="str">
        <x:v>BR-SU7-STD-PRO</x:v>
      </x:c>
      <x:c r="B8" s="20" t="str">
        <x:v>SU7</x:v>
      </x:c>
      <x:c r="C8" s="20" t="str">
        <x:v>M02_EDRIVE</x:v>
      </x:c>
      <x:c r="D8" s="22" t="n">
        <x:f>0</x:f>
        <x:v>0</x:v>
      </x:c>
      <x:c r="E8" s="22" t="n">
        <x:f>0</x:f>
        <x:v>0</x:v>
      </x:c>
      <x:c r="F8" s="22" t="n">
        <x:f>0</x:f>
        <x:v>0</x:v>
      </x:c>
      <x:c r="G8" s="20" t="str">
        <x:f>IF(AND(D8&lt;=E8,E8&lt;=F8),"PASS","FAIL")</x:f>
        <x:v>PASS</x:v>
      </x:c>
      <x:c r="H8" s="20" t="str">
        <x:v>NO_BASE_DELTA</x:v>
      </x:c>
      <x:c r="I8" s="20" t="str">
        <x:v>七车相邻版本未观察到该模块base硬件差异。</x:v>
      </x:c>
    </x:row>
    <x:row r="9" ht="32" customHeight="1">
      <x:c r="A9" s="19" t="str">
        <x:v>BR-SU7-STD-PRO</x:v>
      </x:c>
      <x:c r="B9" s="19" t="str">
        <x:v>SU7</x:v>
      </x:c>
      <x:c r="C9" s="19" t="str">
        <x:v>M03_HIGH_VOLTAGE</x:v>
      </x:c>
      <x:c r="D9" s="21" t="n">
        <x:f>0</x:f>
        <x:v>0</x:v>
      </x:c>
      <x:c r="E9" s="21" t="n">
        <x:f>0</x:f>
        <x:v>0</x:v>
      </x:c>
      <x:c r="F9" s="21" t="n">
        <x:f>0</x:f>
        <x:v>0</x:v>
      </x:c>
      <x:c r="G9" s="19" t="str">
        <x:f>IF(AND(D9&lt;=E9,E9&lt;=F9),"PASS","FAIL")</x:f>
        <x:v>PASS</x:v>
      </x:c>
      <x:c r="H9" s="19" t="str">
        <x:v>NO_BASE_DELTA</x:v>
      </x:c>
      <x:c r="I9" s="19" t="str">
        <x:v>七车相邻版本未观察到该模块base硬件差异。</x:v>
      </x:c>
    </x:row>
    <x:row r="10" ht="32" customHeight="1">
      <x:c r="A10" s="20" t="str">
        <x:v>BR-SU7-STD-PRO</x:v>
      </x:c>
      <x:c r="B10" s="20" t="str">
        <x:v>SU7</x:v>
      </x:c>
      <x:c r="C10" s="20" t="str">
        <x:v>M04_CHASSIS</x:v>
      </x:c>
      <x:c r="D10" s="22" t="n">
        <x:f>SUM('02_桥接拆项'!I8,'02_桥接拆项'!I9)</x:f>
        <x:v>5600</x:v>
      </x:c>
      <x:c r="E10" s="22" t="n">
        <x:f>SUM('02_桥接拆项'!J8,'02_桥接拆项'!J9)</x:f>
        <x:v>7500</x:v>
      </x:c>
      <x:c r="F10" s="22" t="n">
        <x:f>SUM('02_桥接拆项'!K8,'02_桥接拆项'!K9)</x:f>
        <x:v>9500</x:v>
      </x:c>
      <x:c r="G10" s="20" t="str">
        <x:f>IF(AND(D10&lt;=E10,E10&lt;=F10),"PASS","FAIL")</x:f>
        <x:v>PASS</x:v>
      </x:c>
      <x:c r="H10" s="20" t="str">
        <x:v>CORE_COST</x:v>
      </x:c>
      <x:c r="I10" s="20" t="str">
        <x:v>2条核心原子项。</x:v>
      </x:c>
    </x:row>
    <x:row r="11" ht="32" customHeight="1">
      <x:c r="A11" s="19" t="str">
        <x:v>BR-SU7-STD-PRO</x:v>
      </x:c>
      <x:c r="B11" s="19" t="str">
        <x:v>SU7</x:v>
      </x:c>
      <x:c r="C11" s="19" t="str">
        <x:v>M05_ADAS</x:v>
      </x:c>
      <x:c r="D11" s="21" t="n">
        <x:f>0</x:f>
        <x:v>0</x:v>
      </x:c>
      <x:c r="E11" s="21" t="n">
        <x:f>0</x:f>
        <x:v>0</x:v>
      </x:c>
      <x:c r="F11" s="21" t="n">
        <x:f>0</x:f>
        <x:v>0</x:v>
      </x:c>
      <x:c r="G11" s="19" t="str">
        <x:f>IF(AND(D11&lt;=E11,E11&lt;=F11),"PASS","FAIL")</x:f>
        <x:v>PASS</x:v>
      </x:c>
      <x:c r="H11" s="19" t="str">
        <x:v>NO_BASE_DELTA</x:v>
      </x:c>
      <x:c r="I11" s="19" t="str">
        <x:v>七车相邻版本未观察到该模块base硬件差异。</x:v>
      </x:c>
    </x:row>
    <x:row r="12" ht="32" customHeight="1">
      <x:c r="A12" s="20" t="str">
        <x:v>BR-SU7-STD-PRO</x:v>
      </x:c>
      <x:c r="B12" s="20" t="str">
        <x:v>SU7</x:v>
      </x:c>
      <x:c r="C12" s="20" t="str">
        <x:v>M06_COCKPIT</x:v>
      </x:c>
      <x:c r="D12" s="22" t="n">
        <x:f>0</x:f>
        <x:v>0</x:v>
      </x:c>
      <x:c r="E12" s="22" t="n">
        <x:f>0</x:f>
        <x:v>0</x:v>
      </x:c>
      <x:c r="F12" s="22" t="n">
        <x:f>0</x:f>
        <x:v>0</x:v>
      </x:c>
      <x:c r="G12" s="20" t="str">
        <x:f>IF(AND(D12&lt;=E12,E12&lt;=F12),"PASS","FAIL")</x:f>
        <x:v>PASS</x:v>
      </x:c>
      <x:c r="H12" s="20" t="str">
        <x:v>NO_BASE_DELTA</x:v>
      </x:c>
      <x:c r="I12" s="20" t="str">
        <x:v>七车相邻版本未观察到该模块base硬件差异。</x:v>
      </x:c>
    </x:row>
    <x:row r="13" ht="32" customHeight="1">
      <x:c r="A13" s="19" t="str">
        <x:v>BR-SU7-STD-PRO</x:v>
      </x:c>
      <x:c r="B13" s="19" t="str">
        <x:v>SU7</x:v>
      </x:c>
      <x:c r="C13" s="19" t="str">
        <x:v>M07_BODY</x:v>
      </x:c>
      <x:c r="D13" s="21" t="n">
        <x:f>0</x:f>
        <x:v>0</x:v>
      </x:c>
      <x:c r="E13" s="21" t="n">
        <x:f>0</x:f>
        <x:v>0</x:v>
      </x:c>
      <x:c r="F13" s="21" t="n">
        <x:f>0</x:f>
        <x:v>0</x:v>
      </x:c>
      <x:c r="G13" s="19" t="str">
        <x:f>IF(AND(D13&lt;=E13,E13&lt;=F13),"PASS","FAIL")</x:f>
        <x:v>PASS</x:v>
      </x:c>
      <x:c r="H13" s="19" t="str">
        <x:v>NO_BASE_DELTA</x:v>
      </x:c>
      <x:c r="I13" s="19" t="str">
        <x:v>七车相邻版本未观察到该模块base硬件差异。</x:v>
      </x:c>
    </x:row>
    <x:row r="14" ht="32" customHeight="1">
      <x:c r="A14" s="20" t="str">
        <x:v>BR-SU7-STD-PRO</x:v>
      </x:c>
      <x:c r="B14" s="20" t="str">
        <x:v>SU7</x:v>
      </x:c>
      <x:c r="C14" s="20" t="str">
        <x:v>M08_COMFORT</x:v>
      </x:c>
      <x:c r="D14" s="22" t="n">
        <x:f>0</x:f>
        <x:v>0</x:v>
      </x:c>
      <x:c r="E14" s="22" t="n">
        <x:f>0</x:f>
        <x:v>0</x:v>
      </x:c>
      <x:c r="F14" s="22" t="n">
        <x:f>0</x:f>
        <x:v>0</x:v>
      </x:c>
      <x:c r="G14" s="20" t="str">
        <x:f>IF(AND(D14&lt;=E14,E14&lt;=F14),"PASS","FAIL")</x:f>
        <x:v>PASS</x:v>
      </x:c>
      <x:c r="H14" s="20" t="str">
        <x:v>NO_BASE_DELTA</x:v>
      </x:c>
      <x:c r="I14" s="20" t="str">
        <x:v>七车相邻版本未观察到该模块base硬件差异。</x:v>
      </x:c>
    </x:row>
    <x:row r="15" ht="32" customHeight="1">
      <x:c r="A15" s="19" t="str">
        <x:v>BR-SU7-STD-PRO</x:v>
      </x:c>
      <x:c r="B15" s="19" t="str">
        <x:v>SU7</x:v>
      </x:c>
      <x:c r="C15" s="19" t="str">
        <x:v>M09_MANUFACTURING</x:v>
      </x:c>
      <x:c r="D15" s="21" t="n">
        <x:f>ROUND(SUM(D7:D14)*'01_原子成本假设'!$E$47,2)</x:f>
        <x:v>172.5</x:v>
      </x:c>
      <x:c r="E15" s="21" t="n">
        <x:f>ROUND(SUM(E7:E14)*'01_原子成本假设'!$F$47,2)</x:f>
        <x:v>420.28</x:v>
      </x:c>
      <x:c r="F15" s="21" t="n">
        <x:f>ROUND(SUM(F7:F14)*'01_原子成本假设'!$G$47,2)</x:f>
        <x:v>1013.76</x:v>
      </x:c>
      <x:c r="G15" s="19" t="str">
        <x:f>IF(AND(D15&lt;=E15,E15&lt;=F15),"PASS","FAIL")</x:f>
        <x:v>PASS</x:v>
      </x:c>
      <x:c r="H15" s="19" t="str">
        <x:v>OVERLAY_ASSUMPTION</x:v>
      </x:c>
      <x:c r="I15" s="19" t="str">
        <x:v>以物理BOM为基数；不得复利或用于配平。</x:v>
      </x:c>
    </x:row>
    <x:row r="16" ht="32" customHeight="1">
      <x:c r="A16" s="20" t="str">
        <x:v>BR-SU7-STD-PRO</x:v>
      </x:c>
      <x:c r="B16" s="20" t="str">
        <x:v>SU7</x:v>
      </x:c>
      <x:c r="C16" s="20" t="str">
        <x:v>M10_WARRANTY</x:v>
      </x:c>
      <x:c r="D16" s="22" t="n">
        <x:f>ROUND(SUM(D7:D14)*'01_原子成本假设'!$E$48,2)</x:f>
        <x:v>86.25</x:v>
      </x:c>
      <x:c r="E16" s="22" t="n">
        <x:f>ROUND(SUM(E7:E14)*'01_原子成本假设'!$F$48,2)</x:f>
        <x:v>315.21</x:v>
      </x:c>
      <x:c r="F16" s="22" t="n">
        <x:f>ROUND(SUM(F7:F14)*'01_原子成本假设'!$G$48,2)</x:f>
        <x:v>760.32</x:v>
      </x:c>
      <x:c r="G16" s="20" t="str">
        <x:f>IF(AND(D16&lt;=E16,E16&lt;=F16),"PASS","FAIL")</x:f>
        <x:v>PASS</x:v>
      </x:c>
      <x:c r="H16" s="20" t="str">
        <x:v>OVERLAY_ASSUMPTION</x:v>
      </x:c>
      <x:c r="I16" s="20" t="str">
        <x:v>以物理BOM为基数；不得复利或用于配平。</x:v>
      </x:c>
    </x:row>
    <x:row r="17" ht="32" customHeight="1">
      <x:c r="A17" s="19" t="str">
        <x:v>BR-SU7-PRO-MAX</x:v>
      </x:c>
      <x:c r="B17" s="19" t="str">
        <x:v>SU7</x:v>
      </x:c>
      <x:c r="C17" s="19" t="str">
        <x:v>M01_BATTERY</x:v>
      </x:c>
      <x:c r="D17" s="21" t="n">
        <x:f>SUM('02_桥接拆项'!I10)</x:f>
        <x:v>21006</x:v>
      </x:c>
      <x:c r="E17" s="21" t="n">
        <x:f>SUM('02_桥接拆项'!J10)</x:f>
        <x:v>25506</x:v>
      </x:c>
      <x:c r="F17" s="21" t="n">
        <x:f>SUM('02_桥接拆项'!K10)</x:f>
        <x:v>29097</x:v>
      </x:c>
      <x:c r="G17" s="19" t="str">
        <x:f>IF(AND(D17&lt;=E17,E17&lt;=F17),"PASS","FAIL")</x:f>
        <x:v>PASS</x:v>
      </x:c>
      <x:c r="H17" s="19" t="str">
        <x:v>CORE_COST</x:v>
      </x:c>
      <x:c r="I17" s="19" t="str">
        <x:v>1条核心原子项。</x:v>
      </x:c>
    </x:row>
    <x:row r="18" ht="32" customHeight="1">
      <x:c r="A18" s="20" t="str">
        <x:v>BR-SU7-PRO-MAX</x:v>
      </x:c>
      <x:c r="B18" s="20" t="str">
        <x:v>SU7</x:v>
      </x:c>
      <x:c r="C18" s="20" t="str">
        <x:v>M02_EDRIVE</x:v>
      </x:c>
      <x:c r="D18" s="22" t="n">
        <x:f>SUM('02_桥接拆项'!I11)</x:f>
        <x:v>7000</x:v>
      </x:c>
      <x:c r="E18" s="22" t="n">
        <x:f>SUM('02_桥接拆项'!J11)</x:f>
        <x:v>9500</x:v>
      </x:c>
      <x:c r="F18" s="22" t="n">
        <x:f>SUM('02_桥接拆项'!K11)</x:f>
        <x:v>12500</x:v>
      </x:c>
      <x:c r="G18" s="20" t="str">
        <x:f>IF(AND(D18&lt;=E18,E18&lt;=F18),"PASS","FAIL")</x:f>
        <x:v>PASS</x:v>
      </x:c>
      <x:c r="H18" s="20" t="str">
        <x:v>CORE_COST</x:v>
      </x:c>
      <x:c r="I18" s="20" t="str">
        <x:v>1条核心原子项。</x:v>
      </x:c>
    </x:row>
    <x:row r="19" ht="32" customHeight="1">
      <x:c r="A19" s="19" t="str">
        <x:v>BR-SU7-PRO-MAX</x:v>
      </x:c>
      <x:c r="B19" s="19" t="str">
        <x:v>SU7</x:v>
      </x:c>
      <x:c r="C19" s="19" t="str">
        <x:v>M03_HIGH_VOLTAGE</x:v>
      </x:c>
      <x:c r="D19" s="21" t="n">
        <x:f>SUM('02_桥接拆项'!I12)</x:f>
        <x:v>800</x:v>
      </x:c>
      <x:c r="E19" s="21" t="n">
        <x:f>SUM('02_桥接拆项'!J12)</x:f>
        <x:v>1500</x:v>
      </x:c>
      <x:c r="F19" s="21" t="n">
        <x:f>SUM('02_桥接拆项'!K12)</x:f>
        <x:v>2500</x:v>
      </x:c>
      <x:c r="G19" s="19" t="str">
        <x:f>IF(AND(D19&lt;=E19,E19&lt;=F19),"PASS","FAIL")</x:f>
        <x:v>PASS</x:v>
      </x:c>
      <x:c r="H19" s="19" t="str">
        <x:v>CORE_COST</x:v>
      </x:c>
      <x:c r="I19" s="19" t="str">
        <x:v>1条核心原子项。</x:v>
      </x:c>
    </x:row>
    <x:row r="20" ht="32" customHeight="1">
      <x:c r="A20" s="20" t="str">
        <x:v>BR-SU7-PRO-MAX</x:v>
      </x:c>
      <x:c r="B20" s="20" t="str">
        <x:v>SU7</x:v>
      </x:c>
      <x:c r="C20" s="20" t="str">
        <x:v>M04_CHASSIS</x:v>
      </x:c>
      <x:c r="D20" s="22" t="n">
        <x:f>SUM('02_桥接拆项'!I13,'02_桥接拆项'!I14)</x:f>
        <x:v>270</x:v>
      </x:c>
      <x:c r="E20" s="22" t="n">
        <x:f>SUM('02_桥接拆项'!J13,'02_桥接拆项'!J14)</x:f>
        <x:v>590</x:v>
      </x:c>
      <x:c r="F20" s="22" t="n">
        <x:f>SUM('02_桥接拆项'!K13,'02_桥接拆项'!K14)</x:f>
        <x:v>1070</x:v>
      </x:c>
      <x:c r="G20" s="20" t="str">
        <x:f>IF(AND(D20&lt;=E20,E20&lt;=F20),"PASS","FAIL")</x:f>
        <x:v>PASS</x:v>
      </x:c>
      <x:c r="H20" s="20" t="str">
        <x:v>CORE_COST</x:v>
      </x:c>
      <x:c r="I20" s="20" t="str">
        <x:v>2条核心原子项。</x:v>
      </x:c>
    </x:row>
    <x:row r="21" ht="32" customHeight="1">
      <x:c r="A21" s="19" t="str">
        <x:v>BR-SU7-PRO-MAX</x:v>
      </x:c>
      <x:c r="B21" s="19" t="str">
        <x:v>SU7</x:v>
      </x:c>
      <x:c r="C21" s="19" t="str">
        <x:v>M05_ADAS</x:v>
      </x:c>
      <x:c r="D21" s="21" t="n">
        <x:f>0</x:f>
        <x:v>0</x:v>
      </x:c>
      <x:c r="E21" s="21" t="n">
        <x:f>0</x:f>
        <x:v>0</x:v>
      </x:c>
      <x:c r="F21" s="21" t="n">
        <x:f>0</x:f>
        <x:v>0</x:v>
      </x:c>
      <x:c r="G21" s="19" t="str">
        <x:f>IF(AND(D21&lt;=E21,E21&lt;=F21),"PASS","FAIL")</x:f>
        <x:v>PASS</x:v>
      </x:c>
      <x:c r="H21" s="19" t="str">
        <x:v>NO_BASE_DELTA</x:v>
      </x:c>
      <x:c r="I21" s="19" t="str">
        <x:v>七车相邻版本未观察到该模块base硬件差异。</x:v>
      </x:c>
    </x:row>
    <x:row r="22" ht="32" customHeight="1">
      <x:c r="A22" s="20" t="str">
        <x:v>BR-SU7-PRO-MAX</x:v>
      </x:c>
      <x:c r="B22" s="20" t="str">
        <x:v>SU7</x:v>
      </x:c>
      <x:c r="C22" s="20" t="str">
        <x:v>M06_COCKPIT</x:v>
      </x:c>
      <x:c r="D22" s="22" t="n">
        <x:f>SUM('02_桥接拆项'!I15,'02_桥接拆项'!I16)</x:f>
        <x:v>950</x:v>
      </x:c>
      <x:c r="E22" s="22" t="n">
        <x:f>SUM('02_桥接拆项'!J15,'02_桥接拆项'!J16)</x:f>
        <x:v>1350</x:v>
      </x:c>
      <x:c r="F22" s="22" t="n">
        <x:f>SUM('02_桥接拆项'!K15,'02_桥接拆项'!K16)</x:f>
        <x:v>2000</x:v>
      </x:c>
      <x:c r="G22" s="20" t="str">
        <x:f>IF(AND(D22&lt;=E22,E22&lt;=F22),"PASS","FAIL")</x:f>
        <x:v>PASS</x:v>
      </x:c>
      <x:c r="H22" s="20" t="str">
        <x:v>CORE_COST</x:v>
      </x:c>
      <x:c r="I22" s="20" t="str">
        <x:v>2条核心原子项。</x:v>
      </x:c>
    </x:row>
    <x:row r="23" ht="32" customHeight="1">
      <x:c r="A23" s="19" t="str">
        <x:v>BR-SU7-PRO-MAX</x:v>
      </x:c>
      <x:c r="B23" s="19" t="str">
        <x:v>SU7</x:v>
      </x:c>
      <x:c r="C23" s="19" t="str">
        <x:v>M07_BODY</x:v>
      </x:c>
      <x:c r="D23" s="21" t="n">
        <x:f>SUM('02_桥接拆项'!I17,'02_桥接拆项'!I18,'02_桥接拆项'!I19,'02_桥接拆项'!I20)</x:f>
        <x:v>2340</x:v>
      </x:c>
      <x:c r="E23" s="21" t="n">
        <x:f>SUM('02_桥接拆项'!J17,'02_桥接拆项'!J18,'02_桥接拆项'!J19,'02_桥接拆项'!J20)</x:f>
        <x:v>3580</x:v>
      </x:c>
      <x:c r="F23" s="21" t="n">
        <x:f>SUM('02_桥接拆项'!K17,'02_桥接拆项'!K18,'02_桥接拆项'!K19,'02_桥接拆项'!K20)</x:f>
        <x:v>5420</x:v>
      </x:c>
      <x:c r="G23" s="19" t="str">
        <x:f>IF(AND(D23&lt;=E23,E23&lt;=F23),"PASS","FAIL")</x:f>
        <x:v>PASS</x:v>
      </x:c>
      <x:c r="H23" s="19" t="str">
        <x:v>CORE_COST</x:v>
      </x:c>
      <x:c r="I23" s="19" t="str">
        <x:v>4条核心原子项。</x:v>
      </x:c>
    </x:row>
    <x:row r="24" ht="32" customHeight="1">
      <x:c r="A24" s="20" t="str">
        <x:v>BR-SU7-PRO-MAX</x:v>
      </x:c>
      <x:c r="B24" s="20" t="str">
        <x:v>SU7</x:v>
      </x:c>
      <x:c r="C24" s="20" t="str">
        <x:v>M08_COMFORT</x:v>
      </x:c>
      <x:c r="D24" s="22" t="n">
        <x:f>SUM('02_桥接拆项'!I21,'02_桥接拆项'!I22,'02_桥接拆项'!I23,'02_桥接拆项'!I24)</x:f>
        <x:v>2150</x:v>
      </x:c>
      <x:c r="E24" s="22" t="n">
        <x:f>SUM('02_桥接拆项'!J21,'02_桥接拆项'!J22,'02_桥接拆项'!J23,'02_桥接拆项'!J24)</x:f>
        <x:v>3000</x:v>
      </x:c>
      <x:c r="F24" s="22" t="n">
        <x:f>SUM('02_桥接拆项'!K21,'02_桥接拆项'!K22,'02_桥接拆项'!K23,'02_桥接拆项'!K24)</x:f>
        <x:v>4150</x:v>
      </x:c>
      <x:c r="G24" s="20" t="str">
        <x:f>IF(AND(D24&lt;=E24,E24&lt;=F24),"PASS","FAIL")</x:f>
        <x:v>PASS</x:v>
      </x:c>
      <x:c r="H24" s="20" t="str">
        <x:v>CORE_COST</x:v>
      </x:c>
      <x:c r="I24" s="20" t="str">
        <x:v>4条核心原子项。</x:v>
      </x:c>
    </x:row>
    <x:row r="25" ht="32" customHeight="1">
      <x:c r="A25" s="19" t="str">
        <x:v>BR-SU7-PRO-MAX</x:v>
      </x:c>
      <x:c r="B25" s="19" t="str">
        <x:v>SU7</x:v>
      </x:c>
      <x:c r="C25" s="19" t="str">
        <x:v>M09_MANUFACTURING</x:v>
      </x:c>
      <x:c r="D25" s="21" t="n">
        <x:f>ROUND(SUM(D17:D24)*'01_原子成本假设'!$E$47,2)</x:f>
        <x:v>345.16</x:v>
      </x:c>
      <x:c r="E25" s="21" t="n">
        <x:f>ROUND(SUM(E17:E24)*'01_原子成本假设'!$F$47,2)</x:f>
        <x:v>900.52</x:v>
      </x:c>
      <x:c r="F25" s="21" t="n">
        <x:f>ROUND(SUM(F17:F24)*'01_原子成本假设'!$G$47,2)</x:f>
        <x:v>2269.48</x:v>
      </x:c>
      <x:c r="G25" s="19" t="str">
        <x:f>IF(AND(D25&lt;=E25,E25&lt;=F25),"PASS","FAIL")</x:f>
        <x:v>PASS</x:v>
      </x:c>
      <x:c r="H25" s="19" t="str">
        <x:v>OVERLAY_ASSUMPTION</x:v>
      </x:c>
      <x:c r="I25" s="19" t="str">
        <x:v>以物理BOM为基数；不得复利或用于配平。</x:v>
      </x:c>
    </x:row>
    <x:row r="26" ht="32" customHeight="1">
      <x:c r="A26" s="20" t="str">
        <x:v>BR-SU7-PRO-MAX</x:v>
      </x:c>
      <x:c r="B26" s="20" t="str">
        <x:v>SU7</x:v>
      </x:c>
      <x:c r="C26" s="20" t="str">
        <x:v>M10_WARRANTY</x:v>
      </x:c>
      <x:c r="D26" s="22" t="n">
        <x:f>ROUND(SUM(D17:D24)*'01_原子成本假设'!$E$48,2)</x:f>
        <x:v>172.58</x:v>
      </x:c>
      <x:c r="E26" s="22" t="n">
        <x:f>ROUND(SUM(E17:E24)*'01_原子成本假设'!$F$48,2)</x:f>
        <x:v>675.39</x:v>
      </x:c>
      <x:c r="F26" s="22" t="n">
        <x:f>ROUND(SUM(F17:F24)*'01_原子成本假设'!$G$48,2)</x:f>
        <x:v>1702.11</x:v>
      </x:c>
      <x:c r="G26" s="20" t="str">
        <x:f>IF(AND(D26&lt;=E26,E26&lt;=F26),"PASS","FAIL")</x:f>
        <x:v>PASS</x:v>
      </x:c>
      <x:c r="H26" s="20" t="str">
        <x:v>OVERLAY_ASSUMPTION</x:v>
      </x:c>
      <x:c r="I26" s="20" t="str">
        <x:v>以物理BOM为基数；不得复利或用于配平。</x:v>
      </x:c>
    </x:row>
    <x:row r="27" ht="32" customHeight="1">
      <x:c r="A27" s="19" t="str">
        <x:v>BR-YU7-STD-LR</x:v>
      </x:c>
      <x:c r="B27" s="19" t="str">
        <x:v>YU7</x:v>
      </x:c>
      <x:c r="C27" s="19" t="str">
        <x:v>M01_BATTERY</x:v>
      </x:c>
      <x:c r="D27" s="21" t="n">
        <x:f>SUM('02_桥接拆项'!I25)</x:f>
        <x:v>11650</x:v>
      </x:c>
      <x:c r="E27" s="21" t="n">
        <x:f>SUM('02_桥接拆项'!J25)</x:f>
        <x:v>13514</x:v>
      </x:c>
      <x:c r="F27" s="21" t="n">
        <x:f>SUM('02_桥接拆项'!K25)</x:f>
        <x:v>15844</x:v>
      </x:c>
      <x:c r="G27" s="19" t="str">
        <x:f>IF(AND(D27&lt;=E27,E27&lt;=F27),"PASS","FAIL")</x:f>
        <x:v>PASS</x:v>
      </x:c>
      <x:c r="H27" s="19" t="str">
        <x:v>CORE_COST</x:v>
      </x:c>
      <x:c r="I27" s="19" t="str">
        <x:v>1条核心原子项。</x:v>
      </x:c>
    </x:row>
    <x:row r="28" ht="32" customHeight="1">
      <x:c r="A28" s="20" t="str">
        <x:v>BR-YU7-STD-LR</x:v>
      </x:c>
      <x:c r="B28" s="20" t="str">
        <x:v>YU7</x:v>
      </x:c>
      <x:c r="C28" s="20" t="str">
        <x:v>M02_EDRIVE</x:v>
      </x:c>
      <x:c r="D28" s="22" t="n">
        <x:f>0</x:f>
        <x:v>0</x:v>
      </x:c>
      <x:c r="E28" s="22" t="n">
        <x:f>0</x:f>
        <x:v>0</x:v>
      </x:c>
      <x:c r="F28" s="22" t="n">
        <x:f>0</x:f>
        <x:v>0</x:v>
      </x:c>
      <x:c r="G28" s="20" t="str">
        <x:f>IF(AND(D28&lt;=E28,E28&lt;=F28),"PASS","FAIL")</x:f>
        <x:v>PASS</x:v>
      </x:c>
      <x:c r="H28" s="20" t="str">
        <x:v>NO_BASE_DELTA</x:v>
      </x:c>
      <x:c r="I28" s="20" t="str">
        <x:v>七车相邻版本未观察到该模块base硬件差异。</x:v>
      </x:c>
    </x:row>
    <x:row r="29" ht="32" customHeight="1">
      <x:c r="A29" s="19" t="str">
        <x:v>BR-YU7-STD-LR</x:v>
      </x:c>
      <x:c r="B29" s="19" t="str">
        <x:v>YU7</x:v>
      </x:c>
      <x:c r="C29" s="19" t="str">
        <x:v>M03_HIGH_VOLTAGE</x:v>
      </x:c>
      <x:c r="D29" s="21" t="n">
        <x:f>0</x:f>
        <x:v>0</x:v>
      </x:c>
      <x:c r="E29" s="21" t="n">
        <x:f>0</x:f>
        <x:v>0</x:v>
      </x:c>
      <x:c r="F29" s="21" t="n">
        <x:f>0</x:f>
        <x:v>0</x:v>
      </x:c>
      <x:c r="G29" s="19" t="str">
        <x:f>IF(AND(D29&lt;=E29,E29&lt;=F29),"PASS","FAIL")</x:f>
        <x:v>PASS</x:v>
      </x:c>
      <x:c r="H29" s="19" t="str">
        <x:v>NO_BASE_DELTA</x:v>
      </x:c>
      <x:c r="I29" s="19" t="str">
        <x:v>七车相邻版本未观察到该模块base硬件差异。</x:v>
      </x:c>
    </x:row>
    <x:row r="30" ht="32" customHeight="1">
      <x:c r="A30" s="20" t="str">
        <x:v>BR-YU7-STD-LR</x:v>
      </x:c>
      <x:c r="B30" s="20" t="str">
        <x:v>YU7</x:v>
      </x:c>
      <x:c r="C30" s="20" t="str">
        <x:v>M04_CHASSIS</x:v>
      </x:c>
      <x:c r="D30" s="22" t="n">
        <x:f>SUM('02_桥接拆项'!I26)</x:f>
        <x:v>1800</x:v>
      </x:c>
      <x:c r="E30" s="22" t="n">
        <x:f>SUM('02_桥接拆项'!J26)</x:f>
        <x:v>2500</x:v>
      </x:c>
      <x:c r="F30" s="22" t="n">
        <x:f>SUM('02_桥接拆项'!K26)</x:f>
        <x:v>3200</x:v>
      </x:c>
      <x:c r="G30" s="20" t="str">
        <x:f>IF(AND(D30&lt;=E30,E30&lt;=F30),"PASS","FAIL")</x:f>
        <x:v>PASS</x:v>
      </x:c>
      <x:c r="H30" s="20" t="str">
        <x:v>CORE_COST</x:v>
      </x:c>
      <x:c r="I30" s="20" t="str">
        <x:v>1条核心原子项。</x:v>
      </x:c>
    </x:row>
    <x:row r="31" ht="32" customHeight="1">
      <x:c r="A31" s="19" t="str">
        <x:v>BR-YU7-STD-LR</x:v>
      </x:c>
      <x:c r="B31" s="19" t="str">
        <x:v>YU7</x:v>
      </x:c>
      <x:c r="C31" s="19" t="str">
        <x:v>M05_ADAS</x:v>
      </x:c>
      <x:c r="D31" s="21" t="n">
        <x:f>0</x:f>
        <x:v>0</x:v>
      </x:c>
      <x:c r="E31" s="21" t="n">
        <x:f>0</x:f>
        <x:v>0</x:v>
      </x:c>
      <x:c r="F31" s="21" t="n">
        <x:f>0</x:f>
        <x:v>0</x:v>
      </x:c>
      <x:c r="G31" s="19" t="str">
        <x:f>IF(AND(D31&lt;=E31,E31&lt;=F31),"PASS","FAIL")</x:f>
        <x:v>PASS</x:v>
      </x:c>
      <x:c r="H31" s="19" t="str">
        <x:v>NO_BASE_DELTA</x:v>
      </x:c>
      <x:c r="I31" s="19" t="str">
        <x:v>七车相邻版本未观察到该模块base硬件差异。</x:v>
      </x:c>
    </x:row>
    <x:row r="32" ht="32" customHeight="1">
      <x:c r="A32" s="20" t="str">
        <x:v>BR-YU7-STD-LR</x:v>
      </x:c>
      <x:c r="B32" s="20" t="str">
        <x:v>YU7</x:v>
      </x:c>
      <x:c r="C32" s="20" t="str">
        <x:v>M06_COCKPIT</x:v>
      </x:c>
      <x:c r="D32" s="22" t="n">
        <x:f>SUM('02_桥接拆项'!I27)</x:f>
        <x:v>400</x:v>
      </x:c>
      <x:c r="E32" s="22" t="n">
        <x:f>SUM('02_桥接拆项'!J27)</x:f>
        <x:v>600</x:v>
      </x:c>
      <x:c r="F32" s="22" t="n">
        <x:f>SUM('02_桥接拆项'!K27)</x:f>
        <x:v>850</x:v>
      </x:c>
      <x:c r="G32" s="20" t="str">
        <x:f>IF(AND(D32&lt;=E32,E32&lt;=F32),"PASS","FAIL")</x:f>
        <x:v>PASS</x:v>
      </x:c>
      <x:c r="H32" s="20" t="str">
        <x:v>CORE_COST</x:v>
      </x:c>
      <x:c r="I32" s="20" t="str">
        <x:v>1条核心原子项。</x:v>
      </x:c>
    </x:row>
    <x:row r="33" ht="32" customHeight="1">
      <x:c r="A33" s="19" t="str">
        <x:v>BR-YU7-STD-LR</x:v>
      </x:c>
      <x:c r="B33" s="19" t="str">
        <x:v>YU7</x:v>
      </x:c>
      <x:c r="C33" s="19" t="str">
        <x:v>M07_BODY</x:v>
      </x:c>
      <x:c r="D33" s="21" t="n">
        <x:f>0</x:f>
        <x:v>0</x:v>
      </x:c>
      <x:c r="E33" s="21" t="n">
        <x:f>0</x:f>
        <x:v>0</x:v>
      </x:c>
      <x:c r="F33" s="21" t="n">
        <x:f>0</x:f>
        <x:v>0</x:v>
      </x:c>
      <x:c r="G33" s="19" t="str">
        <x:f>IF(AND(D33&lt;=E33,E33&lt;=F33),"PASS","FAIL")</x:f>
        <x:v>PASS</x:v>
      </x:c>
      <x:c r="H33" s="19" t="str">
        <x:v>NO_BASE_DELTA</x:v>
      </x:c>
      <x:c r="I33" s="19" t="str">
        <x:v>七车相邻版本未观察到该模块base硬件差异。</x:v>
      </x:c>
    </x:row>
    <x:row r="34" ht="32" customHeight="1">
      <x:c r="A34" s="20" t="str">
        <x:v>BR-YU7-STD-LR</x:v>
      </x:c>
      <x:c r="B34" s="20" t="str">
        <x:v>YU7</x:v>
      </x:c>
      <x:c r="C34" s="20" t="str">
        <x:v>M08_COMFORT</x:v>
      </x:c>
      <x:c r="D34" s="22" t="n">
        <x:f>0</x:f>
        <x:v>0</x:v>
      </x:c>
      <x:c r="E34" s="22" t="n">
        <x:f>0</x:f>
        <x:v>0</x:v>
      </x:c>
      <x:c r="F34" s="22" t="n">
        <x:f>0</x:f>
        <x:v>0</x:v>
      </x:c>
      <x:c r="G34" s="20" t="str">
        <x:f>IF(AND(D34&lt;=E34,E34&lt;=F34),"PASS","FAIL")</x:f>
        <x:v>PASS</x:v>
      </x:c>
      <x:c r="H34" s="20" t="str">
        <x:v>NO_BASE_DELTA</x:v>
      </x:c>
      <x:c r="I34" s="20" t="str">
        <x:v>七车相邻版本未观察到该模块base硬件差异。</x:v>
      </x:c>
    </x:row>
    <x:row r="35" ht="32" customHeight="1">
      <x:c r="A35" s="19" t="str">
        <x:v>BR-YU7-STD-LR</x:v>
      </x:c>
      <x:c r="B35" s="19" t="str">
        <x:v>YU7</x:v>
      </x:c>
      <x:c r="C35" s="19" t="str">
        <x:v>M09_MANUFACTURING</x:v>
      </x:c>
      <x:c r="D35" s="21" t="n">
        <x:f>ROUND(SUM(D27:D34)*'01_原子成本假设'!$E$47,2)</x:f>
        <x:v>138.5</x:v>
      </x:c>
      <x:c r="E35" s="21" t="n">
        <x:f>ROUND(SUM(E27:E34)*'01_原子成本假设'!$F$47,2)</x:f>
        <x:v>332.28</x:v>
      </x:c>
      <x:c r="F35" s="21" t="n">
        <x:f>ROUND(SUM(F27:F34)*'01_原子成本假设'!$G$47,2)</x:f>
        <x:v>795.76</x:v>
      </x:c>
      <x:c r="G35" s="19" t="str">
        <x:f>IF(AND(D35&lt;=E35,E35&lt;=F35),"PASS","FAIL")</x:f>
        <x:v>PASS</x:v>
      </x:c>
      <x:c r="H35" s="19" t="str">
        <x:v>OVERLAY_ASSUMPTION</x:v>
      </x:c>
      <x:c r="I35" s="19" t="str">
        <x:v>以物理BOM为基数；不得复利或用于配平。</x:v>
      </x:c>
    </x:row>
    <x:row r="36" ht="32" customHeight="1">
      <x:c r="A36" s="20" t="str">
        <x:v>BR-YU7-STD-LR</x:v>
      </x:c>
      <x:c r="B36" s="20" t="str">
        <x:v>YU7</x:v>
      </x:c>
      <x:c r="C36" s="20" t="str">
        <x:v>M10_WARRANTY</x:v>
      </x:c>
      <x:c r="D36" s="22" t="n">
        <x:f>ROUND(SUM(D27:D34)*'01_原子成本假设'!$E$48,2)</x:f>
        <x:v>69.25</x:v>
      </x:c>
      <x:c r="E36" s="22" t="n">
        <x:f>ROUND(SUM(E27:E34)*'01_原子成本假设'!$F$48,2)</x:f>
        <x:v>249.21</x:v>
      </x:c>
      <x:c r="F36" s="22" t="n">
        <x:f>ROUND(SUM(F27:F34)*'01_原子成本假设'!$G$48,2)</x:f>
        <x:v>596.82</x:v>
      </x:c>
      <x:c r="G36" s="20" t="str">
        <x:f>IF(AND(D36&lt;=E36,E36&lt;=F36),"PASS","FAIL")</x:f>
        <x:v>PASS</x:v>
      </x:c>
      <x:c r="H36" s="20" t="str">
        <x:v>OVERLAY_ASSUMPTION</x:v>
      </x:c>
      <x:c r="I36" s="20" t="str">
        <x:v>以物理BOM为基数；不得复利或用于配平。</x:v>
      </x:c>
    </x:row>
    <x:row r="37" ht="32" customHeight="1">
      <x:c r="A37" s="19" t="str">
        <x:v>BR-YU7-LR-PRO</x:v>
      </x:c>
      <x:c r="B37" s="19" t="str">
        <x:v>YU7</x:v>
      </x:c>
      <x:c r="C37" s="19" t="str">
        <x:v>M01_BATTERY</x:v>
      </x:c>
      <x:c r="D37" s="21" t="n">
        <x:f>0</x:f>
        <x:v>0</x:v>
      </x:c>
      <x:c r="E37" s="21" t="n">
        <x:f>0</x:f>
        <x:v>0</x:v>
      </x:c>
      <x:c r="F37" s="21" t="n">
        <x:f>0</x:f>
        <x:v>0</x:v>
      </x:c>
      <x:c r="G37" s="19" t="str">
        <x:f>IF(AND(D37&lt;=E37,E37&lt;=F37),"PASS","FAIL")</x:f>
        <x:v>PASS</x:v>
      </x:c>
      <x:c r="H37" s="19" t="str">
        <x:v>NO_BASE_DELTA</x:v>
      </x:c>
      <x:c r="I37" s="19" t="str">
        <x:v>七车相邻版本未观察到该模块base硬件差异。</x:v>
      </x:c>
    </x:row>
    <x:row r="38" ht="32" customHeight="1">
      <x:c r="A38" s="20" t="str">
        <x:v>BR-YU7-LR-PRO</x:v>
      </x:c>
      <x:c r="B38" s="20" t="str">
        <x:v>YU7</x:v>
      </x:c>
      <x:c r="C38" s="20" t="str">
        <x:v>M02_EDRIVE</x:v>
      </x:c>
      <x:c r="D38" s="22" t="n">
        <x:f>SUM('02_桥接拆项'!I28)</x:f>
        <x:v>4000</x:v>
      </x:c>
      <x:c r="E38" s="22" t="n">
        <x:f>SUM('02_桥接拆项'!J28)</x:f>
        <x:v>5500</x:v>
      </x:c>
      <x:c r="F38" s="22" t="n">
        <x:f>SUM('02_桥接拆项'!K28)</x:f>
        <x:v>7500</x:v>
      </x:c>
      <x:c r="G38" s="20" t="str">
        <x:f>IF(AND(D38&lt;=E38,E38&lt;=F38),"PASS","FAIL")</x:f>
        <x:v>PASS</x:v>
      </x:c>
      <x:c r="H38" s="20" t="str">
        <x:v>CORE_COST</x:v>
      </x:c>
      <x:c r="I38" s="20" t="str">
        <x:v>1条核心原子项。</x:v>
      </x:c>
    </x:row>
    <x:row r="39" ht="32" customHeight="1">
      <x:c r="A39" s="19" t="str">
        <x:v>BR-YU7-LR-PRO</x:v>
      </x:c>
      <x:c r="B39" s="19" t="str">
        <x:v>YU7</x:v>
      </x:c>
      <x:c r="C39" s="19" t="str">
        <x:v>M03_HIGH_VOLTAGE</x:v>
      </x:c>
      <x:c r="D39" s="21" t="n">
        <x:f>0</x:f>
        <x:v>0</x:v>
      </x:c>
      <x:c r="E39" s="21" t="n">
        <x:f>0</x:f>
        <x:v>0</x:v>
      </x:c>
      <x:c r="F39" s="21" t="n">
        <x:f>0</x:f>
        <x:v>0</x:v>
      </x:c>
      <x:c r="G39" s="19" t="str">
        <x:f>IF(AND(D39&lt;=E39,E39&lt;=F39),"PASS","FAIL")</x:f>
        <x:v>PASS</x:v>
      </x:c>
      <x:c r="H39" s="19" t="str">
        <x:v>NO_BASE_DELTA</x:v>
      </x:c>
      <x:c r="I39" s="19" t="str">
        <x:v>七车相邻版本未观察到该模块base硬件差异。</x:v>
      </x:c>
    </x:row>
    <x:row r="40" ht="32" customHeight="1">
      <x:c r="A40" s="20" t="str">
        <x:v>BR-YU7-LR-PRO</x:v>
      </x:c>
      <x:c r="B40" s="20" t="str">
        <x:v>YU7</x:v>
      </x:c>
      <x:c r="C40" s="20" t="str">
        <x:v>M04_CHASSIS</x:v>
      </x:c>
      <x:c r="D40" s="22" t="n">
        <x:f>SUM('02_桥接拆项'!I29)</x:f>
        <x:v>3800</x:v>
      </x:c>
      <x:c r="E40" s="22" t="n">
        <x:f>SUM('02_桥接拆项'!J29)</x:f>
        <x:v>5000</x:v>
      </x:c>
      <x:c r="F40" s="22" t="n">
        <x:f>SUM('02_桥接拆项'!K29)</x:f>
        <x:v>6300</x:v>
      </x:c>
      <x:c r="G40" s="20" t="str">
        <x:f>IF(AND(D40&lt;=E40,E40&lt;=F40),"PASS","FAIL")</x:f>
        <x:v>PASS</x:v>
      </x:c>
      <x:c r="H40" s="20" t="str">
        <x:v>CORE_COST</x:v>
      </x:c>
      <x:c r="I40" s="20" t="str">
        <x:v>1条核心原子项。</x:v>
      </x:c>
    </x:row>
    <x:row r="41" ht="32" customHeight="1">
      <x:c r="A41" s="19" t="str">
        <x:v>BR-YU7-LR-PRO</x:v>
      </x:c>
      <x:c r="B41" s="19" t="str">
        <x:v>YU7</x:v>
      </x:c>
      <x:c r="C41" s="19" t="str">
        <x:v>M05_ADAS</x:v>
      </x:c>
      <x:c r="D41" s="21" t="n">
        <x:f>0</x:f>
        <x:v>0</x:v>
      </x:c>
      <x:c r="E41" s="21" t="n">
        <x:f>0</x:f>
        <x:v>0</x:v>
      </x:c>
      <x:c r="F41" s="21" t="n">
        <x:f>0</x:f>
        <x:v>0</x:v>
      </x:c>
      <x:c r="G41" s="19" t="str">
        <x:f>IF(AND(D41&lt;=E41,E41&lt;=F41),"PASS","FAIL")</x:f>
        <x:v>PASS</x:v>
      </x:c>
      <x:c r="H41" s="19" t="str">
        <x:v>NO_BASE_DELTA</x:v>
      </x:c>
      <x:c r="I41" s="19" t="str">
        <x:v>七车相邻版本未观察到该模块base硬件差异。</x:v>
      </x:c>
    </x:row>
    <x:row r="42" ht="32" customHeight="1">
      <x:c r="A42" s="20" t="str">
        <x:v>BR-YU7-LR-PRO</x:v>
      </x:c>
      <x:c r="B42" s="20" t="str">
        <x:v>YU7</x:v>
      </x:c>
      <x:c r="C42" s="20" t="str">
        <x:v>M06_COCKPIT</x:v>
      </x:c>
      <x:c r="D42" s="22" t="n">
        <x:f>0</x:f>
        <x:v>0</x:v>
      </x:c>
      <x:c r="E42" s="22" t="n">
        <x:f>0</x:f>
        <x:v>0</x:v>
      </x:c>
      <x:c r="F42" s="22" t="n">
        <x:f>0</x:f>
        <x:v>0</x:v>
      </x:c>
      <x:c r="G42" s="20" t="str">
        <x:f>IF(AND(D42&lt;=E42,E42&lt;=F42),"PASS","FAIL")</x:f>
        <x:v>PASS</x:v>
      </x:c>
      <x:c r="H42" s="20" t="str">
        <x:v>NO_BASE_DELTA</x:v>
      </x:c>
      <x:c r="I42" s="20" t="str">
        <x:v>七车相邻版本未观察到该模块base硬件差异。</x:v>
      </x:c>
    </x:row>
    <x:row r="43" ht="32" customHeight="1">
      <x:c r="A43" s="19" t="str">
        <x:v>BR-YU7-LR-PRO</x:v>
      </x:c>
      <x:c r="B43" s="19" t="str">
        <x:v>YU7</x:v>
      </x:c>
      <x:c r="C43" s="19" t="str">
        <x:v>M07_BODY</x:v>
      </x:c>
      <x:c r="D43" s="21" t="n">
        <x:f>0</x:f>
        <x:v>0</x:v>
      </x:c>
      <x:c r="E43" s="21" t="n">
        <x:f>0</x:f>
        <x:v>0</x:v>
      </x:c>
      <x:c r="F43" s="21" t="n">
        <x:f>0</x:f>
        <x:v>0</x:v>
      </x:c>
      <x:c r="G43" s="19" t="str">
        <x:f>IF(AND(D43&lt;=E43,E43&lt;=F43),"PASS","FAIL")</x:f>
        <x:v>PASS</x:v>
      </x:c>
      <x:c r="H43" s="19" t="str">
        <x:v>NO_BASE_DELTA</x:v>
      </x:c>
      <x:c r="I43" s="19" t="str">
        <x:v>七车相邻版本未观察到该模块base硬件差异。</x:v>
      </x:c>
    </x:row>
    <x:row r="44" ht="32" customHeight="1">
      <x:c r="A44" s="20" t="str">
        <x:v>BR-YU7-LR-PRO</x:v>
      </x:c>
      <x:c r="B44" s="20" t="str">
        <x:v>YU7</x:v>
      </x:c>
      <x:c r="C44" s="20" t="str">
        <x:v>M08_COMFORT</x:v>
      </x:c>
      <x:c r="D44" s="22" t="n">
        <x:f>0</x:f>
        <x:v>0</x:v>
      </x:c>
      <x:c r="E44" s="22" t="n">
        <x:f>0</x:f>
        <x:v>0</x:v>
      </x:c>
      <x:c r="F44" s="22" t="n">
        <x:f>0</x:f>
        <x:v>0</x:v>
      </x:c>
      <x:c r="G44" s="20" t="str">
        <x:f>IF(AND(D44&lt;=E44,E44&lt;=F44),"PASS","FAIL")</x:f>
        <x:v>PASS</x:v>
      </x:c>
      <x:c r="H44" s="20" t="str">
        <x:v>NO_BASE_DELTA</x:v>
      </x:c>
      <x:c r="I44" s="20" t="str">
        <x:v>七车相邻版本未观察到该模块base硬件差异。</x:v>
      </x:c>
    </x:row>
    <x:row r="45" ht="32" customHeight="1">
      <x:c r="A45" s="19" t="str">
        <x:v>BR-YU7-LR-PRO</x:v>
      </x:c>
      <x:c r="B45" s="19" t="str">
        <x:v>YU7</x:v>
      </x:c>
      <x:c r="C45" s="19" t="str">
        <x:v>M09_MANUFACTURING</x:v>
      </x:c>
      <x:c r="D45" s="21" t="n">
        <x:f>ROUND(SUM(D37:D44)*'01_原子成本假设'!$E$47,2)</x:f>
        <x:v>78</x:v>
      </x:c>
      <x:c r="E45" s="21" t="n">
        <x:f>ROUND(SUM(E37:E44)*'01_原子成本假设'!$F$47,2)</x:f>
        <x:v>210</x:v>
      </x:c>
      <x:c r="F45" s="21" t="n">
        <x:f>ROUND(SUM(F37:F44)*'01_原子成本假设'!$G$47,2)</x:f>
        <x:v>552</x:v>
      </x:c>
      <x:c r="G45" s="19" t="str">
        <x:f>IF(AND(D45&lt;=E45,E45&lt;=F45),"PASS","FAIL")</x:f>
        <x:v>PASS</x:v>
      </x:c>
      <x:c r="H45" s="19" t="str">
        <x:v>OVERLAY_ASSUMPTION</x:v>
      </x:c>
      <x:c r="I45" s="19" t="str">
        <x:v>以物理BOM为基数；不得复利或用于配平。</x:v>
      </x:c>
    </x:row>
    <x:row r="46" ht="32" customHeight="1">
      <x:c r="A46" s="20" t="str">
        <x:v>BR-YU7-LR-PRO</x:v>
      </x:c>
      <x:c r="B46" s="20" t="str">
        <x:v>YU7</x:v>
      </x:c>
      <x:c r="C46" s="20" t="str">
        <x:v>M10_WARRANTY</x:v>
      </x:c>
      <x:c r="D46" s="22" t="n">
        <x:f>ROUND(SUM(D37:D44)*'01_原子成本假设'!$E$48,2)</x:f>
        <x:v>39</x:v>
      </x:c>
      <x:c r="E46" s="22" t="n">
        <x:f>ROUND(SUM(E37:E44)*'01_原子成本假设'!$F$48,2)</x:f>
        <x:v>157.5</x:v>
      </x:c>
      <x:c r="F46" s="22" t="n">
        <x:f>ROUND(SUM(F37:F44)*'01_原子成本假设'!$G$48,2)</x:f>
        <x:v>414</x:v>
      </x:c>
      <x:c r="G46" s="20" t="str">
        <x:f>IF(AND(D46&lt;=E46,E46&lt;=F46),"PASS","FAIL")</x:f>
        <x:v>PASS</x:v>
      </x:c>
      <x:c r="H46" s="20" t="str">
        <x:v>OVERLAY_ASSUMPTION</x:v>
      </x:c>
      <x:c r="I46" s="20" t="str">
        <x:v>以物理BOM为基数；不得复利或用于配平。</x:v>
      </x:c>
    </x:row>
    <x:row r="47" ht="32" customHeight="1">
      <x:c r="A47" s="19" t="str">
        <x:v>BR-YU7-PRO-MAX</x:v>
      </x:c>
      <x:c r="B47" s="19" t="str">
        <x:v>YU7</x:v>
      </x:c>
      <x:c r="C47" s="19" t="str">
        <x:v>M01_BATTERY</x:v>
      </x:c>
      <x:c r="D47" s="21" t="n">
        <x:f>SUM('02_桥接拆项'!I30)</x:f>
        <x:v>21006</x:v>
      </x:c>
      <x:c r="E47" s="21" t="n">
        <x:f>SUM('02_桥接拆项'!J30)</x:f>
        <x:v>25506</x:v>
      </x:c>
      <x:c r="F47" s="21" t="n">
        <x:f>SUM('02_桥接拆项'!K30)</x:f>
        <x:v>29097</x:v>
      </x:c>
      <x:c r="G47" s="19" t="str">
        <x:f>IF(AND(D47&lt;=E47,E47&lt;=F47),"PASS","FAIL")</x:f>
        <x:v>PASS</x:v>
      </x:c>
      <x:c r="H47" s="19" t="str">
        <x:v>CORE_COST</x:v>
      </x:c>
      <x:c r="I47" s="19" t="str">
        <x:v>1条核心原子项。</x:v>
      </x:c>
    </x:row>
    <x:row r="48" ht="32" customHeight="1">
      <x:c r="A48" s="20" t="str">
        <x:v>BR-YU7-PRO-MAX</x:v>
      </x:c>
      <x:c r="B48" s="20" t="str">
        <x:v>YU7</x:v>
      </x:c>
      <x:c r="C48" s="20" t="str">
        <x:v>M02_EDRIVE</x:v>
      </x:c>
      <x:c r="D48" s="22" t="n">
        <x:f>SUM('02_桥接拆项'!I31)</x:f>
        <x:v>3000</x:v>
      </x:c>
      <x:c r="E48" s="22" t="n">
        <x:f>SUM('02_桥接拆项'!J31)</x:f>
        <x:v>4000</x:v>
      </x:c>
      <x:c r="F48" s="22" t="n">
        <x:f>SUM('02_桥接拆项'!K31)</x:f>
        <x:v>5000</x:v>
      </x:c>
      <x:c r="G48" s="20" t="str">
        <x:f>IF(AND(D48&lt;=E48,E48&lt;=F48),"PASS","FAIL")</x:f>
        <x:v>PASS</x:v>
      </x:c>
      <x:c r="H48" s="20" t="str">
        <x:v>CORE_COST</x:v>
      </x:c>
      <x:c r="I48" s="20" t="str">
        <x:v>1条核心原子项。</x:v>
      </x:c>
    </x:row>
    <x:row r="49" ht="32" customHeight="1">
      <x:c r="A49" s="19" t="str">
        <x:v>BR-YU7-PRO-MAX</x:v>
      </x:c>
      <x:c r="B49" s="19" t="str">
        <x:v>YU7</x:v>
      </x:c>
      <x:c r="C49" s="19" t="str">
        <x:v>M03_HIGH_VOLTAGE</x:v>
      </x:c>
      <x:c r="D49" s="21" t="n">
        <x:f>SUM('02_桥接拆项'!I32)</x:f>
        <x:v>800</x:v>
      </x:c>
      <x:c r="E49" s="21" t="n">
        <x:f>SUM('02_桥接拆项'!J32)</x:f>
        <x:v>1500</x:v>
      </x:c>
      <x:c r="F49" s="21" t="n">
        <x:f>SUM('02_桥接拆项'!K32)</x:f>
        <x:v>2500</x:v>
      </x:c>
      <x:c r="G49" s="19" t="str">
        <x:f>IF(AND(D49&lt;=E49,E49&lt;=F49),"PASS","FAIL")</x:f>
        <x:v>PASS</x:v>
      </x:c>
      <x:c r="H49" s="19" t="str">
        <x:v>CORE_COST</x:v>
      </x:c>
      <x:c r="I49" s="19" t="str">
        <x:v>1条核心原子项。</x:v>
      </x:c>
    </x:row>
    <x:row r="50" ht="32" customHeight="1">
      <x:c r="A50" s="20" t="str">
        <x:v>BR-YU7-PRO-MAX</x:v>
      </x:c>
      <x:c r="B50" s="20" t="str">
        <x:v>YU7</x:v>
      </x:c>
      <x:c r="C50" s="20" t="str">
        <x:v>M04_CHASSIS</x:v>
      </x:c>
      <x:c r="D50" s="22" t="n">
        <x:f>SUM('02_桥接拆项'!I33,'02_桥接拆项'!I34,'02_桥接拆项'!I35)</x:f>
        <x:v>370</x:v>
      </x:c>
      <x:c r="E50" s="22" t="n">
        <x:f>SUM('02_桥接拆项'!J33,'02_桥接拆项'!J34,'02_桥接拆项'!J35)</x:f>
        <x:v>790</x:v>
      </x:c>
      <x:c r="F50" s="22" t="n">
        <x:f>SUM('02_桥接拆项'!K33,'02_桥接拆项'!K34,'02_桥接拆项'!K35)</x:f>
        <x:v>1430</x:v>
      </x:c>
      <x:c r="G50" s="20" t="str">
        <x:f>IF(AND(D50&lt;=E50,E50&lt;=F50),"PASS","FAIL")</x:f>
        <x:v>PASS</x:v>
      </x:c>
      <x:c r="H50" s="20" t="str">
        <x:v>CORE_COST</x:v>
      </x:c>
      <x:c r="I50" s="20" t="str">
        <x:v>3条核心原子项。</x:v>
      </x:c>
    </x:row>
    <x:row r="51" ht="32" customHeight="1">
      <x:c r="A51" s="19" t="str">
        <x:v>BR-YU7-PRO-MAX</x:v>
      </x:c>
      <x:c r="B51" s="19" t="str">
        <x:v>YU7</x:v>
      </x:c>
      <x:c r="C51" s="19" t="str">
        <x:v>M05_ADAS</x:v>
      </x:c>
      <x:c r="D51" s="21" t="n">
        <x:f>0</x:f>
        <x:v>0</x:v>
      </x:c>
      <x:c r="E51" s="21" t="n">
        <x:f>0</x:f>
        <x:v>0</x:v>
      </x:c>
      <x:c r="F51" s="21" t="n">
        <x:f>0</x:f>
        <x:v>0</x:v>
      </x:c>
      <x:c r="G51" s="19" t="str">
        <x:f>IF(AND(D51&lt;=E51,E51&lt;=F51),"PASS","FAIL")</x:f>
        <x:v>PASS</x:v>
      </x:c>
      <x:c r="H51" s="19" t="str">
        <x:v>NO_BASE_DELTA</x:v>
      </x:c>
      <x:c r="I51" s="19" t="str">
        <x:v>七车相邻版本未观察到该模块base硬件差异。</x:v>
      </x:c>
    </x:row>
    <x:row r="52" ht="32" customHeight="1">
      <x:c r="A52" s="20" t="str">
        <x:v>BR-YU7-PRO-MAX</x:v>
      </x:c>
      <x:c r="B52" s="20" t="str">
        <x:v>YU7</x:v>
      </x:c>
      <x:c r="C52" s="20" t="str">
        <x:v>M06_COCKPIT</x:v>
      </x:c>
      <x:c r="D52" s="22" t="n">
        <x:f>SUM('02_桥接拆项'!I36)</x:f>
        <x:v>400</x:v>
      </x:c>
      <x:c r="E52" s="22" t="n">
        <x:f>SUM('02_桥接拆项'!J36)</x:f>
        <x:v>650</x:v>
      </x:c>
      <x:c r="F52" s="22" t="n">
        <x:f>SUM('02_桥接拆项'!K36)</x:f>
        <x:v>1050</x:v>
      </x:c>
      <x:c r="G52" s="20" t="str">
        <x:f>IF(AND(D52&lt;=E52,E52&lt;=F52),"PASS","FAIL")</x:f>
        <x:v>PASS</x:v>
      </x:c>
      <x:c r="H52" s="20" t="str">
        <x:v>CORE_COST</x:v>
      </x:c>
      <x:c r="I52" s="20" t="str">
        <x:v>1条核心原子项。</x:v>
      </x:c>
    </x:row>
    <x:row r="53" ht="32" customHeight="1">
      <x:c r="A53" s="19" t="str">
        <x:v>BR-YU7-PRO-MAX</x:v>
      </x:c>
      <x:c r="B53" s="19" t="str">
        <x:v>YU7</x:v>
      </x:c>
      <x:c r="C53" s="19" t="str">
        <x:v>M07_BODY</x:v>
      </x:c>
      <x:c r="D53" s="21" t="n">
        <x:f>SUM('02_桥接拆项'!I37,'02_桥接拆项'!I38,'02_桥接拆项'!I39,'02_桥接拆项'!I40)</x:f>
        <x:v>2540</x:v>
      </x:c>
      <x:c r="E53" s="21" t="n">
        <x:f>SUM('02_桥接拆项'!J37,'02_桥接拆项'!J38,'02_桥接拆项'!J39,'02_桥接拆项'!J40)</x:f>
        <x:v>4030</x:v>
      </x:c>
      <x:c r="F53" s="21" t="n">
        <x:f>SUM('02_桥接拆项'!K37,'02_桥接拆项'!K38,'02_桥接拆项'!K39,'02_桥接拆项'!K40)</x:f>
        <x:v>6270</x:v>
      </x:c>
      <x:c r="G53" s="19" t="str">
        <x:f>IF(AND(D53&lt;=E53,E53&lt;=F53),"PASS","FAIL")</x:f>
        <x:v>PASS</x:v>
      </x:c>
      <x:c r="H53" s="19" t="str">
        <x:v>CORE_COST</x:v>
      </x:c>
      <x:c r="I53" s="19" t="str">
        <x:v>4条核心原子项。</x:v>
      </x:c>
    </x:row>
    <x:row r="54" ht="32" customHeight="1">
      <x:c r="A54" s="20" t="str">
        <x:v>BR-YU7-PRO-MAX</x:v>
      </x:c>
      <x:c r="B54" s="20" t="str">
        <x:v>YU7</x:v>
      </x:c>
      <x:c r="C54" s="20" t="str">
        <x:v>M08_COMFORT</x:v>
      </x:c>
      <x:c r="D54" s="22" t="n">
        <x:f>SUM('02_桥接拆项'!I41,'02_桥接拆项'!I42,'02_桥接拆项'!I43)</x:f>
        <x:v>1550</x:v>
      </x:c>
      <x:c r="E54" s="22" t="n">
        <x:f>SUM('02_桥接拆项'!J41,'02_桥接拆项'!J42,'02_桥接拆项'!J43)</x:f>
        <x:v>2050</x:v>
      </x:c>
      <x:c r="F54" s="22" t="n">
        <x:f>SUM('02_桥接拆项'!K41,'02_桥接拆项'!K42,'02_桥接拆项'!K43)</x:f>
        <x:v>2750</x:v>
      </x:c>
      <x:c r="G54" s="20" t="str">
        <x:f>IF(AND(D54&lt;=E54,E54&lt;=F54),"PASS","FAIL")</x:f>
        <x:v>PASS</x:v>
      </x:c>
      <x:c r="H54" s="20" t="str">
        <x:v>CORE_COST</x:v>
      </x:c>
      <x:c r="I54" s="20" t="str">
        <x:v>3条核心原子项。</x:v>
      </x:c>
    </x:row>
    <x:row r="55" ht="32" customHeight="1">
      <x:c r="A55" s="19" t="str">
        <x:v>BR-YU7-PRO-MAX</x:v>
      </x:c>
      <x:c r="B55" s="19" t="str">
        <x:v>YU7</x:v>
      </x:c>
      <x:c r="C55" s="19" t="str">
        <x:v>M09_MANUFACTURING</x:v>
      </x:c>
      <x:c r="D55" s="21" t="n">
        <x:f>ROUND(SUM(D47:D54)*'01_原子成本假设'!$E$47,2)</x:f>
        <x:v>296.66</x:v>
      </x:c>
      <x:c r="E55" s="21" t="n">
        <x:f>ROUND(SUM(E47:E54)*'01_原子成本假设'!$F$47,2)</x:f>
        <x:v>770.52</x:v>
      </x:c>
      <x:c r="F55" s="21" t="n">
        <x:f>ROUND(SUM(F47:F54)*'01_原子成本假设'!$G$47,2)</x:f>
        <x:v>1923.88</x:v>
      </x:c>
      <x:c r="G55" s="19" t="str">
        <x:f>IF(AND(D55&lt;=E55,E55&lt;=F55),"PASS","FAIL")</x:f>
        <x:v>PASS</x:v>
      </x:c>
      <x:c r="H55" s="19" t="str">
        <x:v>OVERLAY_ASSUMPTION</x:v>
      </x:c>
      <x:c r="I55" s="19" t="str">
        <x:v>以物理BOM为基数；不得复利或用于配平。</x:v>
      </x:c>
    </x:row>
    <x:row r="56" ht="32" customHeight="1">
      <x:c r="A56" s="20" t="str">
        <x:v>BR-YU7-PRO-MAX</x:v>
      </x:c>
      <x:c r="B56" s="20" t="str">
        <x:v>YU7</x:v>
      </x:c>
      <x:c r="C56" s="20" t="str">
        <x:v>M10_WARRANTY</x:v>
      </x:c>
      <x:c r="D56" s="22" t="n">
        <x:f>ROUND(SUM(D47:D54)*'01_原子成本假设'!$E$48,2)</x:f>
        <x:v>148.33</x:v>
      </x:c>
      <x:c r="E56" s="22" t="n">
        <x:f>ROUND(SUM(E47:E54)*'01_原子成本假设'!$F$48,2)</x:f>
        <x:v>577.89</x:v>
      </x:c>
      <x:c r="F56" s="22" t="n">
        <x:f>ROUND(SUM(F47:F54)*'01_原子成本假设'!$G$48,2)</x:f>
        <x:v>1442.91</x:v>
      </x:c>
      <x:c r="G56" s="20" t="str">
        <x:f>IF(AND(D56&lt;=E56,E56&lt;=F56),"PASS","FAIL")</x:f>
        <x:v>PASS</x:v>
      </x:c>
      <x:c r="H56" s="20" t="str">
        <x:v>OVERLAY_ASSUMPTION</x:v>
      </x:c>
      <x:c r="I56" s="20" t="str">
        <x:v>以物理BOM为基数；不得复利或用于配平。</x:v>
      </x:c>
    </x:row>
  </x:sheetData>
  <x:mergeCells>
    <x:mergeCell ref="A1:I1"/>
    <x:mergeCell ref="A2:I2"/>
    <x:mergeCell ref="A3:I3"/>
  </x:mergeCells>
  <x:conditionalFormatting sqref="G7:H56">
    <x:cfRule type="containsText" dxfId="16" priority="1" operator="containsText" text="PASS"/>
    <x:cfRule type="containsText" dxfId="17" priority="2" operator="containsText" text="FAIL"/>
    <x:cfRule type="containsText" dxfId="18" priority="3" operator="containsText" text="REVIEW"/>
    <x:cfRule type="containsText" dxfId="19" priority="4" operator="containsText" text="BLOCKED"/>
  </x:conditionalFormatting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9" hidden="0" customWidth="1"/>
    <x:col min="3" max="3" width="18" hidden="0" customWidth="1"/>
    <x:col min="4" max="4" width="18" hidden="0" customWidth="1"/>
    <x:col min="5" max="5" width="21" hidden="0" customWidth="1"/>
    <x:col min="6" max="6" width="13" hidden="0" customWidth="1"/>
    <x:col min="7" max="7" width="20" hidden="0" customWidth="1"/>
    <x:col min="8" max="8" width="17" hidden="0" customWidth="1"/>
    <x:col min="9" max="9" width="17" hidden="0" customWidth="1"/>
    <x:col min="10" max="10" width="17" hidden="0" customWidth="1"/>
    <x:col min="11" max="11" width="17" hidden="0" customWidth="1"/>
    <x:col min="12" max="12" width="17" hidden="0" customWidth="1"/>
    <x:col min="13" max="13" width="17" hidden="0" customWidth="1"/>
    <x:col min="14" max="14" width="16" hidden="0" customWidth="1"/>
    <x:col min="15" max="15" width="16" hidden="0" customWidth="1"/>
    <x:col min="16" max="16" width="16" hidden="0" customWidth="1"/>
    <x:col min="17" max="17" width="17" hidden="0" customWidth="1"/>
    <x:col min="18" max="18" width="17" hidden="0" customWidth="1"/>
    <x:col min="19" max="19" width="17" hidden="0" customWidth="1"/>
    <x:col min="20" max="20" width="22" hidden="0" customWidth="1"/>
    <x:col min="21" max="21" width="22" hidden="0" customWidth="1"/>
    <x:col min="22" max="22" width="60" hidden="0" customWidth="1"/>
  </x:cols>
  <x:sheetData>
    <x:row r="1" ht="30" customHeight="1">
      <x:c r="A1" s="3" t="str">
        <x:v>04｜售价差—增量成本校准（诊断，不配平）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  <x:c r="V1" s="3"/>
    </x:row>
    <x:row r="2" ht="22" customHeight="1">
      <x:c r="A2" s="6" t="str">
        <x:v>含税指导价差÷1.13得到未税价差；低/中/高成本均由模块汇总公式回链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</x:row>
    <x:row r="3" ht="38" customHeight="1">
      <x:c r="A3" s="10" t="str">
        <x:v>覆盖率用于检查成本量级；残余可能包含固定成本、版本定位、利润、渠道与尚未观察到的差异。</x:v>
      </x:c>
      <x:c r="B3" s="10"/>
      <x:c r="C3" s="10"/>
      <x:c r="D3" s="10"/>
      <x:c r="E3" s="10"/>
      <x:c r="F3" s="10"/>
      <x:c r="G3" s="10"/>
      <x:c r="H3" s="10"/>
      <x:c r="I3" s="10"/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</x:row>
    <x:row r="6" ht="38" customHeight="1">
      <x:c r="A6" s="15" t="str">
        <x:v>bridge_id</x:v>
      </x:c>
      <x:c r="B6" s="15" t="str">
        <x:v>family</x:v>
      </x:c>
      <x:c r="C6" s="15" t="str">
        <x:v>from_sample</x:v>
      </x:c>
      <x:c r="D6" s="15" t="str">
        <x:v>to_sample</x:v>
      </x:c>
      <x:c r="E6" s="15" t="str">
        <x:v>retail_delta_incl_vat</x:v>
      </x:c>
      <x:c r="F6" s="15" t="str">
        <x:v>vat_rate</x:v>
      </x:c>
      <x:c r="G6" s="15" t="str">
        <x:v>retail_delta_ex_vat</x:v>
      </x:c>
      <x:c r="H6" s="15" t="str">
        <x:v>physical_low</x:v>
      </x:c>
      <x:c r="I6" s="15" t="str">
        <x:v>physical_mid</x:v>
      </x:c>
      <x:c r="J6" s="15" t="str">
        <x:v>physical_high</x:v>
      </x:c>
      <x:c r="K6" s="15" t="str">
        <x:v>total_low</x:v>
      </x:c>
      <x:c r="L6" s="15" t="str">
        <x:v>total_mid</x:v>
      </x:c>
      <x:c r="M6" s="15" t="str">
        <x:v>total_high</x:v>
      </x:c>
      <x:c r="N6" s="15" t="str">
        <x:v>coverage_low</x:v>
      </x:c>
      <x:c r="O6" s="15" t="str">
        <x:v>coverage_mid</x:v>
      </x:c>
      <x:c r="P6" s="15" t="str">
        <x:v>coverage_high</x:v>
      </x:c>
      <x:c r="Q6" s="15" t="str">
        <x:v>residual_low</x:v>
      </x:c>
      <x:c r="R6" s="15" t="str">
        <x:v>residual_mid</x:v>
      </x:c>
      <x:c r="S6" s="15" t="str">
        <x:v>residual_high</x:v>
      </x:c>
      <x:c r="T6" s="15" t="str">
        <x:v>mid_signal</x:v>
      </x:c>
      <x:c r="U6" s="15" t="str">
        <x:v>high_signal</x:v>
      </x:c>
      <x:c r="V6" s="15" t="str">
        <x:v>interpretation</x:v>
      </x:c>
    </x:row>
    <x:row r="7" ht="44" customHeight="1">
      <x:c r="A7" s="19" t="str">
        <x:v>BR-SU7-STD-PRO</x:v>
      </x:c>
      <x:c r="B7" s="19" t="str">
        <x:v>SU7</x:v>
      </x:c>
      <x:c r="C7" s="19" t="str">
        <x:v>SU7-G2-STD</x:v>
      </x:c>
      <x:c r="D7" s="19" t="str">
        <x:v>SU7-G2-PRO</x:v>
      </x:c>
      <x:c r="E7" s="33" t="n">
        <x:v>30000</x:v>
      </x:c>
      <x:c r="F7" s="23" t="n">
        <x:f>'01_原子成本假设'!$F$49</x:f>
        <x:v>0.13</x:v>
      </x:c>
      <x:c r="G7" s="21" t="n">
        <x:f>ROUND(E7/(1+F7),2)</x:f>
        <x:v>26548.67</x:v>
      </x:c>
      <x:c r="H7" s="21" t="n">
        <x:f>SUM('03_模块汇总'!$D$7:$D$14)</x:f>
        <x:v>17250</x:v>
      </x:c>
      <x:c r="I7" s="21" t="n">
        <x:f>SUM('03_模块汇总'!$E$7:$E$14)</x:f>
        <x:v>21014</x:v>
      </x:c>
      <x:c r="J7" s="21" t="n">
        <x:f>SUM('03_模块汇总'!$F$7:$F$14)</x:f>
        <x:v>25344</x:v>
      </x:c>
      <x:c r="K7" s="21" t="n">
        <x:f>ROUND(SUM('03_模块汇总'!$D$7:$D$16),2)</x:f>
        <x:v>17508.75</x:v>
      </x:c>
      <x:c r="L7" s="21" t="n">
        <x:f>ROUND(SUM('03_模块汇总'!$E$7:$E$16),2)</x:f>
        <x:v>21749.49</x:v>
      </x:c>
      <x:c r="M7" s="21" t="n">
        <x:f>ROUND(SUM('03_模块汇总'!$F$7:$F$16),2)</x:f>
        <x:v>27118.08</x:v>
      </x:c>
      <x:c r="N7" s="23" t="n">
        <x:f>K7/G7</x:f>
        <x:v>0.6594963137513103</x:v>
      </x:c>
      <x:c r="O7" s="23" t="n">
        <x:f>L7/G7</x:f>
        <x:v>0.8192308691923175</x:v>
      </x:c>
      <x:c r="P7" s="23" t="n">
        <x:f>M7/G7</x:f>
        <x:v>1.021447778739952</x:v>
      </x:c>
      <x:c r="Q7" s="21" t="n">
        <x:f>ROUND(G7-K7,2)</x:f>
        <x:v>9039.92</x:v>
      </x:c>
      <x:c r="R7" s="21" t="n">
        <x:f>ROUND(G7-L7,2)</x:f>
        <x:v>4799.18</x:v>
      </x:c>
      <x:c r="S7" s="21" t="n">
        <x:f>ROUND(G7-M7,2)</x:f>
        <x:v>-569.41</x:v>
      </x:c>
      <x:c r="T7" s="19" t="str">
        <x:f>IF(O7&lt;0.65,"REVIEW_LADDER","CALIBRATED_SIGNAL")</x:f>
        <x:v>CALIBRATED_SIGNAL</x:v>
      </x:c>
      <x:c r="U7" s="19" t="str">
        <x:f>IF(S7&lt;0,"HIGH_OVER_CEILING","WITHIN_CEILING")</x:f>
        <x:v>HIGH_OVER_CEILING</x:v>
      </x:c>
      <x:c r="V7" s="19" t="str">
        <x:v>+23.3kWh、CDC与双腔空悬。</x:v>
      </x:c>
    </x:row>
    <x:row r="8" ht="44" customHeight="1">
      <x:c r="A8" s="20" t="str">
        <x:v>BR-SU7-PRO-MAX</x:v>
      </x:c>
      <x:c r="B8" s="20" t="str">
        <x:v>SU7</x:v>
      </x:c>
      <x:c r="C8" s="20" t="str">
        <x:v>SU7-G2-PRO</x:v>
      </x:c>
      <x:c r="D8" s="20" t="str">
        <x:v>SU7-G2-MAX</x:v>
      </x:c>
      <x:c r="E8" s="34" t="n">
        <x:v>54000</x:v>
      </x:c>
      <x:c r="F8" s="24" t="n">
        <x:f>'01_原子成本假设'!$F$49</x:f>
        <x:v>0.13</x:v>
      </x:c>
      <x:c r="G8" s="22" t="n">
        <x:f>ROUND(E8/(1+F8),2)</x:f>
        <x:v>47787.61</x:v>
      </x:c>
      <x:c r="H8" s="22" t="n">
        <x:f>SUM('03_模块汇总'!$D$17:$D$24)</x:f>
        <x:v>34516</x:v>
      </x:c>
      <x:c r="I8" s="22" t="n">
        <x:f>SUM('03_模块汇总'!$E$17:$E$24)</x:f>
        <x:v>45026</x:v>
      </x:c>
      <x:c r="J8" s="22" t="n">
        <x:f>SUM('03_模块汇总'!$F$17:$F$24)</x:f>
        <x:v>56737</x:v>
      </x:c>
      <x:c r="K8" s="22" t="n">
        <x:f>ROUND(SUM('03_模块汇总'!$D$17:$D$26),2)</x:f>
        <x:v>35033.74</x:v>
      </x:c>
      <x:c r="L8" s="22" t="n">
        <x:f>ROUND(SUM('03_模块汇总'!$E$17:$E$26),2)</x:f>
        <x:v>46601.91</x:v>
      </x:c>
      <x:c r="M8" s="22" t="n">
        <x:f>ROUND(SUM('03_模块汇总'!$F$17:$F$26),2)</x:f>
        <x:v>60708.59</x:v>
      </x:c>
      <x:c r="N8" s="24" t="n">
        <x:f>K8/G8</x:f>
        <x:v>0.7331134576514707</x:v>
      </x:c>
      <x:c r="O8" s="24" t="n">
        <x:f>L8/G8</x:f>
        <x:v>0.9751881293079944</x:v>
      </x:c>
      <x:c r="P8" s="24" t="n">
        <x:f>M8/G8</x:f>
        <x:v>1.2703834738753412</x:v>
      </x:c>
      <x:c r="Q8" s="22" t="n">
        <x:f>ROUND(G8-K8,2)</x:f>
        <x:v>12753.87</x:v>
      </x:c>
      <x:c r="R8" s="22" t="n">
        <x:f>ROUND(G8-L8,2)</x:f>
        <x:v>1185.7</x:v>
      </x:c>
      <x:c r="S8" s="22" t="n">
        <x:f>ROUND(G8-M8,2)</x:f>
        <x:v>-12920.98</x:v>
      </x:c>
      <x:c r="T8" s="20" t="str">
        <x:f>IF(O8&lt;0.65,"REVIEW_LADDER","CALIBRATED_SIGNAL")</x:f>
        <x:v>CALIBRATED_SIGNAL</x:v>
      </x:c>
      <x:c r="U8" s="20" t="str">
        <x:f>IF(S8&lt;0,"HIGH_OVER_CEILING","WITHIN_CEILING")</x:f>
        <x:v>HIGH_OVER_CEILING</x:v>
      </x:c>
      <x:c r="V8" s="20" t="str">
        <x:v>含HUD；SU7静谧座舱为选装不计，后盘不变，片型基线未知不计。</x:v>
      </x:c>
    </x:row>
    <x:row r="9" ht="44" customHeight="1">
      <x:c r="A9" s="19" t="str">
        <x:v>BR-YU7-STD-LR</x:v>
      </x:c>
      <x:c r="B9" s="19" t="str">
        <x:v>YU7</x:v>
      </x:c>
      <x:c r="C9" s="19" t="str">
        <x:v>YU7-G1-STD</x:v>
      </x:c>
      <x:c r="D9" s="19" t="str">
        <x:v>YU7-G1-LR</x:v>
      </x:c>
      <x:c r="E9" s="33" t="n">
        <x:v>20000</x:v>
      </x:c>
      <x:c r="F9" s="23" t="n">
        <x:f>'01_原子成本假设'!$F$49</x:f>
        <x:v>0.13</x:v>
      </x:c>
      <x:c r="G9" s="21" t="n">
        <x:f>ROUND(E9/(1+F9),2)</x:f>
        <x:v>17699.12</x:v>
      </x:c>
      <x:c r="H9" s="21" t="n">
        <x:f>SUM('03_模块汇总'!$D$27:$D$34)</x:f>
        <x:v>13850</x:v>
      </x:c>
      <x:c r="I9" s="21" t="n">
        <x:f>SUM('03_模块汇总'!$E$27:$E$34)</x:f>
        <x:v>16614</x:v>
      </x:c>
      <x:c r="J9" s="21" t="n">
        <x:f>SUM('03_模块汇总'!$F$27:$F$34)</x:f>
        <x:v>19894</x:v>
      </x:c>
      <x:c r="K9" s="21" t="n">
        <x:f>ROUND(SUM('03_模块汇总'!$D$27:$D$36),2)</x:f>
        <x:v>14057.75</x:v>
      </x:c>
      <x:c r="L9" s="21" t="n">
        <x:f>ROUND(SUM('03_模块汇总'!$E$27:$E$36),2)</x:f>
        <x:v>17195.49</x:v>
      </x:c>
      <x:c r="M9" s="21" t="n">
        <x:f>ROUND(SUM('03_模块汇总'!$F$27:$F$36),2)</x:f>
        <x:v>21286.58</x:v>
      </x:c>
      <x:c r="N9" s="23" t="n">
        <x:f>K9/G9</x:f>
        <x:v>0.7942626526064573</x:v>
      </x:c>
      <x:c r="O9" s="23" t="n">
        <x:f>L9/G9</x:f>
        <x:v>0.9715449129674245</x:v>
      </x:c>
      <x:c r="P9" s="23" t="n">
        <x:f>M9/G9</x:f>
        <x:v>1.202691433246399</x:v>
      </x:c>
      <x:c r="Q9" s="21" t="n">
        <x:f>ROUND(G9-K9,2)</x:f>
        <x:v>3641.37</x:v>
      </x:c>
      <x:c r="R9" s="21" t="n">
        <x:f>ROUND(G9-L9,2)</x:f>
        <x:v>503.63</x:v>
      </x:c>
      <x:c r="S9" s="21" t="n">
        <x:f>ROUND(G9-M9,2)</x:f>
        <x:v>-3587.46</x:v>
      </x:c>
      <x:c r="T9" s="19" t="str">
        <x:f>IF(O9&lt;0.65,"REVIEW_LADDER","CALIBRATED_SIGNAL")</x:f>
        <x:v>CALIBRATED_SIGNAL</x:v>
      </x:c>
      <x:c r="U9" s="19" t="str">
        <x:f>IF(S9&lt;0,"HIGH_OVER_CEILING","WITHIN_CEILING")</x:f>
        <x:v>HIGH_OVER_CEILING</x:v>
      </x:c>
      <x:c r="V9" s="19" t="str">
        <x:v>+23.3kWh、CDC与后排屏进入base；活动赠送不计。</x:v>
      </x:c>
    </x:row>
    <x:row r="10" ht="44" customHeight="1">
      <x:c r="A10" s="20" t="str">
        <x:v>BR-YU7-LR-PRO</x:v>
      </x:c>
      <x:c r="B10" s="20" t="str">
        <x:v>YU7</x:v>
      </x:c>
      <x:c r="C10" s="20" t="str">
        <x:v>YU7-G1-LR</x:v>
      </x:c>
      <x:c r="D10" s="20" t="str">
        <x:v>YU7-G1-PRO</x:v>
      </x:c>
      <x:c r="E10" s="34" t="n">
        <x:v>26400</x:v>
      </x:c>
      <x:c r="F10" s="24" t="n">
        <x:f>'01_原子成本假设'!$F$49</x:f>
        <x:v>0.13</x:v>
      </x:c>
      <x:c r="G10" s="22" t="n">
        <x:f>ROUND(E10/(1+F10),2)</x:f>
        <x:v>23362.83</x:v>
      </x:c>
      <x:c r="H10" s="22" t="n">
        <x:f>SUM('03_模块汇总'!$D$37:$D$44)</x:f>
        <x:v>7800</x:v>
      </x:c>
      <x:c r="I10" s="22" t="n">
        <x:f>SUM('03_模块汇总'!$E$37:$E$44)</x:f>
        <x:v>10500</x:v>
      </x:c>
      <x:c r="J10" s="22" t="n">
        <x:f>SUM('03_模块汇总'!$F$37:$F$44)</x:f>
        <x:v>13800</x:v>
      </x:c>
      <x:c r="K10" s="22" t="n">
        <x:f>ROUND(SUM('03_模块汇总'!$D$37:$D$46),2)</x:f>
        <x:v>7917</x:v>
      </x:c>
      <x:c r="L10" s="22" t="n">
        <x:f>ROUND(SUM('03_模块汇总'!$E$37:$E$46),2)</x:f>
        <x:v>10867.5</x:v>
      </x:c>
      <x:c r="M10" s="22" t="n">
        <x:f>ROUND(SUM('03_模块汇总'!$F$37:$F$46),2)</x:f>
        <x:v>14766</x:v>
      </x:c>
      <x:c r="N10" s="24" t="n">
        <x:f>K10/G10</x:f>
        <x:v>0.33887161786478776</x:v>
      </x:c>
      <x:c r="O10" s="24" t="n">
        <x:f>L10/G10</x:f>
        <x:v>0.465161968819702</x:v>
      </x:c>
      <x:c r="P10" s="24" t="n">
        <x:f>M10/G10</x:f>
        <x:v>0.6320295957296269</x:v>
      </x:c>
      <x:c r="Q10" s="22" t="n">
        <x:f>ROUND(G10-K10,2)</x:f>
        <x:v>15445.83</x:v>
      </x:c>
      <x:c r="R10" s="22" t="n">
        <x:f>ROUND(G10-L10,2)</x:f>
        <x:v>12495.33</x:v>
      </x:c>
      <x:c r="S10" s="22" t="n">
        <x:f>ROUND(G10-M10,2)</x:f>
        <x:v>8596.83</x:v>
      </x:c>
      <x:c r="T10" s="20" t="str">
        <x:f>IF(O10&lt;0.65,"REVIEW_LADDER","CALIBRATED_SIGNAL")</x:f>
        <x:v>REVIEW_LADDER</x:v>
      </x:c>
      <x:c r="U10" s="20" t="str">
        <x:f>IF(S10&lt;0,"HIGH_OVER_CEILING","WITHIN_CEILING")</x:f>
        <x:v>WITHIN_CEILING</x:v>
      </x:c>
      <x:c r="V10" s="20" t="str">
        <x:v>同电池/同752V；新增130kW前驱动与空悬硬件，CDC不重复。</x:v>
      </x:c>
    </x:row>
    <x:row r="11" ht="44" customHeight="1">
      <x:c r="A11" s="19" t="str">
        <x:v>BR-YU7-PRO-MAX</x:v>
      </x:c>
      <x:c r="B11" s="19" t="str">
        <x:v>YU7</x:v>
      </x:c>
      <x:c r="C11" s="19" t="str">
        <x:v>YU7-G1-PRO</x:v>
      </x:c>
      <x:c r="D11" s="19" t="str">
        <x:v>YU7-G1-MAX</x:v>
      </x:c>
      <x:c r="E11" s="33" t="n">
        <x:v>50000</x:v>
      </x:c>
      <x:c r="F11" s="23" t="n">
        <x:f>'01_原子成本假设'!$F$49</x:f>
        <x:v>0.13</x:v>
      </x:c>
      <x:c r="G11" s="21" t="n">
        <x:f>ROUND(E11/(1+F11),2)</x:f>
        <x:v>44247.79</x:v>
      </x:c>
      <x:c r="H11" s="21" t="n">
        <x:f>SUM('03_模块汇总'!$D$47:$D$54)</x:f>
        <x:v>29666</x:v>
      </x:c>
      <x:c r="I11" s="21" t="n">
        <x:f>SUM('03_模块汇总'!$E$47:$E$54)</x:f>
        <x:v>38526</x:v>
      </x:c>
      <x:c r="J11" s="21" t="n">
        <x:f>SUM('03_模块汇总'!$F$47:$F$54)</x:f>
        <x:v>48097</x:v>
      </x:c>
      <x:c r="K11" s="21" t="n">
        <x:f>ROUND(SUM('03_模块汇总'!$D$47:$D$56),2)</x:f>
        <x:v>30110.99</x:v>
      </x:c>
      <x:c r="L11" s="21" t="n">
        <x:f>ROUND(SUM('03_模块汇总'!$E$47:$E$56),2)</x:f>
        <x:v>39874.41</x:v>
      </x:c>
      <x:c r="M11" s="21" t="n">
        <x:f>ROUND(SUM('03_模块汇总'!$F$47:$F$56),2)</x:f>
        <x:v>51463.79</x:v>
      </x:c>
      <x:c r="N11" s="23" t="n">
        <x:f>K11/G11</x:f>
        <x:v>0.6805083372525498</x:v>
      </x:c>
      <x:c r="O11" s="23" t="n">
        <x:f>L11/G11</x:f>
        <x:v>0.9011616173372727</x:v>
      </x:c>
      <x:c r="P11" s="23" t="n">
        <x:f>M11/G11</x:f>
        <x:v>1.163081591193594</x:v>
      </x:c>
      <x:c r="Q11" s="21" t="n">
        <x:f>ROUND(G11-K11,2)</x:f>
        <x:v>14136.8</x:v>
      </x:c>
      <x:c r="R11" s="21" t="n">
        <x:f>ROUND(G11-L11,2)</x:f>
        <x:v>4373.38</x:v>
      </x:c>
      <x:c r="S11" s="21" t="n">
        <x:f>ROUND(G11-M11,2)</x:f>
        <x:v>-7216</x:v>
      </x:c>
      <x:c r="T11" s="19" t="str">
        <x:f>IF(O11&lt;0.65,"REVIEW_LADDER","CALIBRATED_SIGNAL")</x:f>
        <x:v>CALIBRATED_SIGNAL</x:v>
      </x:c>
      <x:c r="U11" s="19" t="str">
        <x:f>IF(S11&lt;0,"HIGH_OVER_CEILING","WITHIN_CEILING")</x:f>
        <x:v>HIGH_OVER_CEILING</x:v>
      </x:c>
      <x:c r="V11" s="19" t="str">
        <x:v>AWD拓扑不重复；Nappa仍为选装，片型基线未知不计。</x:v>
      </x:c>
    </x:row>
  </x:sheetData>
  <x:mergeCells>
    <x:mergeCell ref="A1:V1"/>
    <x:mergeCell ref="A2:V2"/>
    <x:mergeCell ref="A3:V3"/>
  </x:mergeCells>
  <x:conditionalFormatting sqref="T7:U11">
    <x:cfRule type="containsText" dxfId="20" priority="1" operator="containsText" text="PASS"/>
    <x:cfRule type="containsText" dxfId="21" priority="2" operator="containsText" text="FAIL"/>
    <x:cfRule type="containsText" dxfId="22" priority="3" operator="containsText" text="REVIEW"/>
    <x:cfRule type="containsText" dxfId="23" priority="4" operator="containsText" text="BLOCKED"/>
  </x:conditionalFormatting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18" hidden="0" customWidth="1"/>
    <x:col min="3" max="3" width="50" hidden="0" customWidth="1"/>
    <x:col min="4" max="4" width="55" hidden="0" customWidth="1"/>
    <x:col min="5" max="5" width="38" hidden="0" customWidth="1"/>
    <x:col min="6" max="6" width="14" hidden="0" customWidth="1"/>
  </x:cols>
  <x:sheetData>
    <x:row r="1" ht="30" customHeight="1">
      <x:c r="A1" s="3" t="str">
        <x:v>05｜Phase 2.1C 防重复计数预审</x:v>
      </x:c>
      <x:c r="B1" s="3"/>
      <x:c r="C1" s="3"/>
      <x:c r="D1" s="3"/>
      <x:c r="E1" s="3"/>
      <x:c r="F1" s="3"/>
    </x:row>
    <x:row r="2" ht="22" customHeight="1">
      <x:c r="A2" s="6" t="str">
        <x:v>本页是2.1B的前置护栏，不代替下一阶段的逐行防重签核</x:v>
      </x:c>
      <x:c r="B2" s="6"/>
      <x:c r="C2" s="6"/>
      <x:c r="D2" s="6"/>
      <x:c r="E2" s="6"/>
      <x:c r="F2" s="6"/>
    </x:row>
    <x:row r="3" ht="38" customHeight="1">
      <x:c r="A3" s="10" t="str">
        <x:v>整包/原子、系统/组件、共有基线/版本差异与软件/硬件必须二选一或明确排除。</x:v>
      </x:c>
      <x:c r="B3" s="10"/>
      <x:c r="C3" s="10"/>
      <x:c r="D3" s="10"/>
      <x:c r="E3" s="10"/>
      <x:c r="F3" s="10"/>
    </x:row>
    <x:row r="6" ht="38" customHeight="1">
      <x:c r="A6" s="15" t="str">
        <x:v>rule_id</x:v>
      </x:c>
      <x:c r="B6" s="15" t="str">
        <x:v>domain</x:v>
      </x:c>
      <x:c r="C6" s="15" t="str">
        <x:v>allowed</x:v>
      </x:c>
      <x:c r="D6" s="15" t="str">
        <x:v>forbidden</x:v>
      </x:c>
      <x:c r="E6" s="15" t="str">
        <x:v>enforced_by</x:v>
      </x:c>
      <x:c r="F6" s="15" t="str">
        <x:v>status</x:v>
      </x:c>
    </x:row>
    <x:row r="7" ht="46" customHeight="1">
      <x:c r="A7" s="19" t="str">
        <x:v>D01</x:v>
      </x:c>
      <x:c r="B7" s="19" t="str">
        <x:v>电池整包</x:v>
      </x:c>
      <x:c r="C7" s="19" t="str">
        <x:v>整包元/kWh或整包置换只录一次</x:v>
      </x:c>
      <x:c r="D7" s="19" t="str">
        <x:v>再加BMS、壳体、5.4kWh、化学体系、倍率或包内冷却</x:v>
      </x:c>
      <x:c r="E7" s="19" t="str">
        <x:v>PACK_*</x:v>
      </x:c>
      <x:c r="F7" s="19" t="str">
        <x:v>PASS</x:v>
      </x:c>
    </x:row>
    <x:row r="8" ht="46" customHeight="1">
      <x:c r="A8" s="20" t="str">
        <x:v>D02</x:v>
      </x:c>
      <x:c r="B8" s="20" t="str">
        <x:v>电驱/高压</x:v>
      </x:c>
      <x:c r="C8" s="20" t="str">
        <x:v>M02含牵引逆变器；M03只计包外充电链路</x:v>
      </x:c>
      <x:c r="D8" s="20" t="str">
        <x:v>M03重复添加SiC牵引逆变器</x:v>
      </x:c>
      <x:c r="E8" s="20" t="str">
        <x:v>EDRIVE_* / HV_EXTERNAL_*</x:v>
      </x:c>
      <x:c r="F8" s="20" t="str">
        <x:v>PASS</x:v>
      </x:c>
    </x:row>
    <x:row r="9" ht="46" customHeight="1">
      <x:c r="A9" s="19" t="str">
        <x:v>D03</x:v>
      </x:c>
      <x:c r="B9" s="19" t="str">
        <x:v>空悬/CDC</x:v>
      </x:c>
      <x:c r="C9" s="19" t="str">
        <x:v>桥接使用空气硬件不含CDC，CDC仅在从无到有时加</x:v>
      </x:c>
      <x:c r="D9" s="19" t="str">
        <x:v>完整空悬含CDC与两原子同时相加</x:v>
      </x:c>
      <x:c r="E9" s="19" t="str">
        <x:v>AIR_HARDWARE_EXCL_CDC / ADAPTIVE_DAMPING</x:v>
      </x:c>
      <x:c r="F9" s="19" t="str">
        <x:v>PASS</x:v>
      </x:c>
    </x:row>
    <x:row r="10" ht="46" customHeight="1">
      <x:c r="A10" s="20" t="str">
        <x:v>D04</x:v>
      </x:c>
      <x:c r="B10" s="20" t="str">
        <x:v>制动</x:v>
      </x:c>
      <x:c r="C10" s="20" t="str">
        <x:v>普通版已有4P，只计Brembo级差和打孔盘</x:v>
      </x:c>
      <x:c r="D10" s="20" t="str">
        <x:v>从0新增整套4P，或原子与整包叠加</x:v>
      </x:c>
      <x:c r="E10" s="20" t="str">
        <x:v>FRONT_CALIPER_UPGRADE / BRAKE_DISC</x:v>
      </x:c>
      <x:c r="F10" s="20" t="str">
        <x:v>PASS</x:v>
      </x:c>
    </x:row>
    <x:row r="11" ht="46" customHeight="1">
      <x:c r="A11" s="19" t="str">
        <x:v>D05</x:v>
      </x:c>
      <x:c r="B11" s="19" t="str">
        <x:v>刹车片</x:v>
      </x:c>
      <x:c r="C11" s="19" t="str">
        <x:v>普通版片型保持NOT_DISCLOSED，敏感项blocked</x:v>
      </x:c>
      <x:c r="D11" s="19" t="str">
        <x:v>把低金属片当成已确认核心增量</x:v>
      </x:c>
      <x:c r="E11" s="19" t="str">
        <x:v>FRONT/REAR_BRAKE_PAD</x:v>
      </x:c>
      <x:c r="F11" s="19" t="str">
        <x:v>PASS</x:v>
      </x:c>
    </x:row>
    <x:row r="12" ht="46" customHeight="1">
      <x:c r="A12" s="20" t="str">
        <x:v>D06</x:v>
      </x:c>
      <x:c r="B12" s="20" t="str">
        <x:v>音响</x:v>
      </x:c>
      <x:c r="C12" s="20" t="str">
        <x:v>14→25作为系统包一次计价</x:v>
      </x:c>
      <x:c r="D12" s="20" t="str">
        <x:v>再加完整功放、杜比或运动声浪硬件</x:v>
      </x:c>
      <x:c r="E12" s="20" t="str">
        <x:v>AUDIO_SYSTEM_UPGRADE</x:v>
      </x:c>
      <x:c r="F12" s="20" t="str">
        <x:v>PASS</x:v>
      </x:c>
    </x:row>
    <x:row r="13" ht="46" customHeight="1">
      <x:c r="A13" s="19" t="str">
        <x:v>D07</x:v>
      </x:c>
      <x:c r="B13" s="19" t="str">
        <x:v>调光/NVH</x:v>
      </x:c>
      <x:c r="C13" s="19" t="str">
        <x:v>只计调光层与原子静谧包</x:v>
      </x:c>
      <x:c r="D13" s="19" t="str">
        <x:v>重算共有全景天幕/夹层静音玻璃或营销包再叠原子</x:v>
      </x:c>
      <x:c r="E13" s="19" t="str">
        <x:v>DIMMING_CANOPY_ATOMIC / QUIET_CABIN_ATOMIC</x:v>
      </x:c>
      <x:c r="F13" s="19" t="str">
        <x:v>PASS</x:v>
      </x:c>
    </x:row>
    <x:row r="14" ht="46" customHeight="1">
      <x:c r="A14" s="20" t="str">
        <x:v>D08</x:v>
      </x:c>
      <x:c r="B14" s="20" t="str">
        <x:v>ADAS</x:v>
      </x:c>
      <x:c r="C14" s="20" t="str">
        <x:v>五桥增量为0；绝对参考按原子重建</x:v>
      </x:c>
      <x:c r="D14" s="20" t="str">
        <x:v>Thor芯片与完整独立域控、HAD权益重复</x:v>
      </x:c>
      <x:c r="E14" s="20" t="str">
        <x:v>ADAS_*</x:v>
      </x:c>
      <x:c r="F14" s="20" t="str">
        <x:v>PASS</x:v>
      </x:c>
    </x:row>
    <x:row r="15" ht="46" customHeight="1">
      <x:c r="A15" s="19" t="str">
        <x:v>D09</x:v>
      </x:c>
      <x:c r="B15" s="19" t="str">
        <x:v>M09/M10</x:v>
      </x:c>
      <x:c r="C15" s="19" t="str">
        <x:v>各以物理BOM为基数一次计算且不复利</x:v>
      </x:c>
      <x:c r="D15" s="19" t="str">
        <x:v>逐模块反复加覆盖率或用于配平售价</x:v>
      </x:c>
      <x:c r="E15" s="19" t="str">
        <x:v>MFG_OVERLAY / WARRANTY_OVERLAY</x:v>
      </x:c>
      <x:c r="F15" s="19" t="str">
        <x:v>PASS</x:v>
      </x:c>
    </x:row>
    <x:row r="16" ht="46" customHeight="1">
      <x:c r="A16" s="20" t="str">
        <x:v>D10</x:v>
      </x:c>
      <x:c r="B16" s="20" t="str">
        <x:v>证据门槛</x:v>
      </x:c>
      <x:c r="C16" s="20" t="str">
        <x:v>仅base标配与一手精确752/897V进入核心</x:v>
      </x:c>
      <x:c r="D16" s="20" t="str">
        <x:v>活动/选装/权益、800V营销类、结果指标进入成本</x:v>
      </x:c>
      <x:c r="E16" s="20" t="str">
        <x:v>BASE_ONLY</x:v>
      </x:c>
      <x:c r="F16" s="20" t="str">
        <x:v>PASS</x:v>
      </x:c>
    </x:row>
  </x:sheetData>
  <x:mergeCells>
    <x:mergeCell ref="A1:F1"/>
    <x:mergeCell ref="A2:F2"/>
    <x:mergeCell ref="A3:F3"/>
  </x:mergeCells>
  <x:conditionalFormatting sqref="F7:F16">
    <x:cfRule type="containsText" dxfId="24" priority="1" operator="containsText" text="PASS"/>
    <x:cfRule type="containsText" dxfId="25" priority="2" operator="containsText" text="FAIL"/>
    <x:cfRule type="containsText" dxfId="26" priority="3" operator="containsText" text="REVIEW"/>
    <x:cfRule type="containsText" dxfId="27" priority="4" operator="containsText" text="BLOCKED"/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" hidden="0" customWidth="1"/>
    <x:col min="2" max="2" width="36" hidden="0" customWidth="1"/>
    <x:col min="3" max="3" width="18" hidden="0" customWidth="1"/>
    <x:col min="4" max="4" width="24" hidden="0" customWidth="1"/>
    <x:col min="5" max="5" width="22" hidden="0" customWidth="1"/>
    <x:col min="6" max="6" width="78" hidden="0" customWidth="1"/>
    <x:col min="7" max="7" width="50" hidden="0" customWidth="1"/>
    <x:col min="8" max="8" width="52" hidden="0" customWidth="1"/>
    <x:col min="9" max="9" width="14" hidden="0" customWidth="1"/>
  </x:cols>
  <x:sheetData>
    <x:row r="1" ht="30" customHeight="1">
      <x:c r="A1" s="3" t="str">
        <x:v>06｜来源与换算审计</x:v>
      </x:c>
      <x:c r="B1" s="3"/>
      <x:c r="C1" s="3"/>
      <x:c r="D1" s="3"/>
      <x:c r="E1" s="3"/>
      <x:c r="F1" s="3"/>
      <x:c r="G1" s="3"/>
      <x:c r="H1" s="3"/>
      <x:c r="I1" s="3"/>
    </x:row>
    <x:row r="2" ht="22" customHeight="1">
      <x:c r="A2" s="6" t="str">
        <x:v>共29行；优先官方/交易所/监管文件</x:v>
      </x:c>
      <x:c r="B2" s="6"/>
      <x:c r="C2" s="6"/>
      <x:c r="D2" s="6"/>
      <x:c r="E2" s="6"/>
      <x:c r="F2" s="6"/>
      <x:c r="G2" s="6"/>
      <x:c r="H2" s="6"/>
      <x:c r="I2" s="6"/>
    </x:row>
    <x:row r="3" ht="38" customHeight="1">
      <x:c r="A3" s="10" t="str">
        <x:v>每条假设可通过source_ids回到本页；二手来源只用于中低置信边界，不覆盖官方App或工信部事实。</x:v>
      </x:c>
      <x:c r="B3" s="10"/>
      <x:c r="C3" s="10"/>
      <x:c r="D3" s="10"/>
      <x:c r="E3" s="10"/>
      <x:c r="F3" s="10"/>
      <x:c r="G3" s="10"/>
      <x:c r="H3" s="10"/>
      <x:c r="I3" s="10"/>
    </x:row>
    <x:row r="6" ht="38" customHeight="1">
      <x:c r="A6" s="15" t="str">
        <x:v>source_id</x:v>
      </x:c>
      <x:c r="B6" s="15" t="str">
        <x:v>title</x:v>
      </x:c>
      <x:c r="C6" s="15" t="str">
        <x:v>date</x:v>
      </x:c>
      <x:c r="D6" s="15" t="str">
        <x:v>publisher</x:v>
      </x:c>
      <x:c r="E6" s="15" t="str">
        <x:v>type</x:v>
      </x:c>
      <x:c r="F6" s="15" t="str">
        <x:v>url_or_locator</x:v>
      </x:c>
      <x:c r="G6" s="15" t="str">
        <x:v>used_for</x:v>
      </x:c>
      <x:c r="H6" s="15" t="str">
        <x:v>caveat</x:v>
      </x:c>
      <x:c r="I6" s="15" t="str">
        <x:v>grade</x:v>
      </x:c>
    </x:row>
    <x:row r="7" ht="52" customHeight="1">
      <x:c r="A7" s="19" t="str">
        <x:v>SRC-BNEF-2025</x:v>
      </x:c>
      <x:c r="B7" s="19" t="str">
        <x:v>BloombergNEF 2025 Battery Price Survey</x:v>
      </x:c>
      <x:c r="C7" s="19" t="str">
        <x:v>2025-12-09</x:v>
      </x:c>
      <x:c r="D7" s="19" t="str">
        <x:v>BloombergNEF</x:v>
      </x:c>
      <x:c r="E7" s="19" t="str">
        <x:v>research_release</x:v>
      </x:c>
      <x:c r="F7" s="19" t="str">
        <x:v>https://about.bnef.com/insights/clean-transport/lithium-ion-battery-pack-prices-fall-to-108-per-kilowatt-hour-despite-rising-metal-prices-bloombergnef/</x:v>
      </x:c>
      <x:c r="G7" s="19" t="str">
        <x:v>电池整包全球/中国、LFP/NMC价格锚</x:v>
      </x:c>
      <x:c r="H7" s="19" t="str">
        <x:v>官方研究发布；美元换算与项目规格仍有误差</x:v>
      </x:c>
      <x:c r="I7" s="19" t="str">
        <x:v>E2</x:v>
      </x:c>
    </x:row>
    <x:row r="8" ht="52" customHeight="1">
      <x:c r="A8" s="20" t="str">
        <x:v>SRC-CATL-2025-AR</x:v>
      </x:c>
      <x:c r="B8" s="20" t="str">
        <x:v>宁德时代2025年年报</x:v>
      </x:c>
      <x:c r="C8" s="20" t="str">
        <x:v>2026-03-10</x:v>
      </x:c>
      <x:c r="D8" s="20" t="str">
        <x:v>宁德时代/巨潮资讯</x:v>
      </x:c>
      <x:c r="E8" s="20" t="str">
        <x:v>annual_report</x:v>
      </x:c>
      <x:c r="F8" s="20" t="str">
        <x:v>https://static.cninfo.com.cn/finalpage/2026-03-10/1225002214.PDF</x:v>
      </x:c>
      <x:c r="G8" s="20" t="str">
        <x:v>动力电池系统收入3165.064亿元/541GWh≈585元/kWh</x:v>
      </x:c>
      <x:c r="H8" s="20" t="str">
        <x:v>供应商收入ASP，不是内部制造成本</x:v>
      </x:c>
      <x:c r="I8" s="20" t="str">
        <x:v>E1</x:v>
      </x:c>
    </x:row>
    <x:row r="9" ht="52" customHeight="1">
      <x:c r="A9" s="19" t="str">
        <x:v>SRC-IEA-GEO2025</x:v>
      </x:c>
      <x:c r="B9" s="19" t="str">
        <x:v>Global EV Outlook 2025—Batteries</x:v>
      </x:c>
      <x:c r="C9" s="19" t="str">
        <x:v>2025</x:v>
      </x:c>
      <x:c r="D9" s="19" t="str">
        <x:v>IEA</x:v>
      </x:c>
      <x:c r="E9" s="19" t="str">
        <x:v>official_research</x:v>
      </x:c>
      <x:c r="F9" s="19" t="str">
        <x:v>https://www.iea.org/reports/global-ev-outlook-2025/electric-vehicle-batteries</x:v>
      </x:c>
      <x:c r="G9" s="19" t="str">
        <x:v>LFP约比NMC低30%、高功率电池成本逻辑</x:v>
      </x:c>
      <x:c r="H9" s="19" t="str">
        <x:v>宏观均价，不是车型报价</x:v>
      </x:c>
      <x:c r="I9" s="19" t="str">
        <x:v>E1</x:v>
      </x:c>
    </x:row>
    <x:row r="10" ht="52" customHeight="1">
      <x:c r="A10" s="20" t="str">
        <x:v>SRC-ARGONNE-BATPAC</x:v>
      </x:c>
      <x:c r="B10" s="20" t="str">
        <x:v>BatPaC v5</x:v>
      </x:c>
      <x:c r="C10" s="20" t="str">
        <x:v>2022-07</x:v>
      </x:c>
      <x:c r="D10" s="20" t="str">
        <x:v>Argonne National Laboratory</x:v>
      </x:c>
      <x:c r="E10" s="20" t="str">
        <x:v>official_model</x:v>
      </x:c>
      <x:c r="F10" s="20" t="str">
        <x:v>https://publications.anl.gov/anlpubs/2022/07/176234.pdf</x:v>
      </x:c>
      <x:c r="G10" s="20" t="str">
        <x:v>快充/功率/极片厚度/BMS与液冷共同影响整包</x:v>
      </x:c>
      <x:c r="H10" s="20" t="str">
        <x:v>方法论证据，年份较早</x:v>
      </x:c>
      <x:c r="I10" s="20" t="str">
        <x:v>E1</x:v>
      </x:c>
    </x:row>
    <x:row r="11" ht="52" customHeight="1">
      <x:c r="A11" s="19" t="str">
        <x:v>SRC-VMAX-2025-AR</x:v>
      </x:c>
      <x:c r="B11" s="19" t="str">
        <x:v>威迈斯2025年年报</x:v>
      </x:c>
      <x:c r="C11" s="19" t="str">
        <x:v>2026-04-16</x:v>
      </x:c>
      <x:c r="D11" s="19" t="str">
        <x:v>威迈斯</x:v>
      </x:c>
      <x:c r="E11" s="19" t="str">
        <x:v>annual_report</x:v>
      </x:c>
      <x:c r="F11" s="19" t="str">
        <x:v>https://stockmc.xueqiu.com/202604/688612_20260416_4P5Y.pdf</x:v>
      </x:c>
      <x:c r="G11" s="19" t="str">
        <x:v>电驱与车载电源收入/销量ASP锚</x:v>
      </x:c>
      <x:c r="H11" s="19" t="str">
        <x:v>托管镜像；应与公司公告索引交叉校验</x:v>
      </x:c>
      <x:c r="I11" s="19" t="str">
        <x:v>E2</x:v>
      </x:c>
    </x:row>
    <x:row r="12" ht="52" customHeight="1">
      <x:c r="A12" s="20" t="str">
        <x:v>SRC-JINGJIN-2025-AR</x:v>
      </x:c>
      <x:c r="B12" s="20" t="str">
        <x:v>精进电动2025年年报</x:v>
      </x:c>
      <x:c r="C12" s="20" t="str">
        <x:v>2026-04-24</x:v>
      </x:c>
      <x:c r="D12" s="20" t="str">
        <x:v>精进电动</x:v>
      </x:c>
      <x:c r="E12" s="20" t="str">
        <x:v>annual_report</x:v>
      </x:c>
      <x:c r="F12" s="20" t="str">
        <x:v>https://pdf.dfcfw.com/pdf/H2_AN202604241821569431_1.pdf</x:v>
      </x:c>
      <x:c r="G12" s="20" t="str">
        <x:v>电驱系统收入/销量ASP锚</x:v>
      </x:c>
      <x:c r="H12" s="20" t="str">
        <x:v>混合产品ASP，功率分档为工程估算</x:v>
      </x:c>
      <x:c r="I12" s="20" t="str">
        <x:v>E2</x:v>
      </x:c>
    </x:row>
    <x:row r="13" ht="52" customHeight="1">
      <x:c r="A13" s="19" t="str">
        <x:v>SRC-USDOE-EDTT</x:v>
      </x:c>
      <x:c r="B13" s="19" t="str">
        <x:v>US DRIVE EDTT Roadmap</x:v>
      </x:c>
      <x:c r="C13" s="19" t="str">
        <x:v>2024-06</x:v>
      </x:c>
      <x:c r="D13" s="19" t="str">
        <x:v>US DOE</x:v>
      </x:c>
      <x:c r="E13" s="19" t="str">
        <x:v>official_roadmap</x:v>
      </x:c>
      <x:c r="F13" s="19" t="str">
        <x:v>https://www.energy.gov/sites/default/files/2024-06/EDTT_Roadmap_2023_JOG_Consensus_compliant.pdf</x:v>
      </x:c>
      <x:c r="G13" s="19" t="str">
        <x:v>电机/逆变器成本结构交叉校验</x:v>
      </x:c>
      <x:c r="H13" s="19" t="str">
        <x:v>美国技术目标，不直接代表中国采购价</x:v>
      </x:c>
      <x:c r="I13" s="19" t="str">
        <x:v>E1</x:v>
      </x:c>
    </x:row>
    <x:row r="14" ht="52" customHeight="1">
      <x:c r="A14" s="20" t="str">
        <x:v>SRC-SHINRY-2025-AR</x:v>
      </x:c>
      <x:c r="B14" s="20" t="str">
        <x:v>欣锐科技2025年年报</x:v>
      </x:c>
      <x:c r="C14" s="20" t="str">
        <x:v>2026-04-29</x:v>
      </x:c>
      <x:c r="D14" s="20" t="str">
        <x:v>欣锐科技</x:v>
      </x:c>
      <x:c r="E14" s="20" t="str">
        <x:v>annual_report</x:v>
      </x:c>
      <x:c r="F14" s="20" t="str">
        <x:v>https://static.cninfo.com.cn/finalpage/2026-04-29/1225234689.PDF</x:v>
      </x:c>
      <x:c r="G14" s="20" t="str">
        <x:v>集成车载电源ASP约1845元</x:v>
      </x:c>
      <x:c r="H14" s="20" t="str">
        <x:v>混合产品口径</x:v>
      </x:c>
      <x:c r="I14" s="20" t="str">
        <x:v>E1</x:v>
      </x:c>
    </x:row>
    <x:row r="15" ht="52" customHeight="1">
      <x:c r="A15" s="19" t="str">
        <x:v>SRC-IEA-UFC</x:v>
      </x:c>
      <x:c r="B15" s="19" t="str">
        <x:v>Ultra-fast charging batteries</x:v>
      </x:c>
      <x:c r="C15" s="19" t="str">
        <x:v>2026</x:v>
      </x:c>
      <x:c r="D15" s="19" t="str">
        <x:v>IEA</x:v>
      </x:c>
      <x:c r="E15" s="19" t="str">
        <x:v>official_research</x:v>
      </x:c>
      <x:c r="F15" s="19" t="str">
        <x:v>https://www.iea.org/reports/ultra-fast-charging-batteries</x:v>
      </x:c>
      <x:c r="G15" s="19" t="str">
        <x:v>高倍率与高压架构技术边界</x:v>
      </x:c>
      <x:c r="H15" s="19" t="str">
        <x:v>不提供直接单车溢价</x:v>
      </x:c>
      <x:c r="I15" s="19" t="str">
        <x:v>E1</x:v>
      </x:c>
    </x:row>
    <x:row r="16" ht="52" customHeight="1">
      <x:c r="A16" s="20" t="str">
        <x:v>SRC-BAOLONG-AIR</x:v>
      </x:c>
      <x:c r="B16" s="20" t="str">
        <x:v>保隆科技可转债募集说明书</x:v>
      </x:c>
      <x:c r="C16" s="20" t="str">
        <x:v>2023-08-04</x:v>
      </x:c>
      <x:c r="D16" s="20" t="str">
        <x:v>保隆科技/上交所</x:v>
      </x:c>
      <x:c r="E16" s="20" t="str">
        <x:v>issuer_filing</x:v>
      </x:c>
      <x:c r="F16" s="20" t="str">
        <x:v>https://static.sse.com.cn/stock/disclosure/announcement/c/202308/603197_20230804_R0K1.pdf</x:v>
      </x:c>
      <x:c r="G16" s="20" t="str">
        <x:v>空气弹簧减振器/独立空簧/供气单元项目ASP</x:v>
      </x:c>
      <x:c r="H16" s="20" t="str">
        <x:v>完整系统区间仍含工程拆分</x:v>
      </x:c>
      <x:c r="I16" s="20" t="str">
        <x:v>E1</x:v>
      </x:c>
    </x:row>
    <x:row r="17" ht="52" customHeight="1">
      <x:c r="A17" s="19" t="str">
        <x:v>SRC-WANAN-CALIPER</x:v>
      </x:c>
      <x:c r="B17" s="19" t="str">
        <x:v>万安科技募资说明书</x:v>
      </x:c>
      <x:c r="C17" s="19" t="str">
        <x:v>2024-04-30</x:v>
      </x:c>
      <x:c r="D17" s="19" t="str">
        <x:v>万安科技/巨潮资讯</x:v>
      </x:c>
      <x:c r="E17" s="19" t="str">
        <x:v>issuer_filing</x:v>
      </x:c>
      <x:c r="F17" s="19" t="str">
        <x:v>https://static.cninfo.com.cn/finalpage/2024-04-30/1219914068.PDF</x:v>
      </x:c>
      <x:c r="G17" s="19" t="str">
        <x:v>固定卡钳50万套/4.3亿元≈860元/套</x:v>
      </x:c>
      <x:c r="H17" s="19" t="str">
        <x:v>Brembo品牌级差为估计</x:v>
      </x:c>
      <x:c r="I17" s="19" t="str">
        <x:v>E1</x:v>
      </x:c>
    </x:row>
    <x:row r="18" ht="52" customHeight="1">
      <x:c r="A18" s="20" t="str">
        <x:v>SRC-LONGJI-BRAKE</x:v>
      </x:c>
      <x:c r="B18" s="20" t="str">
        <x:v>隆基机械2023年报</x:v>
      </x:c>
      <x:c r="C18" s="20" t="str">
        <x:v>2024-04-29</x:v>
      </x:c>
      <x:c r="D18" s="20" t="str">
        <x:v>隆基机械/巨潮资讯</x:v>
      </x:c>
      <x:c r="E18" s="20" t="str">
        <x:v>annual_report</x:v>
      </x:c>
      <x:c r="F18" s="20" t="str">
        <x:v>https://static.cninfo.com.cn/finalpage/2024-04-29/1219868360.PDF</x:v>
      </x:c>
      <x:c r="G18" s="20" t="str">
        <x:v>新能源制动盘混合均价下限锚</x:v>
      </x:c>
      <x:c r="H18" s="20" t="str">
        <x:v>不区分打孔/尺寸/材质</x:v>
      </x:c>
      <x:c r="I18" s="20" t="str">
        <x:v>E1</x:v>
      </x:c>
    </x:row>
    <x:row r="19" ht="52" customHeight="1">
      <x:c r="A19" s="19" t="str">
        <x:v>SRC-DESAY-2024</x:v>
      </x:c>
      <x:c r="B19" s="19" t="str">
        <x:v>德赛西威募资说明书</x:v>
      </x:c>
      <x:c r="C19" s="19" t="str">
        <x:v>2024-11-25</x:v>
      </x:c>
      <x:c r="D19" s="19" t="str">
        <x:v>德赛西威/巨潮资讯</x:v>
      </x:c>
      <x:c r="E19" s="19" t="str">
        <x:v>issuer_filing</x:v>
      </x:c>
      <x:c r="F19" s="19" t="str">
        <x:v>https://static.cninfo.com.cn/finalpage/2024-11-25/1221831400.PDF</x:v>
      </x:c>
      <x:c r="G19" s="19" t="str">
        <x:v>HUD、显示屏、摄像头和高算力域控项目ASP</x:v>
      </x:c>
      <x:c r="H19" s="19" t="str">
        <x:v>具体尺寸/分辨率需工程调整</x:v>
      </x:c>
      <x:c r="I19" s="19" t="str">
        <x:v>E1</x:v>
      </x:c>
    </x:row>
    <x:row r="20" ht="52" customHeight="1">
      <x:c r="A20" s="20" t="str">
        <x:v>SRC-SONAVOX-2025</x:v>
      </x:c>
      <x:c r="B20" s="20" t="str">
        <x:v>上声电子募资文件</x:v>
      </x:c>
      <x:c r="C20" s="20" t="str">
        <x:v>2025-10-30</x:v>
      </x:c>
      <x:c r="D20" s="20" t="str">
        <x:v>上声电子/上交所</x:v>
      </x:c>
      <x:c r="E20" s="20" t="str">
        <x:v>issuer_filing</x:v>
      </x:c>
      <x:c r="F20" s="20" t="str">
        <x:v>https://static.sse.com.cn/stock/disclosure/announcement/c/202510/688533_20251030_D4MF.pdf</x:v>
      </x:c>
      <x:c r="G20" s="20" t="str">
        <x:v>扬声器约26.04元/只、功放约741元/台</x:v>
      </x:c>
      <x:c r="H20" s="20" t="str">
        <x:v>14扬声器基线功放配置未知</x:v>
      </x:c>
      <x:c r="I20" s="20" t="str">
        <x:v>E1</x:v>
      </x:c>
    </x:row>
    <x:row r="21" ht="52" customHeight="1">
      <x:c r="A21" s="19" t="str">
        <x:v>SRC-DAIMAY-2023</x:v>
      </x:c>
      <x:c r="B21" s="19" t="str">
        <x:v>戴美股份募资说明书</x:v>
      </x:c>
      <x:c r="C21" s="19" t="str">
        <x:v>2023-07-14</x:v>
      </x:c>
      <x:c r="D21" s="19" t="str">
        <x:v>戴美股份/巨潮资讯</x:v>
      </x:c>
      <x:c r="E21" s="19" t="str">
        <x:v>issuer_filing</x:v>
      </x:c>
      <x:c r="F21" s="19" t="str">
        <x:v>https://static.cninfo.com.cn/finalpage/2023-07-14/1217293529.PDF</x:v>
      </x:c>
      <x:c r="G21" s="19" t="str">
        <x:v>普通顶棚约700元/套绝对锚</x:v>
      </x:c>
      <x:c r="H21" s="19" t="str">
        <x:v>麂皮仅取面层增量</x:v>
      </x:c>
      <x:c r="I21" s="19" t="str">
        <x:v>E1</x:v>
      </x:c>
    </x:row>
    <x:row r="22" ht="52" customHeight="1">
      <x:c r="A22" s="20" t="str">
        <x:v>SRC-MINGXIN-2024</x:v>
      </x:c>
      <x:c r="B22" s="20" t="str">
        <x:v>明新旭腾2024年报</x:v>
      </x:c>
      <x:c r="C22" s="20" t="str">
        <x:v>2025-04-22</x:v>
      </x:c>
      <x:c r="D22" s="20" t="str">
        <x:v>明新旭腾/巨潮资讯</x:v>
      </x:c>
      <x:c r="E22" s="20" t="str">
        <x:v>annual_report</x:v>
      </x:c>
      <x:c r="F22" s="20" t="str">
        <x:v>https://static.cninfo.com.cn/finalpage/2025-04-22/1223186629.PDF</x:v>
      </x:c>
      <x:c r="G22" s="20" t="str">
        <x:v>牛皮收入/面积约24.07元/平方英尺</x:v>
      </x:c>
      <x:c r="H22" s="20" t="str">
        <x:v>Nappa等级与用量为工程区间</x:v>
      </x:c>
      <x:c r="I22" s="20" t="str">
        <x:v>E1</x:v>
      </x:c>
    </x:row>
    <x:row r="23" ht="52" customHeight="1">
      <x:c r="A23" s="19" t="str">
        <x:v>SRC-ZHEJIANG-SHIBAO</x:v>
      </x:c>
      <x:c r="B23" s="19" t="str">
        <x:v>浙江世宝审核回复</x:v>
      </x:c>
      <x:c r="C23" s="19" t="str">
        <x:v>2023</x:v>
      </x:c>
      <x:c r="D23" s="19" t="str">
        <x:v>浙江世宝</x:v>
      </x:c>
      <x:c r="E23" s="19" t="str">
        <x:v>issuer_response</x:v>
      </x:c>
      <x:c r="F23" s="19" t="str">
        <x:v>https://vip.stock.finance.sina.com.cn/corp/view/vCB_AllBulletinDetail.php?id=9243751&amp;stockid=002703</x:v>
      </x:c>
      <x:c r="G23" s="19" t="str">
        <x:v>电动与机械方向柱ASP差约478—568元</x:v>
      </x:c>
      <x:c r="H23" s="19" t="str">
        <x:v>页面镜像，原始交易所文件优先</x:v>
      </x:c>
      <x:c r="I23" s="19" t="str">
        <x:v>E2</x:v>
      </x:c>
    </x:row>
    <x:row r="24" ht="52" customHeight="1">
      <x:c r="A24" s="20" t="str">
        <x:v>SRC-GENTEX-2025</x:v>
      </x:c>
      <x:c r="B24" s="20" t="str">
        <x:v>Gentex FY2025 10-K</x:v>
      </x:c>
      <x:c r="C24" s="20" t="str">
        <x:v>2026</x:v>
      </x:c>
      <x:c r="D24" s="20" t="str">
        <x:v>Gentex/SEC</x:v>
      </x:c>
      <x:c r="E24" s="20" t="str">
        <x:v>annual_report</x:v>
      </x:c>
      <x:c r="F24" s="20" t="str">
        <x:v>https://www.sec.gov/Archives/edgar/data/355811/000035581126000010/gntx-20251231.htm</x:v>
      </x:c>
      <x:c r="G24" s="20" t="str">
        <x:v>汽车后视镜混合ASP上限锚</x:v>
      </x:c>
      <x:c r="H24" s="20" t="str">
        <x:v>整镜ASP不等于EC镜片增量</x:v>
      </x:c>
      <x:c r="I24" s="20" t="str">
        <x:v>E1</x:v>
      </x:c>
    </x:row>
    <x:row r="25" ht="52" customHeight="1">
      <x:c r="A25" s="19" t="str">
        <x:v>SRC-HESAI-2025-20F</x:v>
      </x:c>
      <x:c r="B25" s="19" t="str">
        <x:v>Hesai FY2025 20-F</x:v>
      </x:c>
      <x:c r="C25" s="19" t="str">
        <x:v>2026</x:v>
      </x:c>
      <x:c r="D25" s="19" t="str">
        <x:v>Hesai/SEC</x:v>
      </x:c>
      <x:c r="E25" s="19" t="str">
        <x:v>annual_report</x:v>
      </x:c>
      <x:c r="F25" s="19" t="str">
        <x:v>https://www.sec.gov/Archives/edgar/data/1861737/000110465926048025/hsai-20251231x20f.htm</x:v>
      </x:c>
      <x:c r="G25" s="19" t="str">
        <x:v>激光雷达混合ASP约1835元</x:v>
      </x:c>
      <x:c r="H25" s="19" t="str">
        <x:v>含较贵机器人雷达</x:v>
      </x:c>
      <x:c r="I25" s="19" t="str">
        <x:v>E1</x:v>
      </x:c>
    </x:row>
    <x:row r="26" ht="52" customHeight="1">
      <x:c r="A26" s="20" t="str">
        <x:v>SRC-ZONGMU-2023</x:v>
      </x:c>
      <x:c r="B26" s="20" t="str">
        <x:v>纵目科技申报稿</x:v>
      </x:c>
      <x:c r="C26" s="20" t="str">
        <x:v>2023-03-28</x:v>
      </x:c>
      <x:c r="D26" s="20" t="str">
        <x:v>纵目科技/上交所</x:v>
      </x:c>
      <x:c r="E26" s="20" t="str">
        <x:v>issuer_filing</x:v>
      </x:c>
      <x:c r="F26" s="20" t="str">
        <x:v>https://static.sse.com.cn/stock/disclosure/announcement/c/202303/001340_20230328_LO49.pdf</x:v>
      </x:c>
      <x:c r="G26" s="20" t="str">
        <x:v>超声波与毫米波历史ASP</x:v>
      </x:c>
      <x:c r="H26" s="20" t="str">
        <x:v>旧代际，4D区间需调整</x:v>
      </x:c>
      <x:c r="I26" s="20" t="str">
        <x:v>E1</x:v>
      </x:c>
    </x:row>
    <x:row r="27" ht="52" customHeight="1">
      <x:c r="A27" s="19" t="str">
        <x:v>SRC-XIAOMI-YU7</x:v>
      </x:c>
      <x:c r="B27" s="19" t="str">
        <x:v>小米YU7官方产品页</x:v>
      </x:c>
      <x:c r="C27" s="19" t="str">
        <x:v>accessed 2026-08-01</x:v>
      </x:c>
      <x:c r="D27" s="19" t="str">
        <x:v>小米汽车</x:v>
      </x:c>
      <x:c r="E27" s="19" t="str">
        <x:v>official_product</x:v>
      </x:c>
      <x:c r="F27" s="19" t="str">
        <x:v>https://www.xiaomiev.com/yu7</x:v>
      </x:c>
      <x:c r="G27" s="19" t="str">
        <x:v>空悬/制动/NVH/ADAS数量与版本边界</x:v>
      </x:c>
      <x:c r="H27" s="19" t="str">
        <x:v>当前网页状态会变化，已按时点冻结</x:v>
      </x:c>
      <x:c r="I27" s="19" t="str">
        <x:v>E1</x:v>
      </x:c>
    </x:row>
    <x:row r="28" ht="52" customHeight="1">
      <x:c r="A28" s="20" t="str">
        <x:v>SRC-XIAOMI-EEA</x:v>
      </x:c>
      <x:c r="B28" s="20" t="str">
        <x:v>小米汽车电子电气架构页</x:v>
      </x:c>
      <x:c r="C28" s="20" t="str">
        <x:v>accessed 2026-08-01</x:v>
      </x:c>
      <x:c r="D28" s="20" t="str">
        <x:v>小米汽车</x:v>
      </x:c>
      <x:c r="E28" s="20" t="str">
        <x:v>official_technology</x:v>
      </x:c>
      <x:c r="F28" s="20" t="str">
        <x:v>https://www.xiaomiev.com/eea</x:v>
      </x:c>
      <x:c r="G28" s="20" t="str">
        <x:v>ADD集成中央大脑与Thor 700TOPS边界</x:v>
      </x:c>
      <x:c r="H28" s="20" t="str">
        <x:v>不提供成本</x:v>
      </x:c>
      <x:c r="I28" s="20" t="str">
        <x:v>E1</x:v>
      </x:c>
    </x:row>
    <x:row r="29" ht="52" customHeight="1">
      <x:c r="A29" s="19" t="str">
        <x:v>SRC-PDCLC-PROJECT</x:v>
      </x:c>
      <x:c r="B29" s="19" t="str">
        <x:v>调光膜产能项目公告</x:v>
      </x:c>
      <x:c r="C29" s="19" t="str">
        <x:v>2025-07-17</x:v>
      </x:c>
      <x:c r="D29" s="19" t="str">
        <x:v>上市公司/巨潮资讯</x:v>
      </x:c>
      <x:c r="E29" s="19" t="str">
        <x:v>issuer_filing</x:v>
      </x:c>
      <x:c r="F29" s="19" t="str">
        <x:v>https://static.cninfo.com.cn/finalpage/2025-07-17/1224189310.PDF</x:v>
      </x:c>
      <x:c r="G29" s="19" t="str">
        <x:v>PDCLC产能/投资规模与技术存在性</x:v>
      </x:c>
      <x:c r="H29" s="19" t="str">
        <x:v>无ASP，区间中低置信</x:v>
      </x:c>
      <x:c r="I29" s="19" t="str">
        <x:v>E1</x:v>
      </x:c>
    </x:row>
    <x:row r="30" ht="52" customHeight="1">
      <x:c r="A30" s="20" t="str">
        <x:v>SRC-RIMA-2025</x:v>
      </x:c>
      <x:c r="B30" s="20" t="str">
        <x:v>瑞玛精密审核回复</x:v>
      </x:c>
      <x:c r="C30" s="20" t="str">
        <x:v>2025-06-04</x:v>
      </x:c>
      <x:c r="D30" s="20" t="str">
        <x:v>瑞玛精密/巨潮资讯</x:v>
      </x:c>
      <x:c r="E30" s="20" t="str">
        <x:v>issuer_response</x:v>
      </x:c>
      <x:c r="F30" s="20" t="str">
        <x:v>https://static.cninfo.com.cn/finalpage/2025-06-04/1223750434.PDF</x:v>
      </x:c>
      <x:c r="G30" s="20" t="str">
        <x:v>零重力系统1500、普通前排870元</x:v>
      </x:c>
      <x:c r="H30" s="20" t="str">
        <x:v>YU7为选装/权益，故仅敏感项</x:v>
      </x:c>
      <x:c r="I30" s="20" t="str">
        <x:v>E1</x:v>
      </x:c>
    </x:row>
    <x:row r="31" ht="52" customHeight="1">
      <x:c r="A31" s="19" t="str">
        <x:v>SRC-SOFTCLOSE-SECONDARY</x:v>
      </x:c>
      <x:c r="B31" s="19" t="str">
        <x:v>电吸门系统公开价值量整理</x:v>
      </x:c>
      <x:c r="C31" s="19" t="str">
        <x:v>2022-01-19</x:v>
      </x:c>
      <x:c r="D31" s="19" t="str">
        <x:v>财经媒体</x:v>
      </x:c>
      <x:c r="E31" s="19" t="str">
        <x:v>secondary</x:v>
      </x:c>
      <x:c r="F31" s="19" t="str">
        <x:v>https://finance.sina.cn/2022-01-19/detail-ikyakumy1261174.d.html?from=qudao</x:v>
      </x:c>
      <x:c r="G31" s="19" t="str">
        <x:v>四门系统约1000元/车</x:v>
      </x:c>
      <x:c r="H31" s="19" t="str">
        <x:v>非原始披露，置信度中低</x:v>
      </x:c>
      <x:c r="I31" s="19" t="str">
        <x:v>E3</x:v>
      </x:c>
    </x:row>
    <x:row r="32" ht="52" customHeight="1">
      <x:c r="A32" s="20" t="str">
        <x:v>SRC-VAT-CHINA-2026</x:v>
      </x:c>
      <x:c r="B32" s="20" t="str">
        <x:v>中华人民共和国增值税法</x:v>
      </x:c>
      <x:c r="C32" s="20" t="str">
        <x:v>effective 2026-01-01</x:v>
      </x:c>
      <x:c r="D32" s="20" t="str">
        <x:v>国家税务总局</x:v>
      </x:c>
      <x:c r="E32" s="20" t="str">
        <x:v>official_law</x:v>
      </x:c>
      <x:c r="F32" s="20" t="str">
        <x:v>https://shanghai.chinatax.gov.cn/sjtax/ztzl/yshj/ldjj/202412/t474700.html</x:v>
      </x:c>
      <x:c r="G32" s="20" t="str">
        <x:v>货物13%税率</x:v>
      </x:c>
      <x:c r="H32" s="20" t="str">
        <x:v>仅用于含税/未税桥</x:v>
      </x:c>
      <x:c r="I32" s="20" t="str">
        <x:v>E1</x:v>
      </x:c>
    </x:row>
    <x:row r="33" ht="52" customHeight="1">
      <x:c r="A33" s="19" t="str">
        <x:v>SRC-XM-SU7-APP</x:v>
      </x:c>
      <x:c r="B33" s="19" t="str">
        <x:v>用户留存小米汽车App SU7对比录屏</x:v>
      </x:c>
      <x:c r="C33" s="19" t="str">
        <x:v>2026-08-01</x:v>
      </x:c>
      <x:c r="D33" s="19" t="str">
        <x:v>小米汽车App</x:v>
      </x:c>
      <x:c r="E33" s="19" t="str">
        <x:v>official_app_capture</x:v>
      </x:c>
      <x:c r="F33" s="19" t="str">
        <x:v>C:/Users/GinMos/OneDrive/文档/xwechat_files/wxid_7qmu7u961agz21_ed7d/msg/video/2026-08/7123e214763bc9ae82f7444a63a06881_raw.mp4</x:v>
      </x:c>
      <x:c r="G33" s="19" t="str">
        <x:v>SU7标配/选装与Max桥字段</x:v>
      </x:c>
      <x:c r="H33" s="19" t="str">
        <x:v>本地视觉快照；不嵌入含个人通知画面</x:v>
      </x:c>
      <x:c r="I33" s="19" t="str">
        <x:v>E1_visual</x:v>
      </x:c>
    </x:row>
    <x:row r="34" ht="52" customHeight="1">
      <x:c r="A34" s="20" t="str">
        <x:v>SRC-XM-YU7-APP</x:v>
      </x:c>
      <x:c r="B34" s="20" t="str">
        <x:v>用户留存小米汽车App YU7对比录屏</x:v>
      </x:c>
      <x:c r="C34" s="20" t="str">
        <x:v>2026-08-01</x:v>
      </x:c>
      <x:c r="D34" s="20" t="str">
        <x:v>小米汽车App</x:v>
      </x:c>
      <x:c r="E34" s="20" t="str">
        <x:v>official_app_capture</x:v>
      </x:c>
      <x:c r="F34" s="20" t="str">
        <x:v>C:/Users/GinMos/OneDrive/文档/xwechat_files/wxid_7qmu7u961agz21_ed7d/msg/video/2026-08/3129aabb19ddfc0ab2b01af3586de1f3_raw.mp4</x:v>
      </x:c>
      <x:c r="G34" s="20" t="str">
        <x:v>YU7标配/选装与Max桥字段</x:v>
      </x:c>
      <x:c r="H34" s="20" t="str">
        <x:v>本地视觉快照；GT只作列对齐、不进样本</x:v>
      </x:c>
      <x:c r="I34" s="20" t="str">
        <x:v>E1_visual</x:v>
      </x:c>
    </x:row>
    <x:row r="35" ht="52" customHeight="1">
      <x:c r="A35" s="19" t="str">
        <x:v>SRC-MODEL-ASSUMPTION</x:v>
      </x:c>
      <x:c r="B35" s="19" t="str">
        <x:v>Phase 2.1B透明工程假设</x:v>
      </x:c>
      <x:c r="C35" s="19" t="str">
        <x:v>2026-08-01</x:v>
      </x:c>
      <x:c r="D35" s="19" t="str">
        <x:v>本项目</x:v>
      </x:c>
      <x:c r="E35" s="19" t="str">
        <x:v>model_assumption</x:v>
      </x:c>
      <x:c r="F35" s="19" t="str">
        <x:v>working/phase_2_1b/build_phase_2_1b_root.mjs</x:v>
      </x:c>
      <x:c r="G35" s="19" t="str">
        <x:v>低置信小件及M09/M10覆盖率</x:v>
      </x:c>
      <x:c r="H35" s="19" t="str">
        <x:v>明确可编辑，不得伪装成精确供应商报价</x:v>
      </x:c>
      <x:c r="I35" s="19" t="str">
        <x:v>MODEL</x:v>
      </x:c>
    </x:row>
  </x:sheetData>
  <x:mergeCells>
    <x:mergeCell ref="A1:I1"/>
    <x:mergeCell ref="A2:I2"/>
    <x:mergeCell ref="A3:I3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46" hidden="0" customWidth="1"/>
    <x:col min="3" max="3" width="20" hidden="0" customWidth="1"/>
    <x:col min="4" max="4" width="20" hidden="0" customWidth="1"/>
    <x:col min="5" max="5" width="15" hidden="0" customWidth="1"/>
    <x:col min="6" max="6" width="55" hidden="0" customWidth="1"/>
  </x:cols>
  <x:sheetData>
    <x:row r="1" ht="30" customHeight="1">
      <x:c r="A1" s="3" t="str">
        <x:v>07｜Phase 2.1B 模型校验</x:v>
      </x:c>
      <x:c r="B1" s="3"/>
      <x:c r="C1" s="3"/>
      <x:c r="D1" s="3"/>
      <x:c r="E1" s="3"/>
      <x:c r="F1" s="3"/>
    </x:row>
    <x:row r="2" ht="22" customHeight="1">
      <x:c r="A2" s="6" t="str">
        <x:v>所有actual均由公式回链工作表；金额容差0.02元</x:v>
      </x:c>
      <x:c r="B2" s="6"/>
      <x:c r="C2" s="6"/>
      <x:c r="D2" s="6"/>
      <x:c r="E2" s="6"/>
      <x:c r="F2" s="6"/>
    </x:row>
    <x:row r="3" ht="38" customHeight="1">
      <x:c r="A3" s="10" t="str">
        <x:v>高情景超覆盖属于诊断预警，不判FAIL；校验重点是范围、公式、证据门槛与防重复。</x:v>
      </x:c>
      <x:c r="B3" s="10"/>
      <x:c r="C3" s="10"/>
      <x:c r="D3" s="10"/>
      <x:c r="E3" s="10"/>
      <x:c r="F3" s="10"/>
    </x:row>
    <x:row r="6" ht="38" customHeight="1">
      <x:c r="A6" s="15" t="str">
        <x:v>rule_id</x:v>
      </x:c>
      <x:c r="B6" s="15" t="str">
        <x:v>check</x:v>
      </x:c>
      <x:c r="C6" s="15" t="str">
        <x:v>expected</x:v>
      </x:c>
      <x:c r="D6" s="15" t="str">
        <x:v>actual</x:v>
      </x:c>
      <x:c r="E6" s="15" t="str">
        <x:v>status</x:v>
      </x:c>
      <x:c r="F6" s="15" t="str">
        <x:v>note</x:v>
      </x:c>
    </x:row>
    <x:row r="7" ht="32" customHeight="1">
      <x:c r="A7" s="19" t="str">
        <x:v>C01_ASSUMPTION_ROWS</x:v>
      </x:c>
      <x:c r="B7" s="19" t="str">
        <x:v>假设库行数</x:v>
      </x:c>
      <x:c r="C7" s="19" t="n">
        <x:v>43</x:v>
      </x:c>
      <x:c r="D7" s="19" t="n">
        <x:f>COUNTA('01_原子成本假设'!$A$7:$A$49)</x:f>
        <x:v>43</x:v>
      </x:c>
      <x:c r="E7" s="19" t="str">
        <x:f>IF(ABS(D7-C7)&lt;0.02,"PASS","FAIL")</x:f>
        <x:v>PASS</x:v>
      </x:c>
      <x:c r="F7" s="19" t="str">
        <x:v>含绝对参考、核心、blocked与参数。</x:v>
      </x:c>
    </x:row>
    <x:row r="8" ht="32" customHeight="1">
      <x:c r="A8" s="20" t="str">
        <x:v>C02_CORE_ASSUMPTIONS</x:v>
      </x:c>
      <x:c r="B8" s="20" t="str">
        <x:v>核心增量假设数</x:v>
      </x:c>
      <x:c r="C8" s="20" t="n">
        <x:v>23</x:v>
      </x:c>
      <x:c r="D8" s="20" t="n">
        <x:f>COUNTIF('01_原子成本假设'!$D$7:$D$49,"increment_core")</x:f>
        <x:v>23</x:v>
      </x:c>
      <x:c r="E8" s="20" t="str">
        <x:f>IF(ABS(D8-C8)&lt;0.02,"PASS","FAIL")</x:f>
        <x:v>PASS</x:v>
      </x:c>
      <x:c r="F8" s="20" t="str">
        <x:v>所有核心项可进入五桥。</x:v>
      </x:c>
    </x:row>
    <x:row r="9" ht="32" customHeight="1">
      <x:c r="A9" s="19" t="str">
        <x:v>C03_ABS_REFERENCES</x:v>
      </x:c>
      <x:c r="B9" s="19" t="str">
        <x:v>绝对参考假设数</x:v>
      </x:c>
      <x:c r="C9" s="19" t="n">
        <x:v>14</x:v>
      </x:c>
      <x:c r="D9" s="19" t="n">
        <x:f>COUNTIF('01_原子成本假设'!$D$7:$D$49,"absolute_reference")</x:f>
        <x:v>14</x:v>
      </x:c>
      <x:c r="E9" s="19" t="str">
        <x:f>IF(ABS(D9-C9)&lt;0.02,"PASS","FAIL")</x:f>
        <x:v>PASS</x:v>
      </x:c>
      <x:c r="F9" s="19" t="str">
        <x:v>不进入相邻版本桥。</x:v>
      </x:c>
    </x:row>
    <x:row r="10" ht="32" customHeight="1">
      <x:c r="A10" s="20" t="str">
        <x:v>C04_ASSUMPTION_RANGE_FAIL</x:v>
      </x:c>
      <x:c r="B10" s="20" t="str">
        <x:v>假设区间FAIL数</x:v>
      </x:c>
      <x:c r="C10" s="20" t="n">
        <x:v>0</x:v>
      </x:c>
      <x:c r="D10" s="20" t="n">
        <x:f>COUNTIF('01_原子成本假设'!$R$7:$R$49,"FAIL")</x:f>
        <x:v>0</x:v>
      </x:c>
      <x:c r="E10" s="20" t="str">
        <x:f>IF(ABS(D10-C10)&lt;0.02,"PASS","FAIL")</x:f>
        <x:v>PASS</x:v>
      </x:c>
      <x:c r="F10" s="20" t="str">
        <x:v>低≤中≤高。</x:v>
      </x:c>
    </x:row>
    <x:row r="11" ht="32" customHeight="1">
      <x:c r="A11" s="19" t="str">
        <x:v>C05_BLOCKED_ROWS</x:v>
      </x:c>
      <x:c r="B11" s="19" t="str">
        <x:v>blocked敏感项数</x:v>
      </x:c>
      <x:c r="C11" s="19" t="n">
        <x:v>3</x:v>
      </x:c>
      <x:c r="D11" s="19" t="n">
        <x:f>COUNTIF('01_原子成本假设'!$D$7:$D$49,"blocked_sensitivity")</x:f>
        <x:v>3</x:v>
      </x:c>
      <x:c r="E11" s="19" t="str">
        <x:f>IF(ABS(D11-C11)&lt;0.02,"PASS","FAIL")</x:f>
        <x:v>PASS</x:v>
      </x:c>
      <x:c r="F11" s="19" t="str">
        <x:v>两轴刹车片+零重力。</x:v>
      </x:c>
    </x:row>
    <x:row r="12" ht="32" customHeight="1">
      <x:c r="A12" s="20" t="str">
        <x:v>C06_BRIDGES</x:v>
      </x:c>
      <x:c r="B12" s="20" t="str">
        <x:v>桥接数量</x:v>
      </x:c>
      <x:c r="C12" s="20" t="n">
        <x:v>5</x:v>
      </x:c>
      <x:c r="D12" s="20" t="n">
        <x:f>COUNTA('04_售价成本校准'!$A$7:$A$11)</x:f>
        <x:v>5</x:v>
      </x:c>
      <x:c r="E12" s="20" t="str">
        <x:f>IF(ABS(D12-C12)&lt;0.02,"PASS","FAIL")</x:f>
        <x:v>PASS</x:v>
      </x:c>
      <x:c r="F12" s="20" t="str">
        <x:v>SU7两条+YU7三条。</x:v>
      </x:c>
    </x:row>
    <x:row r="13" ht="32" customHeight="1">
      <x:c r="A13" s="19" t="str">
        <x:v>C07_DETAIL_ROWS</x:v>
      </x:c>
      <x:c r="B13" s="19" t="str">
        <x:v>核心桥接原子行数</x:v>
      </x:c>
      <x:c r="C13" s="19" t="n">
        <x:v>37</x:v>
      </x:c>
      <x:c r="D13" s="19" t="n">
        <x:f>COUNTA('02_桥接拆项'!$A$7:$A$43)</x:f>
        <x:v>37</x:v>
      </x:c>
      <x:c r="E13" s="19" t="str">
        <x:f>IF(ABS(D13-C13)&lt;0.02,"PASS","FAIL")</x:f>
        <x:v>PASS</x:v>
      </x:c>
      <x:c r="F13" s="19" t="str">
        <x:v>3/15/3/2/14。</x:v>
      </x:c>
    </x:row>
    <x:row r="14" ht="32" customHeight="1">
      <x:c r="A14" s="20" t="str">
        <x:v>C08_DEDUP_FAIL</x:v>
      </x:c>
      <x:c r="B14" s="20" t="str">
        <x:v>同桥防重键FAIL数</x:v>
      </x:c>
      <x:c r="C14" s="20" t="n">
        <x:v>0</x:v>
      </x:c>
      <x:c r="D14" s="20" t="n">
        <x:f>COUNTIF('02_桥接拆项'!$T$7:$T$43,"FAIL")</x:f>
        <x:v>0</x:v>
      </x:c>
      <x:c r="E14" s="20" t="str">
        <x:f>IF(ABS(D14-C14)&lt;0.02,"PASS","FAIL")</x:f>
        <x:v>PASS</x:v>
      </x:c>
      <x:c r="F14" s="20" t="str">
        <x:v>同桥同double_count_key唯一。</x:v>
      </x:c>
    </x:row>
    <x:row r="15" ht="32" customHeight="1">
      <x:c r="A15" s="19" t="str">
        <x:v>C09_DETAIL_RANGE_FAIL</x:v>
      </x:c>
      <x:c r="B15" s="19" t="str">
        <x:v>桥接原子区间FAIL数</x:v>
      </x:c>
      <x:c r="C15" s="19" t="n">
        <x:v>0</x:v>
      </x:c>
      <x:c r="D15" s="19" t="n">
        <x:f>COUNTIF('02_桥接拆项'!$U$7:$U$43,"FAIL")</x:f>
        <x:v>0</x:v>
      </x:c>
      <x:c r="E15" s="19" t="str">
        <x:f>IF(ABS(D15-C15)&lt;0.02,"PASS","FAIL")</x:f>
        <x:v>PASS</x:v>
      </x:c>
      <x:c r="F15" s="19" t="str">
        <x:v>低≤中≤高。</x:v>
      </x:c>
    </x:row>
    <x:row r="16" ht="32" customHeight="1">
      <x:c r="A16" s="20" t="str">
        <x:v>C10_MODULE_ROWS</x:v>
      </x:c>
      <x:c r="B16" s="20" t="str">
        <x:v>桥×模块行数</x:v>
      </x:c>
      <x:c r="C16" s="20" t="n">
        <x:v>50</x:v>
      </x:c>
      <x:c r="D16" s="20" t="n">
        <x:f>COUNTA('03_模块汇总'!$A$7:$A$56)</x:f>
        <x:v>50</x:v>
      </x:c>
      <x:c r="E16" s="20" t="str">
        <x:f>IF(ABS(D16-C16)&lt;0.02,"PASS","FAIL")</x:f>
        <x:v>PASS</x:v>
      </x:c>
      <x:c r="F16" s="20" t="str">
        <x:v>5桥×10模块。</x:v>
      </x:c>
    </x:row>
    <x:row r="17" ht="32" customHeight="1">
      <x:c r="A17" s="19" t="str">
        <x:v>C11_MODULE_RANGE_FAIL</x:v>
      </x:c>
      <x:c r="B17" s="19" t="str">
        <x:v>模块区间FAIL数</x:v>
      </x:c>
      <x:c r="C17" s="19" t="n">
        <x:v>0</x:v>
      </x:c>
      <x:c r="D17" s="19" t="n">
        <x:f>COUNTIF('03_模块汇总'!$G$7:$G$56,"FAIL")</x:f>
        <x:v>0</x:v>
      </x:c>
      <x:c r="E17" s="19" t="str">
        <x:f>IF(ABS(D17-C17)&lt;0.02,"PASS","FAIL")</x:f>
        <x:v>PASS</x:v>
      </x:c>
      <x:c r="F17" s="19" t="str">
        <x:v>低≤中≤高。</x:v>
      </x:c>
    </x:row>
    <x:row r="18" ht="32" customHeight="1">
      <x:c r="A18" s="20" t="str">
        <x:v>C12_PRICE_DELTA_SUM</x:v>
      </x:c>
      <x:c r="B18" s="20" t="str">
        <x:v>含税价差合计</x:v>
      </x:c>
      <x:c r="C18" s="20" t="n">
        <x:v>180400</x:v>
      </x:c>
      <x:c r="D18" s="20" t="n">
        <x:f>SUM('04_售价成本校准'!$E$7:$E$11)</x:f>
        <x:v>180400</x:v>
      </x:c>
      <x:c r="E18" s="20" t="str">
        <x:f>IF(ABS(D18-C18)&lt;0.02,"PASS","FAIL")</x:f>
        <x:v>PASS</x:v>
      </x:c>
      <x:c r="F18" s="20" t="str">
        <x:v>30k+54k+20k+26.4k+50k。</x:v>
      </x:c>
    </x:row>
    <x:row r="19" ht="32" customHeight="1">
      <x:c r="A19" s="19" t="str">
        <x:v>C13_VAT_RATE</x:v>
      </x:c>
      <x:c r="B19" s="19" t="str">
        <x:v>增值税率</x:v>
      </x:c>
      <x:c r="C19" s="19" t="n">
        <x:v>0.13</x:v>
      </x:c>
      <x:c r="D19" s="19" t="n">
        <x:f>'01_原子成本假设'!$F$49</x:f>
        <x:v>0.13</x:v>
      </x:c>
      <x:c r="E19" s="19" t="str">
        <x:f>IF(ABS(D19-C19)&lt;0.02,"PASS","FAIL")</x:f>
        <x:v>PASS</x:v>
      </x:c>
      <x:c r="F19" s="19" t="str">
        <x:v>未税=含税÷1.13。</x:v>
      </x:c>
    </x:row>
    <x:row r="20" ht="32" customHeight="1">
      <x:c r="A20" s="20" t="str">
        <x:v>C14_EXVAT_SUM</x:v>
      </x:c>
      <x:c r="B20" s="20" t="str">
        <x:v>未税价差合计</x:v>
      </x:c>
      <x:c r="C20" s="20" t="n">
        <x:v>159646.017699</x:v>
      </x:c>
      <x:c r="D20" s="20" t="n">
        <x:f>SUM('04_售价成本校准'!$G$7:$G$11)</x:f>
        <x:v>159646.02</x:v>
      </x:c>
      <x:c r="E20" s="20" t="str">
        <x:f>IF(ABS(D20-C20)&lt;0.02,"PASS","FAIL")</x:f>
        <x:v>PASS</x:v>
      </x:c>
      <x:c r="F20" s="20" t="str">
        <x:v>允许0.02元容差。</x:v>
      </x:c>
    </x:row>
    <x:row r="21" ht="32" customHeight="1">
      <x:c r="A21" s="19" t="str">
        <x:v>C15_PHYSICAL_LOW</x:v>
      </x:c>
      <x:c r="B21" s="19" t="str">
        <x:v>五桥物理BOM低合计</x:v>
      </x:c>
      <x:c r="C21" s="19" t="n">
        <x:v>103082</x:v>
      </x:c>
      <x:c r="D21" s="19" t="n">
        <x:f>SUM('04_售价成本校准'!$H$7:$H$11)</x:f>
        <x:v>103082</x:v>
      </x:c>
      <x:c r="E21" s="19" t="str">
        <x:f>IF(ABS(D21-C21)&lt;0.02,"PASS","FAIL")</x:f>
        <x:v>PASS</x:v>
      </x:c>
      <x:c r="F21" s="19" t="str">
        <x:v>独立复算基准。</x:v>
      </x:c>
    </x:row>
    <x:row r="22" ht="32" customHeight="1">
      <x:c r="A22" s="20" t="str">
        <x:v>C16_PHYSICAL_MID</x:v>
      </x:c>
      <x:c r="B22" s="20" t="str">
        <x:v>五桥物理BOM中合计</x:v>
      </x:c>
      <x:c r="C22" s="20" t="n">
        <x:v>131680</x:v>
      </x:c>
      <x:c r="D22" s="20" t="n">
        <x:f>SUM('04_售价成本校准'!$I$7:$I$11)</x:f>
        <x:v>131680</x:v>
      </x:c>
      <x:c r="E22" s="20" t="str">
        <x:f>IF(ABS(D22-C22)&lt;0.02,"PASS","FAIL")</x:f>
        <x:v>PASS</x:v>
      </x:c>
      <x:c r="F22" s="20" t="str">
        <x:v>独立复算基准。</x:v>
      </x:c>
    </x:row>
    <x:row r="23" ht="32" customHeight="1">
      <x:c r="A23" s="19" t="str">
        <x:v>C17_PHYSICAL_HIGH</x:v>
      </x:c>
      <x:c r="B23" s="19" t="str">
        <x:v>五桥物理BOM高合计</x:v>
      </x:c>
      <x:c r="C23" s="19" t="n">
        <x:v>163872</x:v>
      </x:c>
      <x:c r="D23" s="19" t="n">
        <x:f>SUM('04_售价成本校准'!$J$7:$J$11)</x:f>
        <x:v>163872</x:v>
      </x:c>
      <x:c r="E23" s="19" t="str">
        <x:f>IF(ABS(D23-C23)&lt;0.02,"PASS","FAIL")</x:f>
        <x:v>PASS</x:v>
      </x:c>
      <x:c r="F23" s="19" t="str">
        <x:v>独立复算基准。</x:v>
      </x:c>
    </x:row>
    <x:row r="24" ht="32" customHeight="1">
      <x:c r="A24" s="20" t="str">
        <x:v>C18_TOTAL_LOW</x:v>
      </x:c>
      <x:c r="B24" s="20" t="str">
        <x:v>五桥含覆盖项低合计</x:v>
      </x:c>
      <x:c r="C24" s="20" t="n">
        <x:v>104628.23</x:v>
      </x:c>
      <x:c r="D24" s="20" t="n">
        <x:f>SUM('04_售价成本校准'!$K$7:$K$11)</x:f>
        <x:v>104628.23</x:v>
      </x:c>
      <x:c r="E24" s="20" t="str">
        <x:f>IF(ABS(D24-C24)&lt;0.02,"PASS","FAIL")</x:f>
        <x:v>PASS</x:v>
      </x:c>
      <x:c r="F24" s="20" t="str">
        <x:v>M09/M10不复利。</x:v>
      </x:c>
    </x:row>
    <x:row r="25" ht="32" customHeight="1">
      <x:c r="A25" s="19" t="str">
        <x:v>C19_TOTAL_MID</x:v>
      </x:c>
      <x:c r="B25" s="19" t="str">
        <x:v>五桥含覆盖项中合计</x:v>
      </x:c>
      <x:c r="C25" s="19" t="n">
        <x:v>136288.8</x:v>
      </x:c>
      <x:c r="D25" s="19" t="n">
        <x:f>SUM('04_售价成本校准'!$L$7:$L$11)</x:f>
        <x:v>136288.80000000002</x:v>
      </x:c>
      <x:c r="E25" s="19" t="str">
        <x:f>IF(ABS(D25-C25)&lt;0.02,"PASS","FAIL")</x:f>
        <x:v>PASS</x:v>
      </x:c>
      <x:c r="F25" s="19" t="str">
        <x:v>M09/M10不复利。</x:v>
      </x:c>
    </x:row>
    <x:row r="26" ht="32" customHeight="1">
      <x:c r="A26" s="20" t="str">
        <x:v>C20_TOTAL_HIGH</x:v>
      </x:c>
      <x:c r="B26" s="20" t="str">
        <x:v>五桥含覆盖项高合计</x:v>
      </x:c>
      <x:c r="C26" s="20" t="n">
        <x:v>175343.04</x:v>
      </x:c>
      <x:c r="D26" s="20" t="n">
        <x:f>SUM('04_售价成本校准'!$M$7:$M$11)</x:f>
        <x:v>175343.04</x:v>
      </x:c>
      <x:c r="E26" s="20" t="str">
        <x:f>IF(ABS(D26-C26)&lt;0.02,"PASS","FAIL")</x:f>
        <x:v>PASS</x:v>
      </x:c>
      <x:c r="F26" s="20" t="str">
        <x:v>M09/M10不复利。</x:v>
      </x:c>
    </x:row>
    <x:row r="27" ht="32" customHeight="1">
      <x:c r="A27" s="19" t="str">
        <x:v>C21_POSITIVE_MID_RESIDUAL</x:v>
      </x:c>
      <x:c r="B27" s="19" t="str">
        <x:v>中情景残余为正桥数</x:v>
      </x:c>
      <x:c r="C27" s="19" t="n">
        <x:v>5</x:v>
      </x:c>
      <x:c r="D27" s="19" t="n">
        <x:f>COUNTIF('04_售价成本校准'!$R$7:$R$11,"&gt;0")</x:f>
        <x:v>5</x:v>
      </x:c>
      <x:c r="E27" s="19" t="str">
        <x:f>IF(ABS(D27-C27)&lt;0.02,"PASS","FAIL")</x:f>
        <x:v>PASS</x:v>
      </x:c>
      <x:c r="F27" s="19" t="str">
        <x:v>禁止为配平添加未知硬件。</x:v>
      </x:c>
    </x:row>
    <x:row r="28" ht="32" customHeight="1">
      <x:c r="A28" s="20" t="str">
        <x:v>C22_LADDER_REVIEW</x:v>
      </x:c>
      <x:c r="B28" s="20" t="str">
        <x:v>版本定位复核桥数</x:v>
      </x:c>
      <x:c r="C28" s="20" t="n">
        <x:v>1</x:v>
      </x:c>
      <x:c r="D28" s="20" t="n">
        <x:f>COUNTIF('04_售价成本校准'!$T$7:$T$11,"REVIEW_LADDER")</x:f>
        <x:v>1</x:v>
      </x:c>
      <x:c r="E28" s="20" t="str">
        <x:f>IF(ABS(D28-C28)&lt;0.02,"PASS","FAIL")</x:f>
        <x:v>PASS</x:v>
      </x:c>
      <x:c r="F28" s="20" t="str">
        <x:v>应为YU7长续航→Pro。</x:v>
      </x:c>
    </x:row>
    <x:row r="29" ht="32" customHeight="1">
      <x:c r="A29" s="19" t="str">
        <x:v>C23_PAD_DETAIL_ROWS</x:v>
      </x:c>
      <x:c r="B29" s="19" t="str">
        <x:v>blocked刹车片进入核心行数</x:v>
      </x:c>
      <x:c r="C29" s="19" t="n">
        <x:v>0</x:v>
      </x:c>
      <x:c r="D29" s="19" t="n">
        <x:f>COUNTIF('02_桥接拆项'!$E$7:$E$43,"BLOCK_*PAD*")</x:f>
        <x:v>0</x:v>
      </x:c>
      <x:c r="E29" s="19" t="str">
        <x:f>IF(ABS(D29-C29)&lt;0.02,"PASS","FAIL")</x:f>
        <x:v>PASS</x:v>
      </x:c>
      <x:c r="F29" s="19" t="str">
        <x:v>普通片型未披露。</x:v>
      </x:c>
    </x:row>
    <x:row r="30" ht="32" customHeight="1">
      <x:c r="A30" s="20" t="str">
        <x:v>C24_ADAS_DELTA</x:v>
      </x:c>
      <x:c r="B30" s="20" t="str">
        <x:v>五桥M05成本合计</x:v>
      </x:c>
      <x:c r="C30" s="20" t="n">
        <x:v>0</x:v>
      </x:c>
      <x:c r="D30" s="20" t="n">
        <x:f>SUMIF('03_模块汇总'!$C$7:$C$56,"M05_ADAS",'03_模块汇总'!$D$7:$D$56)+SUMIF('03_模块汇总'!$C$7:$C$56,"M05_ADAS",'03_模块汇总'!$E$7:$E$56)+SUMIF('03_模块汇总'!$C$7:$C$56,"M05_ADAS",'03_模块汇总'!$F$7:$F$56)</x:f>
        <x:v>0</x:v>
      </x:c>
      <x:c r="E30" s="20" t="str">
        <x:f>IF(ABS(D30-C30)&lt;0.02,"PASS","FAIL")</x:f>
        <x:v>PASS</x:v>
      </x:c>
      <x:c r="F30" s="20" t="str">
        <x:v>共同硬件只作绝对参考。</x:v>
      </x:c>
    </x:row>
    <x:row r="31" ht="32" customHeight="1">
      <x:c r="A31" s="19" t="str">
        <x:v>C25_OVERLAY_ROWS</x:v>
      </x:c>
      <x:c r="B31" s="19" t="str">
        <x:v>M09/M10覆盖项行数</x:v>
      </x:c>
      <x:c r="C31" s="19" t="n">
        <x:v>10</x:v>
      </x:c>
      <x:c r="D31" s="19" t="n">
        <x:f>COUNTIF('03_模块汇总'!$H$7:$H$56,"OVERLAY_ASSUMPTION")</x:f>
        <x:v>10</x:v>
      </x:c>
      <x:c r="E31" s="19" t="str">
        <x:f>IF(ABS(D31-C31)&lt;0.02,"PASS","FAIL")</x:f>
        <x:v>PASS</x:v>
      </x:c>
      <x:c r="F31" s="19" t="str">
        <x:v>每桥各两行且只一次。</x:v>
      </x:c>
    </x:row>
    <x:row r="32" ht="32" customHeight="1">
      <x:c r="A32" s="20" t="str">
        <x:v>C26_SU7_STD_PRO_ITEMS</x:v>
      </x:c>
      <x:c r="B32" s="20" t="str">
        <x:v>SU7标准→Pro原子行数</x:v>
      </x:c>
      <x:c r="C32" s="20" t="n">
        <x:v>3</x:v>
      </x:c>
      <x:c r="D32" s="20" t="n">
        <x:f>COUNTIF('02_桥接拆项'!$A$7:$A$43,"BR-SU7-STD-PRO")</x:f>
        <x:v>3</x:v>
      </x:c>
      <x:c r="E32" s="20" t="str">
        <x:f>IF(ABS(D32-C32)&lt;0.02,"PASS","FAIL")</x:f>
        <x:v>PASS</x:v>
      </x:c>
      <x:c r="F32" s="20" t="str">
        <x:v>独立审计基准。</x:v>
      </x:c>
    </x:row>
    <x:row r="33" ht="32" customHeight="1">
      <x:c r="A33" s="19" t="str">
        <x:v>C27_SU7_PRO_MAX_ITEMS</x:v>
      </x:c>
      <x:c r="B33" s="19" t="str">
        <x:v>SU7 Pro→Max原子行数</x:v>
      </x:c>
      <x:c r="C33" s="19" t="n">
        <x:v>15</x:v>
      </x:c>
      <x:c r="D33" s="19" t="n">
        <x:f>COUNTIF('02_桥接拆项'!$A$7:$A$43,"BR-SU7-PRO-MAX")</x:f>
        <x:v>15</x:v>
      </x:c>
      <x:c r="E33" s="19" t="str">
        <x:f>IF(ABS(D33-C33)&lt;0.02,"PASS","FAIL")</x:f>
        <x:v>PASS</x:v>
      </x:c>
      <x:c r="F33" s="19" t="str">
        <x:v>含HUD；不含静谧/刹车片。</x:v>
      </x:c>
    </x:row>
    <x:row r="34" ht="32" customHeight="1">
      <x:c r="A34" s="20" t="str">
        <x:v>C28_YU7_BRIDGE_ITEMS</x:v>
      </x:c>
      <x:c r="B34" s="20" t="str">
        <x:v>YU7三桥原子行数合计</x:v>
      </x:c>
      <x:c r="C34" s="20" t="n">
        <x:v>19</x:v>
      </x:c>
      <x:c r="D34" s="20" t="n">
        <x:f>COUNTIF('02_桥接拆项'!$B$7:$B$43,"YU7")</x:f>
        <x:v>19</x:v>
      </x:c>
      <x:c r="E34" s="20" t="str">
        <x:f>IF(ABS(D34-C34)&lt;0.02,"PASS","FAIL")</x:f>
        <x:v>PASS</x:v>
      </x:c>
      <x:c r="F34" s="20" t="str">
        <x:v>3+2+14。</x:v>
      </x:c>
    </x:row>
    <x:row r="35" ht="32" customHeight="1">
      <x:c r="A35" s="19" t="str">
        <x:v>C29_SOURCE_ROWS</x:v>
      </x:c>
      <x:c r="B35" s="19" t="str">
        <x:v>来源行数</x:v>
      </x:c>
      <x:c r="C35" s="19" t="n">
        <x:v>29</x:v>
      </x:c>
      <x:c r="D35" s="19" t="n">
        <x:f>COUNTA('06_来源'!$A$7:$A$35)</x:f>
        <x:v>29</x:v>
      </x:c>
      <x:c r="E35" s="19" t="str">
        <x:f>IF(ABS(D35-C35)&lt;0.02,"PASS","FAIL")</x:f>
        <x:v>PASS</x:v>
      </x:c>
      <x:c r="F35" s="19" t="str">
        <x:v>每条假设可回链。</x:v>
      </x:c>
    </x:row>
    <x:row r="36" ht="32" customHeight="1">
      <x:c r="A36" s="20" t="str">
        <x:v>C30_CHECK_ROWS</x:v>
      </x:c>
      <x:c r="B36" s="20" t="str">
        <x:v>校验规则行数</x:v>
      </x:c>
      <x:c r="C36" s="20" t="n">
        <x:v>30</x:v>
      </x:c>
      <x:c r="D36" s="20" t="n">
        <x:f>COUNTA(A7:A36)</x:f>
        <x:v>30</x:v>
      </x:c>
      <x:c r="E36" s="20" t="str">
        <x:f>IF(ABS(D36-C36)&lt;0.02,"PASS","FAIL")</x:f>
        <x:v>PASS</x:v>
      </x:c>
      <x:c r="F36" s="20" t="str">
        <x:v>本阶段验收闭环。</x:v>
      </x:c>
    </x:row>
  </x:sheetData>
  <x:mergeCells>
    <x:mergeCell ref="A1:F1"/>
    <x:mergeCell ref="A2:F2"/>
    <x:mergeCell ref="A3:F3"/>
  </x:mergeCells>
  <x:conditionalFormatting sqref="E7:E36">
    <x:cfRule type="containsText" dxfId="28" priority="1" operator="containsText" text="PASS"/>
    <x:cfRule type="containsText" dxfId="29" priority="2" operator="containsText" text="FAIL"/>
    <x:cfRule type="containsText" dxfId="30" priority="3" operator="containsText" text="REVIEW"/>
    <x:cfRule type="containsText" dxfId="31" priority="4" operator="containsText" text="BLOCKED"/>
  </x:conditionalFormatting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19" hidden="0" customWidth="1"/>
    <x:col min="3" max="3" width="54" hidden="0" customWidth="1"/>
    <x:col min="4" max="4" width="55" hidden="0" customWidth="1"/>
    <x:col min="5" max="5" width="39" hidden="0" customWidth="1"/>
    <x:col min="6" max="6" width="18" hidden="0" customWidth="1"/>
    <x:col min="7" max="7" width="15" hidden="0" customWidth="1"/>
    <x:col min="8" max="8" width="14" hidden="0" customWidth="1"/>
  </x:cols>
  <x:sheetData>
    <x:row r="1" ht="30" customHeight="1">
      <x:c r="A1" s="37" t="str">
        <x:v>08｜Phase 2.1C 防重复计数规则登记</x:v>
      </x:c>
      <x:c r="B1" s="37"/>
      <x:c r="C1" s="37"/>
      <x:c r="D1" s="37"/>
      <x:c r="E1" s="37"/>
      <x:c r="F1" s="37"/>
      <x:c r="G1" s="37"/>
      <x:c r="H1" s="37"/>
    </x:row>
    <x:row r="2" ht="22" customHeight="1">
      <x:c r="A2" s="40" t="str">
        <x:v>共16条正式规则；状态由逐桥签核公式回链</x:v>
      </x:c>
      <x:c r="B2" s="40"/>
      <x:c r="C2" s="40"/>
      <x:c r="D2" s="40"/>
      <x:c r="E2" s="40"/>
      <x:c r="F2" s="40"/>
      <x:c r="G2" s="40"/>
      <x:c r="H2" s="40"/>
    </x:row>
    <x:row r="3" ht="38" customHeight="1">
      <x:c r="A3" s="44" t="str">
        <x:v>规则不用于把成本配平到售价；只负责确认一个物理对象、系统包、覆盖项或结果指标在模型中出现的次数与边界。</x:v>
      </x:c>
      <x:c r="B3" s="44"/>
      <x:c r="C3" s="44"/>
      <x:c r="D3" s="44"/>
      <x:c r="E3" s="44"/>
      <x:c r="F3" s="44"/>
      <x:c r="G3" s="44"/>
      <x:c r="H3" s="44"/>
    </x:row>
    <x:row r="6" ht="38" customHeight="1">
      <x:c r="A6" s="49" t="str">
        <x:v>rule_id</x:v>
      </x:c>
      <x:c r="B6" s="49" t="str">
        <x:v>domain</x:v>
      </x:c>
      <x:c r="C6" s="49" t="str">
        <x:v>allowed</x:v>
      </x:c>
      <x:c r="D6" s="49" t="str">
        <x:v>forbidden</x:v>
      </x:c>
      <x:c r="E6" s="49" t="str">
        <x:v>enforced_by</x:v>
      </x:c>
      <x:c r="F6" s="49" t="str">
        <x:v>scope</x:v>
      </x:c>
      <x:c r="G6" s="49" t="str">
        <x:v>failed_tests</x:v>
      </x:c>
      <x:c r="H6" s="49" t="str">
        <x:v>status</x:v>
      </x:c>
    </x:row>
    <x:row r="7" ht="50" customHeight="1">
      <x:c r="A7" s="19" t="str">
        <x:v>R01</x:v>
      </x:c>
      <x:c r="B7" s="19" t="str">
        <x:v>原子行身份</x:v>
      </x:c>
      <x:c r="C7" s="19" t="str">
        <x:v>同一桥接×double_count_key只出现一次，且桥接签名行数匹配。</x:v>
      </x:c>
      <x:c r="D7" s="19" t="str">
        <x:v>重复键、漏项或额外行。</x:v>
      </x:c>
      <x:c r="E7" s="19" t="str">
        <x:v>TOTAL_DETAIL_ROWS；DEDUP_FAIL；RANGE_FAIL</x:v>
      </x:c>
      <x:c r="F7" s="19" t="str">
        <x:v>五条桥</x:v>
      </x:c>
      <x:c r="G7" s="53" t="n">
        <x:f>COUNTIFS('09_逐桥签核'!$H$7:$H$101,A7,'09_逐桥签核'!$G$7:$G$101,"FAIL")</x:f>
        <x:v>0</x:v>
      </x:c>
      <x:c r="H7" s="19" t="str">
        <x:f>IF(G7=0,"PASS","FAIL")</x:f>
        <x:v>PASS</x:v>
      </x:c>
    </x:row>
    <x:row r="8" ht="50" customHeight="1">
      <x:c r="A8" s="50" t="str">
        <x:v>R02</x:v>
      </x:c>
      <x:c r="B8" s="50" t="str">
        <x:v>证据门槛</x:v>
      </x:c>
      <x:c r="C8" s="50" t="str">
        <x:v>只允许eligible_base及其车系限定变体。</x:v>
      </x:c>
      <x:c r="D8" s="50" t="str">
        <x:v>权益、选装、活动赠送或未决冲突进入核心。</x:v>
      </x:c>
      <x:c r="E8" s="50" t="str">
        <x:v>EVIDENCE_GATE_FAIL</x:v>
      </x:c>
      <x:c r="F8" s="50" t="str">
        <x:v>五条桥</x:v>
      </x:c>
      <x:c r="G8" s="54" t="n">
        <x:f>COUNTIFS('09_逐桥签核'!$H$7:$H$101,A8,'09_逐桥签核'!$G$7:$G$101,"FAIL")</x:f>
        <x:v>0</x:v>
      </x:c>
      <x:c r="H8" s="50" t="str">
        <x:f>IF(G8=0,"PASS","FAIL")</x:f>
        <x:v>PASS</x:v>
      </x:c>
    </x:row>
    <x:row r="9" ht="50" customHeight="1">
      <x:c r="A9" s="19" t="str">
        <x:v>R03</x:v>
      </x:c>
      <x:c r="B9" s="19" t="str">
        <x:v>绝对参考</x:v>
      </x:c>
      <x:c r="C9" s="19" t="str">
        <x:v>ABS_*只用于量级锚定。</x:v>
      </x:c>
      <x:c r="D9" s="19" t="str">
        <x:v>把绝对整车/总成参考值加入相邻版本增量。</x:v>
      </x:c>
      <x:c r="E9" s="19" t="str">
        <x:v>ABS_REFERENCE_ROWS</x:v>
      </x:c>
      <x:c r="F9" s="19" t="str">
        <x:v>五条桥</x:v>
      </x:c>
      <x:c r="G9" s="53" t="n">
        <x:f>COUNTIFS('09_逐桥签核'!$H$7:$H$101,A9,'09_逐桥签核'!$G$7:$G$101,"FAIL")</x:f>
        <x:v>0</x:v>
      </x:c>
      <x:c r="H9" s="19" t="str">
        <x:f>IF(G9=0,"PASS","FAIL")</x:f>
        <x:v>PASS</x:v>
      </x:c>
    </x:row>
    <x:row r="10" ht="50" customHeight="1">
      <x:c r="A10" s="50" t="str">
        <x:v>R04</x:v>
      </x:c>
      <x:c r="B10" s="50" t="str">
        <x:v>Blocked项</x:v>
      </x:c>
      <x:c r="C10" s="50" t="str">
        <x:v>BLOCK_*只保留敏感性。</x:v>
      </x:c>
      <x:c r="D10" s="50" t="str">
        <x:v>把刹车片、零重力等未满足门槛项目加入核心。</x:v>
      </x:c>
      <x:c r="E10" s="50" t="str">
        <x:v>BLOCKED_ROWS</x:v>
      </x:c>
      <x:c r="F10" s="50" t="str">
        <x:v>五条桥</x:v>
      </x:c>
      <x:c r="G10" s="54" t="n">
        <x:f>COUNTIFS('09_逐桥签核'!$H$7:$H$101,A10,'09_逐桥签核'!$G$7:$G$101,"FAIL")</x:f>
        <x:v>0</x:v>
      </x:c>
      <x:c r="H10" s="50" t="str">
        <x:f>IF(G10=0,"PASS","FAIL")</x:f>
        <x:v>PASS</x:v>
      </x:c>
    </x:row>
    <x:row r="11" ht="50" customHeight="1">
      <x:c r="A11" s="19" t="str">
        <x:v>R05</x:v>
      </x:c>
      <x:c r="B11" s="19" t="str">
        <x:v>电池整包</x:v>
      </x:c>
      <x:c r="C11" s="19" t="str">
        <x:v>容量增量或整包置换二选一；整包已含BMS/箱体/包内冷却。</x:v>
      </x:c>
      <x:c r="D11" s="19" t="str">
        <x:v>再加容量、化学体系、倍率、BMS或包内热管理子项。</x:v>
      </x:c>
      <x:c r="E11" s="19" t="str">
        <x:v>BATTERY_CORE_ROWS</x:v>
      </x:c>
      <x:c r="F11" s="19" t="str">
        <x:v>按桥接签名</x:v>
      </x:c>
      <x:c r="G11" s="53" t="n">
        <x:f>COUNTIFS('09_逐桥签核'!$H$7:$H$101,A11,'09_逐桥签核'!$G$7:$G$101,"FAIL")</x:f>
        <x:v>0</x:v>
      </x:c>
      <x:c r="H11" s="19" t="str">
        <x:f>IF(G11=0,"PASS","FAIL")</x:f>
        <x:v>PASS</x:v>
      </x:c>
    </x:row>
    <x:row r="12" ht="50" customHeight="1">
      <x:c r="A12" s="50" t="str">
        <x:v>R06</x:v>
      </x:c>
      <x:c r="B12" s="50" t="str">
        <x:v>电驱总成</x:v>
      </x:c>
      <x:c r="C12" s="50" t="str">
        <x:v>一个电驱级差已含电机、牵引逆变器、减速器与内部冷却。</x:v>
      </x:c>
      <x:c r="D12" s="50" t="str">
        <x:v>再计前电机、逆变器或整套AWD。</x:v>
      </x:c>
      <x:c r="E12" s="50" t="str">
        <x:v>EDRIVE_CORE_ROWS</x:v>
      </x:c>
      <x:c r="F12" s="50" t="str">
        <x:v>按桥接签名</x:v>
      </x:c>
      <x:c r="G12" s="54" t="n">
        <x:f>COUNTIFS('09_逐桥签核'!$H$7:$H$101,A12,'09_逐桥签核'!$G$7:$G$101,"FAIL")</x:f>
        <x:v>0</x:v>
      </x:c>
      <x:c r="H12" s="50" t="str">
        <x:f>IF(G12=0,"PASS","FAIL")</x:f>
        <x:v>PASS</x:v>
      </x:c>
    </x:row>
    <x:row r="13" ht="50" customHeight="1">
      <x:c r="A13" s="19" t="str">
        <x:v>R07</x:v>
      </x:c>
      <x:c r="B13" s="19" t="str">
        <x:v>包外高压</x:v>
      </x:c>
      <x:c r="C13" s="19" t="str">
        <x:v>M03仅计OBC/DC-DC/PDU、充电口及车身高压链路。</x:v>
      </x:c>
      <x:c r="D13" s="19" t="str">
        <x:v>重复计牵引逆变器、5.2C电芯或包内冷却。</x:v>
      </x:c>
      <x:c r="E13" s="19" t="str">
        <x:v>HV_CORE_ROWS</x:v>
      </x:c>
      <x:c r="F13" s="19" t="str">
        <x:v>按桥接签名</x:v>
      </x:c>
      <x:c r="G13" s="53" t="n">
        <x:f>COUNTIFS('09_逐桥签核'!$H$7:$H$101,A13,'09_逐桥签核'!$G$7:$G$101,"FAIL")</x:f>
        <x:v>0</x:v>
      </x:c>
      <x:c r="H13" s="19" t="str">
        <x:f>IF(G13=0,"PASS","FAIL")</x:f>
        <x:v>PASS</x:v>
      </x:c>
    </x:row>
    <x:row r="14" ht="50" customHeight="1">
      <x:c r="A14" s="50" t="str">
        <x:v>R08</x:v>
      </x:c>
      <x:c r="B14" s="50" t="str">
        <x:v>空悬/CDC</x:v>
      </x:c>
      <x:c r="C14" s="50" t="str">
        <x:v>AIR_HARDWARE_EXCL_CDC与CDC按起点配置状态分别计。</x:v>
      </x:c>
      <x:c r="D14" s="50" t="str">
        <x:v>起点已有CDC时再次计CDC，或把完整系统再叠加。</x:v>
      </x:c>
      <x:c r="E14" s="50" t="str">
        <x:v>AIR_HARDWARE_ROWS；CDC_ROWS</x:v>
      </x:c>
      <x:c r="F14" s="50" t="str">
        <x:v>按桥接签名</x:v>
      </x:c>
      <x:c r="G14" s="54" t="n">
        <x:f>COUNTIFS('09_逐桥签核'!$H$7:$H$101,A14,'09_逐桥签核'!$G$7:$G$101,"FAIL")</x:f>
        <x:v>0</x:v>
      </x:c>
      <x:c r="H14" s="50" t="str">
        <x:f>IF(G14=0,"PASS","FAIL")</x:f>
        <x:v>PASS</x:v>
      </x:c>
    </x:row>
    <x:row r="15" ht="50" customHeight="1">
      <x:c r="A15" s="19" t="str">
        <x:v>R09</x:v>
      </x:c>
      <x:c r="B15" s="19" t="str">
        <x:v>完整空悬包</x:v>
      </x:c>
      <x:c r="C15" s="19" t="str">
        <x:v>ABS_AIR_COMPLETE只作交叉校验。</x:v>
      </x:c>
      <x:c r="D15" s="19" t="str">
        <x:v>完整空悬含CDC与两个原子项共同进入成本。</x:v>
      </x:c>
      <x:c r="E15" s="19" t="str">
        <x:v>COMPLETE_AIR_BUNDLE_ROWS</x:v>
      </x:c>
      <x:c r="F15" s="19" t="str">
        <x:v>五条桥</x:v>
      </x:c>
      <x:c r="G15" s="53" t="n">
        <x:f>COUNTIFS('09_逐桥签核'!$H$7:$H$101,A15,'09_逐桥签核'!$G$7:$G$101,"FAIL")</x:f>
        <x:v>0</x:v>
      </x:c>
      <x:c r="H15" s="19" t="str">
        <x:f>IF(G15=0,"PASS","FAIL")</x:f>
        <x:v>PASS</x:v>
      </x:c>
    </x:row>
    <x:row r="16" ht="50" customHeight="1">
      <x:c r="A16" s="50" t="str">
        <x:v>R10</x:v>
      </x:c>
      <x:c r="B16" s="50" t="str">
        <x:v>制动片</x:v>
      </x:c>
      <x:c r="C16" s="50" t="str">
        <x:v>普通版本片型未披露，前后片均保持blocked。</x:v>
      </x:c>
      <x:c r="D16" s="50" t="str">
        <x:v>把低金属片当作已确认增量。</x:v>
      </x:c>
      <x:c r="E16" s="50" t="str">
        <x:v>BRAKE_PAD_ROWS</x:v>
      </x:c>
      <x:c r="F16" s="50" t="str">
        <x:v>五条桥</x:v>
      </x:c>
      <x:c r="G16" s="54" t="n">
        <x:f>COUNTIFS('09_逐桥签核'!$H$7:$H$101,A16,'09_逐桥签核'!$G$7:$G$101,"FAIL")</x:f>
        <x:v>0</x:v>
      </x:c>
      <x:c r="H16" s="50" t="str">
        <x:f>IF(G16=0,"PASS","FAIL")</x:f>
        <x:v>PASS</x:v>
      </x:c>
    </x:row>
    <x:row r="17" ht="50" customHeight="1">
      <x:c r="A17" s="19" t="str">
        <x:v>R11</x:v>
      </x:c>
      <x:c r="B17" s="19" t="str">
        <x:v>音响系统</x:v>
      </x:c>
      <x:c r="C17" s="19" t="str">
        <x:v>14→25扬声器按系统升级包一次计价。</x:v>
      </x:c>
      <x:c r="D17" s="19" t="str">
        <x:v>再加完整功放、杜比或运动声浪硬件。</x:v>
      </x:c>
      <x:c r="E17" s="19" t="str">
        <x:v>AUDIO_PACKAGE_ROWS</x:v>
      </x:c>
      <x:c r="F17" s="19" t="str">
        <x:v>按桥接签名</x:v>
      </x:c>
      <x:c r="G17" s="53" t="n">
        <x:f>COUNTIFS('09_逐桥签核'!$H$7:$H$101,A17,'09_逐桥签核'!$G$7:$G$101,"FAIL")</x:f>
        <x:v>0</x:v>
      </x:c>
      <x:c r="H17" s="19" t="str">
        <x:f>IF(G17=0,"PASS","FAIL")</x:f>
        <x:v>PASS</x:v>
      </x:c>
    </x:row>
    <x:row r="18" ht="50" customHeight="1">
      <x:c r="A18" s="50" t="str">
        <x:v>R12</x:v>
      </x:c>
      <x:c r="B18" s="50" t="str">
        <x:v>共同ADAS</x:v>
      </x:c>
      <x:c r="C18" s="50" t="str">
        <x:v>七款相邻版本ADAS硬件相同，增量为0。</x:v>
      </x:c>
      <x:c r="D18" s="50" t="str">
        <x:v>把Thor、激光雷达、摄像头或HAD权益再次加入。</x:v>
      </x:c>
      <x:c r="E18" s="50" t="str">
        <x:v>ADAS_ROWS</x:v>
      </x:c>
      <x:c r="F18" s="50" t="str">
        <x:v>五条桥</x:v>
      </x:c>
      <x:c r="G18" s="54" t="n">
        <x:f>COUNTIFS('09_逐桥签核'!$H$7:$H$101,A18,'09_逐桥签核'!$G$7:$G$101,"FAIL")</x:f>
        <x:v>0</x:v>
      </x:c>
      <x:c r="H18" s="50" t="str">
        <x:f>IF(G18=0,"PASS","FAIL")</x:f>
        <x:v>PASS</x:v>
      </x:c>
    </x:row>
    <x:row r="19" ht="50" customHeight="1">
      <x:c r="A19" s="19" t="str">
        <x:v>R13</x:v>
      </x:c>
      <x:c r="B19" s="19" t="str">
        <x:v>结果指标</x:v>
      </x:c>
      <x:c r="C19" s="19" t="str">
        <x:v>续航、马力、扭矩、加速、车速与“800V”营销类别只作校验。</x:v>
      </x:c>
      <x:c r="D19" s="19" t="str">
        <x:v>把结果指标转换为独立BOM。</x:v>
      </x:c>
      <x:c r="E19" s="19" t="str">
        <x:v>RESULT_METRIC_ROWS</x:v>
      </x:c>
      <x:c r="F19" s="19" t="str">
        <x:v>五条桥</x:v>
      </x:c>
      <x:c r="G19" s="53" t="n">
        <x:f>COUNTIFS('09_逐桥签核'!$H$7:$H$101,A19,'09_逐桥签核'!$G$7:$G$101,"FAIL")</x:f>
        <x:v>0</x:v>
      </x:c>
      <x:c r="H19" s="19" t="str">
        <x:f>IF(G19=0,"PASS","FAIL")</x:f>
        <x:v>PASS</x:v>
      </x:c>
    </x:row>
    <x:row r="20" ht="50" customHeight="1">
      <x:c r="A20" s="50" t="str">
        <x:v>R14</x:v>
      </x:c>
      <x:c r="B20" s="50" t="str">
        <x:v>制造覆盖项</x:v>
      </x:c>
      <x:c r="C20" s="50" t="str">
        <x:v>物理BOM合计后按一次覆盖率计算。</x:v>
      </x:c>
      <x:c r="D20" s="50" t="str">
        <x:v>逐模块重复加、复利或用于配平售价。</x:v>
      </x:c>
      <x:c r="E20" s="50" t="str">
        <x:v>MFG_OVERLAY_ROWS</x:v>
      </x:c>
      <x:c r="F20" s="50" t="str">
        <x:v>每桥一次</x:v>
      </x:c>
      <x:c r="G20" s="54" t="n">
        <x:f>COUNTIFS('09_逐桥签核'!$H$7:$H$101,A20,'09_逐桥签核'!$G$7:$G$101,"FAIL")</x:f>
        <x:v>0</x:v>
      </x:c>
      <x:c r="H20" s="50" t="str">
        <x:f>IF(G20=0,"PASS","FAIL")</x:f>
        <x:v>PASS</x:v>
      </x:c>
    </x:row>
    <x:row r="21" ht="50" customHeight="1">
      <x:c r="A21" s="19" t="str">
        <x:v>R15</x:v>
      </x:c>
      <x:c r="B21" s="19" t="str">
        <x:v>质保覆盖项</x:v>
      </x:c>
      <x:c r="C21" s="19" t="str">
        <x:v>物理BOM合计后按一次覆盖率计算，且与制造项并列。</x:v>
      </x:c>
      <x:c r="D21" s="19" t="str">
        <x:v>在制造覆盖项上复利或逐模块反复加。</x:v>
      </x:c>
      <x:c r="E21" s="19" t="str">
        <x:v>WARRANTY_OVERLAY_ROWS</x:v>
      </x:c>
      <x:c r="F21" s="19" t="str">
        <x:v>每桥一次</x:v>
      </x:c>
      <x:c r="G21" s="53" t="n">
        <x:f>COUNTIFS('09_逐桥签核'!$H$7:$H$101,A21,'09_逐桥签核'!$G$7:$G$101,"FAIL")</x:f>
        <x:v>0</x:v>
      </x:c>
      <x:c r="H21" s="19" t="str">
        <x:f>IF(G21=0,"PASS","FAIL")</x:f>
        <x:v>PASS</x:v>
      </x:c>
    </x:row>
    <x:row r="22" ht="50" customHeight="1">
      <x:c r="A22" s="50" t="str">
        <x:v>R16</x:v>
      </x:c>
      <x:c r="B22" s="50" t="str">
        <x:v>价差残余</x:v>
      </x:c>
      <x:c r="C22" s="50" t="str">
        <x:v>未税售价差减成本仅作为定价诊断。</x:v>
      </x:c>
      <x:c r="D22" s="50" t="str">
        <x:v>将残余、版本定位或利润反填为未知硬件成本。</x:v>
      </x:c>
      <x:c r="E22" s="50" t="str">
        <x:v>RETAIL_RESIDUAL_COST_ROWS</x:v>
      </x:c>
      <x:c r="F22" s="50" t="str">
        <x:v>五条桥</x:v>
      </x:c>
      <x:c r="G22" s="54" t="n">
        <x:f>COUNTIFS('09_逐桥签核'!$H$7:$H$101,A22,'09_逐桥签核'!$G$7:$G$101,"FAIL")</x:f>
        <x:v>0</x:v>
      </x:c>
      <x:c r="H22" s="50" t="str">
        <x:f>IF(G22=0,"PASS","FAIL")</x:f>
        <x:v>PASS</x:v>
      </x:c>
    </x:row>
  </x:sheetData>
  <x:mergeCells>
    <x:mergeCell ref="A1:H1"/>
    <x:mergeCell ref="A2:H2"/>
    <x:mergeCell ref="A3:H3"/>
  </x:mergeCells>
  <x:conditionalFormatting sqref="H7:H22">
    <x:cfRule type="containsText" dxfId="32" priority="1" operator="containsText" text="PASS"/>
    <x:cfRule type="containsText" dxfId="33" priority="2" operator="containsText" text="FAIL"/>
    <x:cfRule type="containsText" dxfId="34" priority="3" operator="containsText" text="READY"/>
    <x:cfRule type="containsText" dxfId="35" priority="4" operator="containsText" text="REVIEW"/>
  </x:conditionalFormatting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31" hidden="0" customWidth="1"/>
    <x:col min="3" max="3" width="22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2" hidden="0" customWidth="1"/>
    <x:col min="9" max="9" width="50" hidden="0" customWidth="1"/>
  </x:cols>
  <x:sheetData>
    <x:row r="1" ht="30" customHeight="1">
      <x:c r="A1" s="37" t="str">
        <x:v>09｜五条相邻版本桥：逐项防重签核</x:v>
      </x:c>
      <x:c r="B1" s="37"/>
      <x:c r="C1" s="37"/>
      <x:c r="D1" s="37"/>
      <x:c r="E1" s="37"/>
      <x:c r="F1" s="37"/>
      <x:c r="G1" s="37"/>
      <x:c r="H1" s="37"/>
      <x:c r="I1" s="37"/>
    </x:row>
    <x:row r="2" ht="22" customHeight="1">
      <x:c r="A2" s="40" t="str">
        <x:v>5条桥×19项测试＝95行；Expected为可审计控制输入</x:v>
      </x:c>
      <x:c r="B2" s="40"/>
      <x:c r="C2" s="40"/>
      <x:c r="D2" s="40"/>
      <x:c r="E2" s="40"/>
      <x:c r="F2" s="40"/>
      <x:c r="G2" s="40"/>
      <x:c r="H2" s="40"/>
      <x:c r="I2" s="40"/>
    </x:row>
    <x:row r="3" ht="38" customHeight="1">
      <x:c r="A3" s="44" t="str">
        <x:v>Actual全部由Phase 2.1B明细/模块公式回链。YU7长续航→Pro特别要求：电驱=1、空悬硬件=1、CDC=0、电池=0、高压=0。</x:v>
      </x:c>
      <x:c r="B3" s="44"/>
      <x:c r="C3" s="44"/>
      <x:c r="D3" s="44"/>
      <x:c r="E3" s="44"/>
      <x:c r="F3" s="44"/>
      <x:c r="G3" s="44"/>
      <x:c r="H3" s="44"/>
      <x:c r="I3" s="44"/>
    </x:row>
    <x:row r="6" ht="38" customHeight="1">
      <x:c r="A6" s="49" t="str">
        <x:v>bridge_id</x:v>
      </x:c>
      <x:c r="B6" s="49" t="str">
        <x:v>test_id</x:v>
      </x:c>
      <x:c r="C6" s="49" t="str">
        <x:v>domain</x:v>
      </x:c>
      <x:c r="D6" s="49" t="str">
        <x:v>expected</x:v>
      </x:c>
      <x:c r="E6" s="49" t="str">
        <x:v>actual</x:v>
      </x:c>
      <x:c r="F6" s="49" t="str">
        <x:v>variance</x:v>
      </x:c>
      <x:c r="G6" s="49" t="str">
        <x:v>status</x:v>
      </x:c>
      <x:c r="H6" s="49" t="str">
        <x:v>rule_ref</x:v>
      </x:c>
      <x:c r="I6" s="49" t="str">
        <x:v>rationale</x:v>
      </x:c>
    </x:row>
    <x:row r="7" ht="30" customHeight="1">
      <x:c r="A7" s="19" t="str">
        <x:v>BR-SU7-STD-PRO</x:v>
      </x:c>
      <x:c r="B7" s="19" t="str">
        <x:v>TOTAL_DETAIL_ROWS</x:v>
      </x:c>
      <x:c r="C7" s="19" t="str">
        <x:v>原子行完整性</x:v>
      </x:c>
      <x:c r="D7" s="57" t="n">
        <x:v>3</x:v>
      </x:c>
      <x:c r="E7" s="60" t="n">
        <x:f>COUNTIF('02_桥接拆项'!$A$7:$A$43,A7)</x:f>
        <x:v>3</x:v>
      </x:c>
      <x:c r="F7" s="62" t="n">
        <x:f>E7-D7</x:f>
        <x:v>0</x:v>
      </x:c>
      <x:c r="G7" s="19" t="str">
        <x:f>IF(ABS(F7)&lt;0.001,"PASS","FAIL")</x:f>
        <x:v>PASS</x:v>
      </x:c>
      <x:c r="H7" s="19" t="str">
        <x:v>R01</x:v>
      </x:c>
      <x:c r="I7" s="19" t="str">
        <x:v>与已确认的桥接签名行数一致。</x:v>
      </x:c>
    </x:row>
    <x:row r="8" ht="30" customHeight="1">
      <x:c r="A8" s="50" t="str">
        <x:v>BR-SU7-STD-PRO</x:v>
      </x:c>
      <x:c r="B8" s="50" t="str">
        <x:v>DEDUP_FAIL</x:v>
      </x:c>
      <x:c r="C8" s="50" t="str">
        <x:v>重复键</x:v>
      </x:c>
      <x:c r="D8" s="57" t="n">
        <x:v>0</x:v>
      </x:c>
      <x:c r="E8" s="61" t="n">
        <x:f>COUNTIFS('02_桥接拆项'!$A$7:$A$43,A8,'02_桥接拆项'!$T$7:$T$43,"FAIL")</x:f>
        <x:v>0</x:v>
      </x:c>
      <x:c r="F8" s="63" t="n">
        <x:f>E8-D8</x:f>
        <x:v>0</x:v>
      </x:c>
      <x:c r="G8" s="50" t="str">
        <x:f>IF(ABS(F8)&lt;0.001,"PASS","FAIL")</x:f>
        <x:v>PASS</x:v>
      </x:c>
      <x:c r="H8" s="50" t="str">
        <x:v>R01</x:v>
      </x:c>
      <x:c r="I8" s="50" t="str">
        <x:v>同桥同double_count_key必须唯一。</x:v>
      </x:c>
    </x:row>
    <x:row r="9" ht="30" customHeight="1">
      <x:c r="A9" s="19" t="str">
        <x:v>BR-SU7-STD-PRO</x:v>
      </x:c>
      <x:c r="B9" s="19" t="str">
        <x:v>RANGE_FAIL</x:v>
      </x:c>
      <x:c r="C9" s="19" t="str">
        <x:v>成本区间</x:v>
      </x:c>
      <x:c r="D9" s="57" t="n">
        <x:v>0</x:v>
      </x:c>
      <x:c r="E9" s="60" t="n">
        <x:f>COUNTIFS('02_桥接拆项'!$A$7:$A$43,A9,'02_桥接拆项'!$U$7:$U$43,"FAIL")</x:f>
        <x:v>0</x:v>
      </x:c>
      <x:c r="F9" s="62" t="n">
        <x:f>E9-D9</x:f>
        <x:v>0</x:v>
      </x:c>
      <x:c r="G9" s="19" t="str">
        <x:f>IF(ABS(F9)&lt;0.001,"PASS","FAIL")</x:f>
        <x:v>PASS</x:v>
      </x:c>
      <x:c r="H9" s="19" t="str">
        <x:v>R01</x:v>
      </x:c>
      <x:c r="I9" s="19" t="str">
        <x:v>低≤中≤高。</x:v>
      </x:c>
    </x:row>
    <x:row r="10" ht="30" customHeight="1">
      <x:c r="A10" s="50" t="str">
        <x:v>BR-SU7-STD-PRO</x:v>
      </x:c>
      <x:c r="B10" s="50" t="str">
        <x:v>EVIDENCE_GATE_FAIL</x:v>
      </x:c>
      <x:c r="C10" s="50" t="str">
        <x:v>证据门槛</x:v>
      </x:c>
      <x:c r="D10" s="57" t="n">
        <x:v>0</x:v>
      </x:c>
      <x:c r="E10" s="61" t="n">
        <x:f>COUNTIF('02_桥接拆项'!$A$7:$A$43,A10)-COUNTIFS('02_桥接拆项'!$A$7:$A$43,A10,'02_桥接拆项'!$N$7:$N$43,"eligible_base")-COUNTIFS('02_桥接拆项'!$A$7:$A$43,A10,'02_桥接拆项'!$N$7:$N$43,"eligible_base_su7_only")</x:f>
        <x:v>0</x:v>
      </x:c>
      <x:c r="F10" s="63" t="n">
        <x:f>E10-D10</x:f>
        <x:v>0</x:v>
      </x:c>
      <x:c r="G10" s="50" t="str">
        <x:f>IF(ABS(F10)&lt;0.001,"PASS","FAIL")</x:f>
        <x:v>PASS</x:v>
      </x:c>
      <x:c r="H10" s="50" t="str">
        <x:v>R02</x:v>
      </x:c>
      <x:c r="I10" s="50" t="str">
        <x:v>只允许base及所属车系的限定字段。</x:v>
      </x:c>
    </x:row>
    <x:row r="11" ht="30" customHeight="1">
      <x:c r="A11" s="19" t="str">
        <x:v>BR-SU7-STD-PRO</x:v>
      </x:c>
      <x:c r="B11" s="19" t="str">
        <x:v>ABS_REFERENCE_ROWS</x:v>
      </x:c>
      <x:c r="C11" s="19" t="str">
        <x:v>绝对参考排除</x:v>
      </x:c>
      <x:c r="D11" s="57" t="n">
        <x:v>0</x:v>
      </x:c>
      <x:c r="E11" s="60" t="n">
        <x:f>COUNTIFS('02_桥接拆项'!$A$7:$A$43,A11,'02_桥接拆项'!$E$7:$E$43,"ABS_*")</x:f>
        <x:v>0</x:v>
      </x:c>
      <x:c r="F11" s="62" t="n">
        <x:f>E11-D11</x:f>
        <x:v>0</x:v>
      </x:c>
      <x:c r="G11" s="19" t="str">
        <x:f>IF(ABS(F11)&lt;0.001,"PASS","FAIL")</x:f>
        <x:v>PASS</x:v>
      </x:c>
      <x:c r="H11" s="19" t="str">
        <x:v>R03</x:v>
      </x:c>
      <x:c r="I11" s="19" t="str">
        <x:v>ABS_*不得进入桥接。</x:v>
      </x:c>
    </x:row>
    <x:row r="12" ht="30" customHeight="1">
      <x:c r="A12" s="50" t="str">
        <x:v>BR-SU7-STD-PRO</x:v>
      </x:c>
      <x:c r="B12" s="50" t="str">
        <x:v>BLOCKED_ROWS</x:v>
      </x:c>
      <x:c r="C12" s="50" t="str">
        <x:v>blocked排除</x:v>
      </x:c>
      <x:c r="D12" s="57" t="n">
        <x:v>0</x:v>
      </x:c>
      <x:c r="E12" s="61" t="n">
        <x:f>COUNTIFS('02_桥接拆项'!$A$7:$A$43,A12,'02_桥接拆项'!$E$7:$E$43,"BLOCK_*")</x:f>
        <x:v>0</x:v>
      </x:c>
      <x:c r="F12" s="63" t="n">
        <x:f>E12-D12</x:f>
        <x:v>0</x:v>
      </x:c>
      <x:c r="G12" s="50" t="str">
        <x:f>IF(ABS(F12)&lt;0.001,"PASS","FAIL")</x:f>
        <x:v>PASS</x:v>
      </x:c>
      <x:c r="H12" s="50" t="str">
        <x:v>R04</x:v>
      </x:c>
      <x:c r="I12" s="50" t="str">
        <x:v>blocked只留敏感性。</x:v>
      </x:c>
    </x:row>
    <x:row r="13" ht="30" customHeight="1">
      <x:c r="A13" s="19" t="str">
        <x:v>BR-SU7-STD-PRO</x:v>
      </x:c>
      <x:c r="B13" s="19" t="str">
        <x:v>BATTERY_CORE_ROWS</x:v>
      </x:c>
      <x:c r="C13" s="19" t="str">
        <x:v>电池整包</x:v>
      </x:c>
      <x:c r="D13" s="57" t="n">
        <x:v>1</x:v>
      </x:c>
      <x:c r="E13" s="60" t="n">
        <x:f>COUNTIFS('02_桥接拆项'!$A$7:$A$43,A13,'02_桥接拆项'!$F$7:$F$43,"M01_BATTERY")</x:f>
        <x:v>1</x:v>
      </x:c>
      <x:c r="F13" s="62" t="n">
        <x:f>E13-D13</x:f>
        <x:v>0</x:v>
      </x:c>
      <x:c r="G13" s="19" t="str">
        <x:f>IF(ABS(F13)&lt;0.001,"PASS","FAIL")</x:f>
        <x:v>PASS</x:v>
      </x:c>
      <x:c r="H13" s="19" t="str">
        <x:v>R05</x:v>
      </x:c>
      <x:c r="I13" s="19" t="str">
        <x:v>整包口径按桥接最多一行。</x:v>
      </x:c>
    </x:row>
    <x:row r="14" ht="30" customHeight="1">
      <x:c r="A14" s="50" t="str">
        <x:v>BR-SU7-STD-PRO</x:v>
      </x:c>
      <x:c r="B14" s="50" t="str">
        <x:v>EDRIVE_CORE_ROWS</x:v>
      </x:c>
      <x:c r="C14" s="50" t="str">
        <x:v>电驱总成</x:v>
      </x:c>
      <x:c r="D14" s="57" t="n">
        <x:v>0</x:v>
      </x:c>
      <x:c r="E14" s="61" t="n">
        <x:f>COUNTIFS('02_桥接拆项'!$A$7:$A$43,A14,'02_桥接拆项'!$F$7:$F$43,"M02_EDRIVE")</x:f>
        <x:v>0</x:v>
      </x:c>
      <x:c r="F14" s="63" t="n">
        <x:f>E14-D14</x:f>
        <x:v>0</x:v>
      </x:c>
      <x:c r="G14" s="50" t="str">
        <x:f>IF(ABS(F14)&lt;0.001,"PASS","FAIL")</x:f>
        <x:v>PASS</x:v>
      </x:c>
      <x:c r="H14" s="50" t="str">
        <x:v>R06</x:v>
      </x:c>
      <x:c r="I14" s="50" t="str">
        <x:v>总成级差按桥接最多一行。</x:v>
      </x:c>
    </x:row>
    <x:row r="15" ht="30" customHeight="1">
      <x:c r="A15" s="19" t="str">
        <x:v>BR-SU7-STD-PRO</x:v>
      </x:c>
      <x:c r="B15" s="19" t="str">
        <x:v>HV_CORE_ROWS</x:v>
      </x:c>
      <x:c r="C15" s="19" t="str">
        <x:v>包外高压</x:v>
      </x:c>
      <x:c r="D15" s="57" t="n">
        <x:v>0</x:v>
      </x:c>
      <x:c r="E15" s="60" t="n">
        <x:f>COUNTIFS('02_桥接拆项'!$A$7:$A$43,A15,'02_桥接拆项'!$F$7:$F$43,"M03_HIGH_VOLTAGE")</x:f>
        <x:v>0</x:v>
      </x:c>
      <x:c r="F15" s="62" t="n">
        <x:f>E15-D15</x:f>
        <x:v>0</x:v>
      </x:c>
      <x:c r="G15" s="19" t="str">
        <x:f>IF(ABS(F15)&lt;0.001,"PASS","FAIL")</x:f>
        <x:v>PASS</x:v>
      </x:c>
      <x:c r="H15" s="19" t="str">
        <x:v>R07</x:v>
      </x:c>
      <x:c r="I15" s="19" t="str">
        <x:v>仅897V相对752V的包外链路。</x:v>
      </x:c>
    </x:row>
    <x:row r="16" ht="30" customHeight="1">
      <x:c r="A16" s="50" t="str">
        <x:v>BR-SU7-STD-PRO</x:v>
      </x:c>
      <x:c r="B16" s="50" t="str">
        <x:v>AIR_HARDWARE_ROWS</x:v>
      </x:c>
      <x:c r="C16" s="50" t="str">
        <x:v>空悬硬件</x:v>
      </x:c>
      <x:c r="D16" s="57" t="n">
        <x:v>1</x:v>
      </x:c>
      <x:c r="E16" s="61" t="n">
        <x:f>COUNTIFS('02_桥接拆项'!$A$7:$A$43,A16,'02_桥接拆项'!$E$7:$E$43,"INC_AIR_EXCL_CDC")</x:f>
        <x:v>1</x:v>
      </x:c>
      <x:c r="F16" s="63" t="n">
        <x:f>E16-D16</x:f>
        <x:v>0</x:v>
      </x:c>
      <x:c r="G16" s="50" t="str">
        <x:f>IF(ABS(F16)&lt;0.001,"PASS","FAIL")</x:f>
        <x:v>PASS</x:v>
      </x:c>
      <x:c r="H16" s="50" t="str">
        <x:v>R08</x:v>
      </x:c>
      <x:c r="I16" s="50" t="str">
        <x:v>空悬硬件明确不含CDC。</x:v>
      </x:c>
    </x:row>
    <x:row r="17" ht="30" customHeight="1">
      <x:c r="A17" s="19" t="str">
        <x:v>BR-SU7-STD-PRO</x:v>
      </x:c>
      <x:c r="B17" s="19" t="str">
        <x:v>CDC_ROWS</x:v>
      </x:c>
      <x:c r="C17" s="19" t="str">
        <x:v>CDC</x:v>
      </x:c>
      <x:c r="D17" s="57" t="n">
        <x:v>1</x:v>
      </x:c>
      <x:c r="E17" s="60" t="n">
        <x:f>COUNTIFS('02_桥接拆项'!$A$7:$A$43,A17,'02_桥接拆项'!$E$7:$E$43,"INC_CDC")</x:f>
        <x:v>1</x:v>
      </x:c>
      <x:c r="F17" s="62" t="n">
        <x:f>E17-D17</x:f>
        <x:v>0</x:v>
      </x:c>
      <x:c r="G17" s="19" t="str">
        <x:f>IF(ABS(F17)&lt;0.001,"PASS","FAIL")</x:f>
        <x:v>PASS</x:v>
      </x:c>
      <x:c r="H17" s="19" t="str">
        <x:v>R08</x:v>
      </x:c>
      <x:c r="I17" s="19" t="str">
        <x:v>仅从无到有时计。</x:v>
      </x:c>
    </x:row>
    <x:row r="18" ht="30" customHeight="1">
      <x:c r="A18" s="50" t="str">
        <x:v>BR-SU7-STD-PRO</x:v>
      </x:c>
      <x:c r="B18" s="50" t="str">
        <x:v>COMPLETE_AIR_BUNDLE_ROWS</x:v>
      </x:c>
      <x:c r="C18" s="50" t="str">
        <x:v>完整空悬包排除</x:v>
      </x:c>
      <x:c r="D18" s="57" t="n">
        <x:v>0</x:v>
      </x:c>
      <x:c r="E18" s="61" t="n">
        <x:f>COUNTIFS('02_桥接拆项'!$A$7:$A$43,A18,'02_桥接拆项'!$E$7:$E$43,"ABS_AIR_COMPLETE")</x:f>
        <x:v>0</x:v>
      </x:c>
      <x:c r="F18" s="63" t="n">
        <x:f>E18-D18</x:f>
        <x:v>0</x:v>
      </x:c>
      <x:c r="G18" s="50" t="str">
        <x:f>IF(ABS(F18)&lt;0.001,"PASS","FAIL")</x:f>
        <x:v>PASS</x:v>
      </x:c>
      <x:c r="H18" s="50" t="str">
        <x:v>R09</x:v>
      </x:c>
      <x:c r="I18" s="50" t="str">
        <x:v>完整包只能作参考。</x:v>
      </x:c>
    </x:row>
    <x:row r="19" ht="30" customHeight="1">
      <x:c r="A19" s="19" t="str">
        <x:v>BR-SU7-STD-PRO</x:v>
      </x:c>
      <x:c r="B19" s="19" t="str">
        <x:v>BRAKE_PAD_ROWS</x:v>
      </x:c>
      <x:c r="C19" s="19" t="str">
        <x:v>刹车片排除</x:v>
      </x:c>
      <x:c r="D19" s="57" t="n">
        <x:v>0</x:v>
      </x:c>
      <x:c r="E19" s="60" t="n">
        <x:f>COUNTIFS('02_桥接拆项'!$A$7:$A$43,A19,'02_桥接拆项'!$E$7:$E$43,"BLOCK_FRONT_PAD")+COUNTIFS('02_桥接拆项'!$A$7:$A$43,A19,'02_桥接拆项'!$E$7:$E$43,"BLOCK_REAR_PAD")</x:f>
        <x:v>0</x:v>
      </x:c>
      <x:c r="F19" s="62" t="n">
        <x:f>E19-D19</x:f>
        <x:v>0</x:v>
      </x:c>
      <x:c r="G19" s="19" t="str">
        <x:f>IF(ABS(F19)&lt;0.001,"PASS","FAIL")</x:f>
        <x:v>PASS</x:v>
      </x:c>
      <x:c r="H19" s="19" t="str">
        <x:v>R10</x:v>
      </x:c>
      <x:c r="I19" s="19" t="str">
        <x:v>普通版片型未披露。</x:v>
      </x:c>
    </x:row>
    <x:row r="20" ht="30" customHeight="1">
      <x:c r="A20" s="50" t="str">
        <x:v>BR-SU7-STD-PRO</x:v>
      </x:c>
      <x:c r="B20" s="50" t="str">
        <x:v>AUDIO_PACKAGE_ROWS</x:v>
      </x:c>
      <x:c r="C20" s="50" t="str">
        <x:v>音响系统包</x:v>
      </x:c>
      <x:c r="D20" s="57" t="n">
        <x:v>0</x:v>
      </x:c>
      <x:c r="E20" s="61" t="n">
        <x:f>COUNTIFS('02_桥接拆项'!$A$7:$A$43,A20,'02_桥接拆项'!$E$7:$E$43,"INC_AUDIO_14_25")</x:f>
        <x:v>0</x:v>
      </x:c>
      <x:c r="F20" s="63" t="n">
        <x:f>E20-D20</x:f>
        <x:v>0</x:v>
      </x:c>
      <x:c r="G20" s="50" t="str">
        <x:f>IF(ABS(F20)&lt;0.001,"PASS","FAIL")</x:f>
        <x:v>PASS</x:v>
      </x:c>
      <x:c r="H20" s="50" t="str">
        <x:v>R11</x:v>
      </x:c>
      <x:c r="I20" s="50" t="str">
        <x:v>系统包一次计价。</x:v>
      </x:c>
    </x:row>
    <x:row r="21" ht="30" customHeight="1">
      <x:c r="A21" s="19" t="str">
        <x:v>BR-SU7-STD-PRO</x:v>
      </x:c>
      <x:c r="B21" s="19" t="str">
        <x:v>ADAS_ROWS</x:v>
      </x:c>
      <x:c r="C21" s="19" t="str">
        <x:v>共同ADAS排除</x:v>
      </x:c>
      <x:c r="D21" s="57" t="n">
        <x:v>0</x:v>
      </x:c>
      <x:c r="E21" s="60" t="n">
        <x:f>COUNTIFS('02_桥接拆项'!$A$7:$A$43,A21,'02_桥接拆项'!$F$7:$F$43,"M05_ADAS")</x:f>
        <x:v>0</x:v>
      </x:c>
      <x:c r="F21" s="62" t="n">
        <x:f>E21-D21</x:f>
        <x:v>0</x:v>
      </x:c>
      <x:c r="G21" s="19" t="str">
        <x:f>IF(ABS(F21)&lt;0.001,"PASS","FAIL")</x:f>
        <x:v>PASS</x:v>
      </x:c>
      <x:c r="H21" s="19" t="str">
        <x:v>R12</x:v>
      </x:c>
      <x:c r="I21" s="19" t="str">
        <x:v>共同硬件只保留绝对参考。</x:v>
      </x:c>
    </x:row>
    <x:row r="22" ht="30" customHeight="1">
      <x:c r="A22" s="50" t="str">
        <x:v>BR-SU7-STD-PRO</x:v>
      </x:c>
      <x:c r="B22" s="50" t="str">
        <x:v>RESULT_METRIC_ROWS</x:v>
      </x:c>
      <x:c r="C22" s="50" t="str">
        <x:v>结果指标排除</x:v>
      </x:c>
      <x:c r="D22" s="57" t="n">
        <x:v>0</x:v>
      </x:c>
      <x:c r="E22" s="61" t="n">
        <x:f>COUNTIFS('02_桥接拆项'!$A$7:$A$43,A22,'02_桥接拆项'!$E$7:$E$43,"RESULT_*")</x:f>
        <x:v>0</x:v>
      </x:c>
      <x:c r="F22" s="63" t="n">
        <x:f>E22-D22</x:f>
        <x:v>0</x:v>
      </x:c>
      <x:c r="G22" s="50" t="str">
        <x:f>IF(ABS(F22)&lt;0.001,"PASS","FAIL")</x:f>
        <x:v>PASS</x:v>
      </x:c>
      <x:c r="H22" s="50" t="str">
        <x:v>R13</x:v>
      </x:c>
      <x:c r="I22" s="50" t="str">
        <x:v>续航/性能/营销类别不得成为成本行。</x:v>
      </x:c>
    </x:row>
    <x:row r="23" ht="30" customHeight="1">
      <x:c r="A23" s="19" t="str">
        <x:v>BR-SU7-STD-PRO</x:v>
      </x:c>
      <x:c r="B23" s="19" t="str">
        <x:v>MFG_OVERLAY_ROWS</x:v>
      </x:c>
      <x:c r="C23" s="19" t="str">
        <x:v>制造覆盖项</x:v>
      </x:c>
      <x:c r="D23" s="57" t="n">
        <x:v>1</x:v>
      </x:c>
      <x:c r="E23" s="60" t="n">
        <x:f>COUNTIFS('03_模块汇总'!$A$7:$A$56,A23,'03_模块汇总'!$C$7:$C$56,"M09_MANUFACTURING",'03_模块汇总'!$H$7:$H$56,"OVERLAY_ASSUMPTION")</x:f>
        <x:v>1</x:v>
      </x:c>
      <x:c r="F23" s="62" t="n">
        <x:f>E23-D23</x:f>
        <x:v>0</x:v>
      </x:c>
      <x:c r="G23" s="19" t="str">
        <x:f>IF(ABS(F23)&lt;0.001,"PASS","FAIL")</x:f>
        <x:v>PASS</x:v>
      </x:c>
      <x:c r="H23" s="19" t="str">
        <x:v>R14</x:v>
      </x:c>
      <x:c r="I23" s="19" t="str">
        <x:v>每桥且仅一次。</x:v>
      </x:c>
    </x:row>
    <x:row r="24" ht="30" customHeight="1">
      <x:c r="A24" s="50" t="str">
        <x:v>BR-SU7-STD-PRO</x:v>
      </x:c>
      <x:c r="B24" s="50" t="str">
        <x:v>WARRANTY_OVERLAY_ROWS</x:v>
      </x:c>
      <x:c r="C24" s="50" t="str">
        <x:v>质保覆盖项</x:v>
      </x:c>
      <x:c r="D24" s="57" t="n">
        <x:v>1</x:v>
      </x:c>
      <x:c r="E24" s="61" t="n">
        <x:f>COUNTIFS('03_模块汇总'!$A$7:$A$56,A24,'03_模块汇总'!$C$7:$C$56,"M10_WARRANTY",'03_模块汇总'!$H$7:$H$56,"OVERLAY_ASSUMPTION")</x:f>
        <x:v>1</x:v>
      </x:c>
      <x:c r="F24" s="63" t="n">
        <x:f>E24-D24</x:f>
        <x:v>0</x:v>
      </x:c>
      <x:c r="G24" s="50" t="str">
        <x:f>IF(ABS(F24)&lt;0.001,"PASS","FAIL")</x:f>
        <x:v>PASS</x:v>
      </x:c>
      <x:c r="H24" s="50" t="str">
        <x:v>R15</x:v>
      </x:c>
      <x:c r="I24" s="50" t="str">
        <x:v>每桥且仅一次。</x:v>
      </x:c>
    </x:row>
    <x:row r="25" ht="30" customHeight="1">
      <x:c r="A25" s="19" t="str">
        <x:v>BR-SU7-STD-PRO</x:v>
      </x:c>
      <x:c r="B25" s="19" t="str">
        <x:v>RETAIL_RESIDUAL_COST_ROWS</x:v>
      </x:c>
      <x:c r="C25" s="19" t="str">
        <x:v>价差残余排除</x:v>
      </x:c>
      <x:c r="D25" s="57" t="n">
        <x:v>0</x:v>
      </x:c>
      <x:c r="E25" s="60" t="n">
        <x:f>COUNTIFS('02_桥接拆项'!$A$7:$A$43,A25,'02_桥接拆项'!$E$7:$E$43,"*RESIDUAL*")+COUNTIFS('02_桥接拆项'!$A$7:$A$43,A25,'02_桥接拆项'!$E$7:$E$43,"*PRICE_GAP*")</x:f>
        <x:v>0</x:v>
      </x:c>
      <x:c r="F25" s="62" t="n">
        <x:f>E25-D25</x:f>
        <x:v>0</x:v>
      </x:c>
      <x:c r="G25" s="19" t="str">
        <x:f>IF(ABS(F25)&lt;0.001,"PASS","FAIL")</x:f>
        <x:v>PASS</x:v>
      </x:c>
      <x:c r="H25" s="19" t="str">
        <x:v>R16</x:v>
      </x:c>
      <x:c r="I25" s="19" t="str">
        <x:v>残余不反填硬件。</x:v>
      </x:c>
    </x:row>
    <x:row r="26" ht="30" customHeight="1">
      <x:c r="A26" s="50" t="str">
        <x:v>BR-SU7-PRO-MAX</x:v>
      </x:c>
      <x:c r="B26" s="50" t="str">
        <x:v>TOTAL_DETAIL_ROWS</x:v>
      </x:c>
      <x:c r="C26" s="50" t="str">
        <x:v>原子行完整性</x:v>
      </x:c>
      <x:c r="D26" s="57" t="n">
        <x:v>15</x:v>
      </x:c>
      <x:c r="E26" s="61" t="n">
        <x:f>COUNTIF('02_桥接拆项'!$A$7:$A$43,A26)</x:f>
        <x:v>15</x:v>
      </x:c>
      <x:c r="F26" s="63" t="n">
        <x:f>E26-D26</x:f>
        <x:v>0</x:v>
      </x:c>
      <x:c r="G26" s="50" t="str">
        <x:f>IF(ABS(F26)&lt;0.001,"PASS","FAIL")</x:f>
        <x:v>PASS</x:v>
      </x:c>
      <x:c r="H26" s="50" t="str">
        <x:v>R01</x:v>
      </x:c>
      <x:c r="I26" s="50" t="str">
        <x:v>与已确认的桥接签名行数一致。</x:v>
      </x:c>
    </x:row>
    <x:row r="27" ht="30" customHeight="1">
      <x:c r="A27" s="19" t="str">
        <x:v>BR-SU7-PRO-MAX</x:v>
      </x:c>
      <x:c r="B27" s="19" t="str">
        <x:v>DEDUP_FAIL</x:v>
      </x:c>
      <x:c r="C27" s="19" t="str">
        <x:v>重复键</x:v>
      </x:c>
      <x:c r="D27" s="57" t="n">
        <x:v>0</x:v>
      </x:c>
      <x:c r="E27" s="60" t="n">
        <x:f>COUNTIFS('02_桥接拆项'!$A$7:$A$43,A27,'02_桥接拆项'!$T$7:$T$43,"FAIL")</x:f>
        <x:v>0</x:v>
      </x:c>
      <x:c r="F27" s="62" t="n">
        <x:f>E27-D27</x:f>
        <x:v>0</x:v>
      </x:c>
      <x:c r="G27" s="19" t="str">
        <x:f>IF(ABS(F27)&lt;0.001,"PASS","FAIL")</x:f>
        <x:v>PASS</x:v>
      </x:c>
      <x:c r="H27" s="19" t="str">
        <x:v>R01</x:v>
      </x:c>
      <x:c r="I27" s="19" t="str">
        <x:v>同桥同double_count_key必须唯一。</x:v>
      </x:c>
    </x:row>
    <x:row r="28" ht="30" customHeight="1">
      <x:c r="A28" s="50" t="str">
        <x:v>BR-SU7-PRO-MAX</x:v>
      </x:c>
      <x:c r="B28" s="50" t="str">
        <x:v>RANGE_FAIL</x:v>
      </x:c>
      <x:c r="C28" s="50" t="str">
        <x:v>成本区间</x:v>
      </x:c>
      <x:c r="D28" s="57" t="n">
        <x:v>0</x:v>
      </x:c>
      <x:c r="E28" s="61" t="n">
        <x:f>COUNTIFS('02_桥接拆项'!$A$7:$A$43,A28,'02_桥接拆项'!$U$7:$U$43,"FAIL")</x:f>
        <x:v>0</x:v>
      </x:c>
      <x:c r="F28" s="63" t="n">
        <x:f>E28-D28</x:f>
        <x:v>0</x:v>
      </x:c>
      <x:c r="G28" s="50" t="str">
        <x:f>IF(ABS(F28)&lt;0.001,"PASS","FAIL")</x:f>
        <x:v>PASS</x:v>
      </x:c>
      <x:c r="H28" s="50" t="str">
        <x:v>R01</x:v>
      </x:c>
      <x:c r="I28" s="50" t="str">
        <x:v>低≤中≤高。</x:v>
      </x:c>
    </x:row>
    <x:row r="29" ht="30" customHeight="1">
      <x:c r="A29" s="19" t="str">
        <x:v>BR-SU7-PRO-MAX</x:v>
      </x:c>
      <x:c r="B29" s="19" t="str">
        <x:v>EVIDENCE_GATE_FAIL</x:v>
      </x:c>
      <x:c r="C29" s="19" t="str">
        <x:v>证据门槛</x:v>
      </x:c>
      <x:c r="D29" s="57" t="n">
        <x:v>0</x:v>
      </x:c>
      <x:c r="E29" s="60" t="n">
        <x:f>COUNTIF('02_桥接拆项'!$A$7:$A$43,A29)-COUNTIFS('02_桥接拆项'!$A$7:$A$43,A29,'02_桥接拆项'!$N$7:$N$43,"eligible_base")-COUNTIFS('02_桥接拆项'!$A$7:$A$43,A29,'02_桥接拆项'!$N$7:$N$43,"eligible_base_su7_only")</x:f>
        <x:v>0</x:v>
      </x:c>
      <x:c r="F29" s="62" t="n">
        <x:f>E29-D29</x:f>
        <x:v>0</x:v>
      </x:c>
      <x:c r="G29" s="19" t="str">
        <x:f>IF(ABS(F29)&lt;0.001,"PASS","FAIL")</x:f>
        <x:v>PASS</x:v>
      </x:c>
      <x:c r="H29" s="19" t="str">
        <x:v>R02</x:v>
      </x:c>
      <x:c r="I29" s="19" t="str">
        <x:v>只允许base及所属车系的限定字段。</x:v>
      </x:c>
    </x:row>
    <x:row r="30" ht="30" customHeight="1">
      <x:c r="A30" s="50" t="str">
        <x:v>BR-SU7-PRO-MAX</x:v>
      </x:c>
      <x:c r="B30" s="50" t="str">
        <x:v>ABS_REFERENCE_ROWS</x:v>
      </x:c>
      <x:c r="C30" s="50" t="str">
        <x:v>绝对参考排除</x:v>
      </x:c>
      <x:c r="D30" s="57" t="n">
        <x:v>0</x:v>
      </x:c>
      <x:c r="E30" s="61" t="n">
        <x:f>COUNTIFS('02_桥接拆项'!$A$7:$A$43,A30,'02_桥接拆项'!$E$7:$E$43,"ABS_*")</x:f>
        <x:v>0</x:v>
      </x:c>
      <x:c r="F30" s="63" t="n">
        <x:f>E30-D30</x:f>
        <x:v>0</x:v>
      </x:c>
      <x:c r="G30" s="50" t="str">
        <x:f>IF(ABS(F30)&lt;0.001,"PASS","FAIL")</x:f>
        <x:v>PASS</x:v>
      </x:c>
      <x:c r="H30" s="50" t="str">
        <x:v>R03</x:v>
      </x:c>
      <x:c r="I30" s="50" t="str">
        <x:v>ABS_*不得进入桥接。</x:v>
      </x:c>
    </x:row>
    <x:row r="31" ht="30" customHeight="1">
      <x:c r="A31" s="19" t="str">
        <x:v>BR-SU7-PRO-MAX</x:v>
      </x:c>
      <x:c r="B31" s="19" t="str">
        <x:v>BLOCKED_ROWS</x:v>
      </x:c>
      <x:c r="C31" s="19" t="str">
        <x:v>blocked排除</x:v>
      </x:c>
      <x:c r="D31" s="57" t="n">
        <x:v>0</x:v>
      </x:c>
      <x:c r="E31" s="60" t="n">
        <x:f>COUNTIFS('02_桥接拆项'!$A$7:$A$43,A31,'02_桥接拆项'!$E$7:$E$43,"BLOCK_*")</x:f>
        <x:v>0</x:v>
      </x:c>
      <x:c r="F31" s="62" t="n">
        <x:f>E31-D31</x:f>
        <x:v>0</x:v>
      </x:c>
      <x:c r="G31" s="19" t="str">
        <x:f>IF(ABS(F31)&lt;0.001,"PASS","FAIL")</x:f>
        <x:v>PASS</x:v>
      </x:c>
      <x:c r="H31" s="19" t="str">
        <x:v>R04</x:v>
      </x:c>
      <x:c r="I31" s="19" t="str">
        <x:v>blocked只留敏感性。</x:v>
      </x:c>
    </x:row>
    <x:row r="32" ht="30" customHeight="1">
      <x:c r="A32" s="50" t="str">
        <x:v>BR-SU7-PRO-MAX</x:v>
      </x:c>
      <x:c r="B32" s="50" t="str">
        <x:v>BATTERY_CORE_ROWS</x:v>
      </x:c>
      <x:c r="C32" s="50" t="str">
        <x:v>电池整包</x:v>
      </x:c>
      <x:c r="D32" s="57" t="n">
        <x:v>1</x:v>
      </x:c>
      <x:c r="E32" s="61" t="n">
        <x:f>COUNTIFS('02_桥接拆项'!$A$7:$A$43,A32,'02_桥接拆项'!$F$7:$F$43,"M01_BATTERY")</x:f>
        <x:v>1</x:v>
      </x:c>
      <x:c r="F32" s="63" t="n">
        <x:f>E32-D32</x:f>
        <x:v>0</x:v>
      </x:c>
      <x:c r="G32" s="50" t="str">
        <x:f>IF(ABS(F32)&lt;0.001,"PASS","FAIL")</x:f>
        <x:v>PASS</x:v>
      </x:c>
      <x:c r="H32" s="50" t="str">
        <x:v>R05</x:v>
      </x:c>
      <x:c r="I32" s="50" t="str">
        <x:v>整包口径按桥接最多一行。</x:v>
      </x:c>
    </x:row>
    <x:row r="33" ht="30" customHeight="1">
      <x:c r="A33" s="19" t="str">
        <x:v>BR-SU7-PRO-MAX</x:v>
      </x:c>
      <x:c r="B33" s="19" t="str">
        <x:v>EDRIVE_CORE_ROWS</x:v>
      </x:c>
      <x:c r="C33" s="19" t="str">
        <x:v>电驱总成</x:v>
      </x:c>
      <x:c r="D33" s="57" t="n">
        <x:v>1</x:v>
      </x:c>
      <x:c r="E33" s="60" t="n">
        <x:f>COUNTIFS('02_桥接拆项'!$A$7:$A$43,A33,'02_桥接拆项'!$F$7:$F$43,"M02_EDRIVE")</x:f>
        <x:v>1</x:v>
      </x:c>
      <x:c r="F33" s="62" t="n">
        <x:f>E33-D33</x:f>
        <x:v>0</x:v>
      </x:c>
      <x:c r="G33" s="19" t="str">
        <x:f>IF(ABS(F33)&lt;0.001,"PASS","FAIL")</x:f>
        <x:v>PASS</x:v>
      </x:c>
      <x:c r="H33" s="19" t="str">
        <x:v>R06</x:v>
      </x:c>
      <x:c r="I33" s="19" t="str">
        <x:v>总成级差按桥接最多一行。</x:v>
      </x:c>
    </x:row>
    <x:row r="34" ht="30" customHeight="1">
      <x:c r="A34" s="50" t="str">
        <x:v>BR-SU7-PRO-MAX</x:v>
      </x:c>
      <x:c r="B34" s="50" t="str">
        <x:v>HV_CORE_ROWS</x:v>
      </x:c>
      <x:c r="C34" s="50" t="str">
        <x:v>包外高压</x:v>
      </x:c>
      <x:c r="D34" s="57" t="n">
        <x:v>1</x:v>
      </x:c>
      <x:c r="E34" s="61" t="n">
        <x:f>COUNTIFS('02_桥接拆项'!$A$7:$A$43,A34,'02_桥接拆项'!$F$7:$F$43,"M03_HIGH_VOLTAGE")</x:f>
        <x:v>1</x:v>
      </x:c>
      <x:c r="F34" s="63" t="n">
        <x:f>E34-D34</x:f>
        <x:v>0</x:v>
      </x:c>
      <x:c r="G34" s="50" t="str">
        <x:f>IF(ABS(F34)&lt;0.001,"PASS","FAIL")</x:f>
        <x:v>PASS</x:v>
      </x:c>
      <x:c r="H34" s="50" t="str">
        <x:v>R07</x:v>
      </x:c>
      <x:c r="I34" s="50" t="str">
        <x:v>仅897V相对752V的包外链路。</x:v>
      </x:c>
    </x:row>
    <x:row r="35" ht="30" customHeight="1">
      <x:c r="A35" s="19" t="str">
        <x:v>BR-SU7-PRO-MAX</x:v>
      </x:c>
      <x:c r="B35" s="19" t="str">
        <x:v>AIR_HARDWARE_ROWS</x:v>
      </x:c>
      <x:c r="C35" s="19" t="str">
        <x:v>空悬硬件</x:v>
      </x:c>
      <x:c r="D35" s="57" t="n">
        <x:v>0</x:v>
      </x:c>
      <x:c r="E35" s="60" t="n">
        <x:f>COUNTIFS('02_桥接拆项'!$A$7:$A$43,A35,'02_桥接拆项'!$E$7:$E$43,"INC_AIR_EXCL_CDC")</x:f>
        <x:v>0</x:v>
      </x:c>
      <x:c r="F35" s="62" t="n">
        <x:f>E35-D35</x:f>
        <x:v>0</x:v>
      </x:c>
      <x:c r="G35" s="19" t="str">
        <x:f>IF(ABS(F35)&lt;0.001,"PASS","FAIL")</x:f>
        <x:v>PASS</x:v>
      </x:c>
      <x:c r="H35" s="19" t="str">
        <x:v>R08</x:v>
      </x:c>
      <x:c r="I35" s="19" t="str">
        <x:v>空悬硬件明确不含CDC。</x:v>
      </x:c>
    </x:row>
    <x:row r="36" ht="30" customHeight="1">
      <x:c r="A36" s="50" t="str">
        <x:v>BR-SU7-PRO-MAX</x:v>
      </x:c>
      <x:c r="B36" s="50" t="str">
        <x:v>CDC_ROWS</x:v>
      </x:c>
      <x:c r="C36" s="50" t="str">
        <x:v>CDC</x:v>
      </x:c>
      <x:c r="D36" s="57" t="n">
        <x:v>0</x:v>
      </x:c>
      <x:c r="E36" s="61" t="n">
        <x:f>COUNTIFS('02_桥接拆项'!$A$7:$A$43,A36,'02_桥接拆项'!$E$7:$E$43,"INC_CDC")</x:f>
        <x:v>0</x:v>
      </x:c>
      <x:c r="F36" s="63" t="n">
        <x:f>E36-D36</x:f>
        <x:v>0</x:v>
      </x:c>
      <x:c r="G36" s="50" t="str">
        <x:f>IF(ABS(F36)&lt;0.001,"PASS","FAIL")</x:f>
        <x:v>PASS</x:v>
      </x:c>
      <x:c r="H36" s="50" t="str">
        <x:v>R08</x:v>
      </x:c>
      <x:c r="I36" s="50" t="str">
        <x:v>仅从无到有时计。</x:v>
      </x:c>
    </x:row>
    <x:row r="37" ht="30" customHeight="1">
      <x:c r="A37" s="19" t="str">
        <x:v>BR-SU7-PRO-MAX</x:v>
      </x:c>
      <x:c r="B37" s="19" t="str">
        <x:v>COMPLETE_AIR_BUNDLE_ROWS</x:v>
      </x:c>
      <x:c r="C37" s="19" t="str">
        <x:v>完整空悬包排除</x:v>
      </x:c>
      <x:c r="D37" s="57" t="n">
        <x:v>0</x:v>
      </x:c>
      <x:c r="E37" s="60" t="n">
        <x:f>COUNTIFS('02_桥接拆项'!$A$7:$A$43,A37,'02_桥接拆项'!$E$7:$E$43,"ABS_AIR_COMPLETE")</x:f>
        <x:v>0</x:v>
      </x:c>
      <x:c r="F37" s="62" t="n">
        <x:f>E37-D37</x:f>
        <x:v>0</x:v>
      </x:c>
      <x:c r="G37" s="19" t="str">
        <x:f>IF(ABS(F37)&lt;0.001,"PASS","FAIL")</x:f>
        <x:v>PASS</x:v>
      </x:c>
      <x:c r="H37" s="19" t="str">
        <x:v>R09</x:v>
      </x:c>
      <x:c r="I37" s="19" t="str">
        <x:v>完整包只能作参考。</x:v>
      </x:c>
    </x:row>
    <x:row r="38" ht="30" customHeight="1">
      <x:c r="A38" s="50" t="str">
        <x:v>BR-SU7-PRO-MAX</x:v>
      </x:c>
      <x:c r="B38" s="50" t="str">
        <x:v>BRAKE_PAD_ROWS</x:v>
      </x:c>
      <x:c r="C38" s="50" t="str">
        <x:v>刹车片排除</x:v>
      </x:c>
      <x:c r="D38" s="57" t="n">
        <x:v>0</x:v>
      </x:c>
      <x:c r="E38" s="61" t="n">
        <x:f>COUNTIFS('02_桥接拆项'!$A$7:$A$43,A38,'02_桥接拆项'!$E$7:$E$43,"BLOCK_FRONT_PAD")+COUNTIFS('02_桥接拆项'!$A$7:$A$43,A38,'02_桥接拆项'!$E$7:$E$43,"BLOCK_REAR_PAD")</x:f>
        <x:v>0</x:v>
      </x:c>
      <x:c r="F38" s="63" t="n">
        <x:f>E38-D38</x:f>
        <x:v>0</x:v>
      </x:c>
      <x:c r="G38" s="50" t="str">
        <x:f>IF(ABS(F38)&lt;0.001,"PASS","FAIL")</x:f>
        <x:v>PASS</x:v>
      </x:c>
      <x:c r="H38" s="50" t="str">
        <x:v>R10</x:v>
      </x:c>
      <x:c r="I38" s="50" t="str">
        <x:v>普通版片型未披露。</x:v>
      </x:c>
    </x:row>
    <x:row r="39" ht="30" customHeight="1">
      <x:c r="A39" s="19" t="str">
        <x:v>BR-SU7-PRO-MAX</x:v>
      </x:c>
      <x:c r="B39" s="19" t="str">
        <x:v>AUDIO_PACKAGE_ROWS</x:v>
      </x:c>
      <x:c r="C39" s="19" t="str">
        <x:v>音响系统包</x:v>
      </x:c>
      <x:c r="D39" s="57" t="n">
        <x:v>1</x:v>
      </x:c>
      <x:c r="E39" s="60" t="n">
        <x:f>COUNTIFS('02_桥接拆项'!$A$7:$A$43,A39,'02_桥接拆项'!$E$7:$E$43,"INC_AUDIO_14_25")</x:f>
        <x:v>1</x:v>
      </x:c>
      <x:c r="F39" s="62" t="n">
        <x:f>E39-D39</x:f>
        <x:v>0</x:v>
      </x:c>
      <x:c r="G39" s="19" t="str">
        <x:f>IF(ABS(F39)&lt;0.001,"PASS","FAIL")</x:f>
        <x:v>PASS</x:v>
      </x:c>
      <x:c r="H39" s="19" t="str">
        <x:v>R11</x:v>
      </x:c>
      <x:c r="I39" s="19" t="str">
        <x:v>系统包一次计价。</x:v>
      </x:c>
    </x:row>
    <x:row r="40" ht="30" customHeight="1">
      <x:c r="A40" s="50" t="str">
        <x:v>BR-SU7-PRO-MAX</x:v>
      </x:c>
      <x:c r="B40" s="50" t="str">
        <x:v>ADAS_ROWS</x:v>
      </x:c>
      <x:c r="C40" s="50" t="str">
        <x:v>共同ADAS排除</x:v>
      </x:c>
      <x:c r="D40" s="57" t="n">
        <x:v>0</x:v>
      </x:c>
      <x:c r="E40" s="61" t="n">
        <x:f>COUNTIFS('02_桥接拆项'!$A$7:$A$43,A40,'02_桥接拆项'!$F$7:$F$43,"M05_ADAS")</x:f>
        <x:v>0</x:v>
      </x:c>
      <x:c r="F40" s="63" t="n">
        <x:f>E40-D40</x:f>
        <x:v>0</x:v>
      </x:c>
      <x:c r="G40" s="50" t="str">
        <x:f>IF(ABS(F40)&lt;0.001,"PASS","FAIL")</x:f>
        <x:v>PASS</x:v>
      </x:c>
      <x:c r="H40" s="50" t="str">
        <x:v>R12</x:v>
      </x:c>
      <x:c r="I40" s="50" t="str">
        <x:v>共同硬件只保留绝对参考。</x:v>
      </x:c>
    </x:row>
    <x:row r="41" ht="30" customHeight="1">
      <x:c r="A41" s="19" t="str">
        <x:v>BR-SU7-PRO-MAX</x:v>
      </x:c>
      <x:c r="B41" s="19" t="str">
        <x:v>RESULT_METRIC_ROWS</x:v>
      </x:c>
      <x:c r="C41" s="19" t="str">
        <x:v>结果指标排除</x:v>
      </x:c>
      <x:c r="D41" s="57" t="n">
        <x:v>0</x:v>
      </x:c>
      <x:c r="E41" s="60" t="n">
        <x:f>COUNTIFS('02_桥接拆项'!$A$7:$A$43,A41,'02_桥接拆项'!$E$7:$E$43,"RESULT_*")</x:f>
        <x:v>0</x:v>
      </x:c>
      <x:c r="F41" s="62" t="n">
        <x:f>E41-D41</x:f>
        <x:v>0</x:v>
      </x:c>
      <x:c r="G41" s="19" t="str">
        <x:f>IF(ABS(F41)&lt;0.001,"PASS","FAIL")</x:f>
        <x:v>PASS</x:v>
      </x:c>
      <x:c r="H41" s="19" t="str">
        <x:v>R13</x:v>
      </x:c>
      <x:c r="I41" s="19" t="str">
        <x:v>续航/性能/营销类别不得成为成本行。</x:v>
      </x:c>
    </x:row>
    <x:row r="42" ht="30" customHeight="1">
      <x:c r="A42" s="50" t="str">
        <x:v>BR-SU7-PRO-MAX</x:v>
      </x:c>
      <x:c r="B42" s="50" t="str">
        <x:v>MFG_OVERLAY_ROWS</x:v>
      </x:c>
      <x:c r="C42" s="50" t="str">
        <x:v>制造覆盖项</x:v>
      </x:c>
      <x:c r="D42" s="57" t="n">
        <x:v>1</x:v>
      </x:c>
      <x:c r="E42" s="61" t="n">
        <x:f>COUNTIFS('03_模块汇总'!$A$7:$A$56,A42,'03_模块汇总'!$C$7:$C$56,"M09_MANUFACTURING",'03_模块汇总'!$H$7:$H$56,"OVERLAY_ASSUMPTION")</x:f>
        <x:v>1</x:v>
      </x:c>
      <x:c r="F42" s="63" t="n">
        <x:f>E42-D42</x:f>
        <x:v>0</x:v>
      </x:c>
      <x:c r="G42" s="50" t="str">
        <x:f>IF(ABS(F42)&lt;0.001,"PASS","FAIL")</x:f>
        <x:v>PASS</x:v>
      </x:c>
      <x:c r="H42" s="50" t="str">
        <x:v>R14</x:v>
      </x:c>
      <x:c r="I42" s="50" t="str">
        <x:v>每桥且仅一次。</x:v>
      </x:c>
    </x:row>
    <x:row r="43" ht="30" customHeight="1">
      <x:c r="A43" s="19" t="str">
        <x:v>BR-SU7-PRO-MAX</x:v>
      </x:c>
      <x:c r="B43" s="19" t="str">
        <x:v>WARRANTY_OVERLAY_ROWS</x:v>
      </x:c>
      <x:c r="C43" s="19" t="str">
        <x:v>质保覆盖项</x:v>
      </x:c>
      <x:c r="D43" s="57" t="n">
        <x:v>1</x:v>
      </x:c>
      <x:c r="E43" s="60" t="n">
        <x:f>COUNTIFS('03_模块汇总'!$A$7:$A$56,A43,'03_模块汇总'!$C$7:$C$56,"M10_WARRANTY",'03_模块汇总'!$H$7:$H$56,"OVERLAY_ASSUMPTION")</x:f>
        <x:v>1</x:v>
      </x:c>
      <x:c r="F43" s="62" t="n">
        <x:f>E43-D43</x:f>
        <x:v>0</x:v>
      </x:c>
      <x:c r="G43" s="19" t="str">
        <x:f>IF(ABS(F43)&lt;0.001,"PASS","FAIL")</x:f>
        <x:v>PASS</x:v>
      </x:c>
      <x:c r="H43" s="19" t="str">
        <x:v>R15</x:v>
      </x:c>
      <x:c r="I43" s="19" t="str">
        <x:v>每桥且仅一次。</x:v>
      </x:c>
    </x:row>
    <x:row r="44" ht="30" customHeight="1">
      <x:c r="A44" s="50" t="str">
        <x:v>BR-SU7-PRO-MAX</x:v>
      </x:c>
      <x:c r="B44" s="50" t="str">
        <x:v>RETAIL_RESIDUAL_COST_ROWS</x:v>
      </x:c>
      <x:c r="C44" s="50" t="str">
        <x:v>价差残余排除</x:v>
      </x:c>
      <x:c r="D44" s="57" t="n">
        <x:v>0</x:v>
      </x:c>
      <x:c r="E44" s="61" t="n">
        <x:f>COUNTIFS('02_桥接拆项'!$A$7:$A$43,A44,'02_桥接拆项'!$E$7:$E$43,"*RESIDUAL*")+COUNTIFS('02_桥接拆项'!$A$7:$A$43,A44,'02_桥接拆项'!$E$7:$E$43,"*PRICE_GAP*")</x:f>
        <x:v>0</x:v>
      </x:c>
      <x:c r="F44" s="63" t="n">
        <x:f>E44-D44</x:f>
        <x:v>0</x:v>
      </x:c>
      <x:c r="G44" s="50" t="str">
        <x:f>IF(ABS(F44)&lt;0.001,"PASS","FAIL")</x:f>
        <x:v>PASS</x:v>
      </x:c>
      <x:c r="H44" s="50" t="str">
        <x:v>R16</x:v>
      </x:c>
      <x:c r="I44" s="50" t="str">
        <x:v>残余不反填硬件。</x:v>
      </x:c>
    </x:row>
    <x:row r="45" ht="30" customHeight="1">
      <x:c r="A45" s="19" t="str">
        <x:v>BR-YU7-STD-LR</x:v>
      </x:c>
      <x:c r="B45" s="19" t="str">
        <x:v>TOTAL_DETAIL_ROWS</x:v>
      </x:c>
      <x:c r="C45" s="19" t="str">
        <x:v>原子行完整性</x:v>
      </x:c>
      <x:c r="D45" s="57" t="n">
        <x:v>3</x:v>
      </x:c>
      <x:c r="E45" s="60" t="n">
        <x:f>COUNTIF('02_桥接拆项'!$A$7:$A$43,A45)</x:f>
        <x:v>3</x:v>
      </x:c>
      <x:c r="F45" s="62" t="n">
        <x:f>E45-D45</x:f>
        <x:v>0</x:v>
      </x:c>
      <x:c r="G45" s="19" t="str">
        <x:f>IF(ABS(F45)&lt;0.001,"PASS","FAIL")</x:f>
        <x:v>PASS</x:v>
      </x:c>
      <x:c r="H45" s="19" t="str">
        <x:v>R01</x:v>
      </x:c>
      <x:c r="I45" s="19" t="str">
        <x:v>与已确认的桥接签名行数一致。</x:v>
      </x:c>
    </x:row>
    <x:row r="46" ht="30" customHeight="1">
      <x:c r="A46" s="50" t="str">
        <x:v>BR-YU7-STD-LR</x:v>
      </x:c>
      <x:c r="B46" s="50" t="str">
        <x:v>DEDUP_FAIL</x:v>
      </x:c>
      <x:c r="C46" s="50" t="str">
        <x:v>重复键</x:v>
      </x:c>
      <x:c r="D46" s="57" t="n">
        <x:v>0</x:v>
      </x:c>
      <x:c r="E46" s="61" t="n">
        <x:f>COUNTIFS('02_桥接拆项'!$A$7:$A$43,A46,'02_桥接拆项'!$T$7:$T$43,"FAIL")</x:f>
        <x:v>0</x:v>
      </x:c>
      <x:c r="F46" s="63" t="n">
        <x:f>E46-D46</x:f>
        <x:v>0</x:v>
      </x:c>
      <x:c r="G46" s="50" t="str">
        <x:f>IF(ABS(F46)&lt;0.001,"PASS","FAIL")</x:f>
        <x:v>PASS</x:v>
      </x:c>
      <x:c r="H46" s="50" t="str">
        <x:v>R01</x:v>
      </x:c>
      <x:c r="I46" s="50" t="str">
        <x:v>同桥同double_count_key必须唯一。</x:v>
      </x:c>
    </x:row>
    <x:row r="47" ht="30" customHeight="1">
      <x:c r="A47" s="19" t="str">
        <x:v>BR-YU7-STD-LR</x:v>
      </x:c>
      <x:c r="B47" s="19" t="str">
        <x:v>RANGE_FAIL</x:v>
      </x:c>
      <x:c r="C47" s="19" t="str">
        <x:v>成本区间</x:v>
      </x:c>
      <x:c r="D47" s="57" t="n">
        <x:v>0</x:v>
      </x:c>
      <x:c r="E47" s="60" t="n">
        <x:f>COUNTIFS('02_桥接拆项'!$A$7:$A$43,A47,'02_桥接拆项'!$U$7:$U$43,"FAIL")</x:f>
        <x:v>0</x:v>
      </x:c>
      <x:c r="F47" s="62" t="n">
        <x:f>E47-D47</x:f>
        <x:v>0</x:v>
      </x:c>
      <x:c r="G47" s="19" t="str">
        <x:f>IF(ABS(F47)&lt;0.001,"PASS","FAIL")</x:f>
        <x:v>PASS</x:v>
      </x:c>
      <x:c r="H47" s="19" t="str">
        <x:v>R01</x:v>
      </x:c>
      <x:c r="I47" s="19" t="str">
        <x:v>低≤中≤高。</x:v>
      </x:c>
    </x:row>
    <x:row r="48" ht="30" customHeight="1">
      <x:c r="A48" s="50" t="str">
        <x:v>BR-YU7-STD-LR</x:v>
      </x:c>
      <x:c r="B48" s="50" t="str">
        <x:v>EVIDENCE_GATE_FAIL</x:v>
      </x:c>
      <x:c r="C48" s="50" t="str">
        <x:v>证据门槛</x:v>
      </x:c>
      <x:c r="D48" s="57" t="n">
        <x:v>0</x:v>
      </x:c>
      <x:c r="E48" s="61" t="n">
        <x:f>COUNTIF('02_桥接拆项'!$A$7:$A$43,A48)-COUNTIFS('02_桥接拆项'!$A$7:$A$43,A48,'02_桥接拆项'!$N$7:$N$43,"eligible_base")-COUNTIFS('02_桥接拆项'!$A$7:$A$43,A48,'02_桥接拆项'!$N$7:$N$43,"eligible_base_yu7_only")</x:f>
        <x:v>0</x:v>
      </x:c>
      <x:c r="F48" s="63" t="n">
        <x:f>E48-D48</x:f>
        <x:v>0</x:v>
      </x:c>
      <x:c r="G48" s="50" t="str">
        <x:f>IF(ABS(F48)&lt;0.001,"PASS","FAIL")</x:f>
        <x:v>PASS</x:v>
      </x:c>
      <x:c r="H48" s="50" t="str">
        <x:v>R02</x:v>
      </x:c>
      <x:c r="I48" s="50" t="str">
        <x:v>只允许base及所属车系的限定字段。</x:v>
      </x:c>
    </x:row>
    <x:row r="49" ht="30" customHeight="1">
      <x:c r="A49" s="19" t="str">
        <x:v>BR-YU7-STD-LR</x:v>
      </x:c>
      <x:c r="B49" s="19" t="str">
        <x:v>ABS_REFERENCE_ROWS</x:v>
      </x:c>
      <x:c r="C49" s="19" t="str">
        <x:v>绝对参考排除</x:v>
      </x:c>
      <x:c r="D49" s="57" t="n">
        <x:v>0</x:v>
      </x:c>
      <x:c r="E49" s="60" t="n">
        <x:f>COUNTIFS('02_桥接拆项'!$A$7:$A$43,A49,'02_桥接拆项'!$E$7:$E$43,"ABS_*")</x:f>
        <x:v>0</x:v>
      </x:c>
      <x:c r="F49" s="62" t="n">
        <x:f>E49-D49</x:f>
        <x:v>0</x:v>
      </x:c>
      <x:c r="G49" s="19" t="str">
        <x:f>IF(ABS(F49)&lt;0.001,"PASS","FAIL")</x:f>
        <x:v>PASS</x:v>
      </x:c>
      <x:c r="H49" s="19" t="str">
        <x:v>R03</x:v>
      </x:c>
      <x:c r="I49" s="19" t="str">
        <x:v>ABS_*不得进入桥接。</x:v>
      </x:c>
    </x:row>
    <x:row r="50" ht="30" customHeight="1">
      <x:c r="A50" s="50" t="str">
        <x:v>BR-YU7-STD-LR</x:v>
      </x:c>
      <x:c r="B50" s="50" t="str">
        <x:v>BLOCKED_ROWS</x:v>
      </x:c>
      <x:c r="C50" s="50" t="str">
        <x:v>blocked排除</x:v>
      </x:c>
      <x:c r="D50" s="57" t="n">
        <x:v>0</x:v>
      </x:c>
      <x:c r="E50" s="61" t="n">
        <x:f>COUNTIFS('02_桥接拆项'!$A$7:$A$43,A50,'02_桥接拆项'!$E$7:$E$43,"BLOCK_*")</x:f>
        <x:v>0</x:v>
      </x:c>
      <x:c r="F50" s="63" t="n">
        <x:f>E50-D50</x:f>
        <x:v>0</x:v>
      </x:c>
      <x:c r="G50" s="50" t="str">
        <x:f>IF(ABS(F50)&lt;0.001,"PASS","FAIL")</x:f>
        <x:v>PASS</x:v>
      </x:c>
      <x:c r="H50" s="50" t="str">
        <x:v>R04</x:v>
      </x:c>
      <x:c r="I50" s="50" t="str">
        <x:v>blocked只留敏感性。</x:v>
      </x:c>
    </x:row>
    <x:row r="51" ht="30" customHeight="1">
      <x:c r="A51" s="19" t="str">
        <x:v>BR-YU7-STD-LR</x:v>
      </x:c>
      <x:c r="B51" s="19" t="str">
        <x:v>BATTERY_CORE_ROWS</x:v>
      </x:c>
      <x:c r="C51" s="19" t="str">
        <x:v>电池整包</x:v>
      </x:c>
      <x:c r="D51" s="57" t="n">
        <x:v>1</x:v>
      </x:c>
      <x:c r="E51" s="60" t="n">
        <x:f>COUNTIFS('02_桥接拆项'!$A$7:$A$43,A51,'02_桥接拆项'!$F$7:$F$43,"M01_BATTERY")</x:f>
        <x:v>1</x:v>
      </x:c>
      <x:c r="F51" s="62" t="n">
        <x:f>E51-D51</x:f>
        <x:v>0</x:v>
      </x:c>
      <x:c r="G51" s="19" t="str">
        <x:f>IF(ABS(F51)&lt;0.001,"PASS","FAIL")</x:f>
        <x:v>PASS</x:v>
      </x:c>
      <x:c r="H51" s="19" t="str">
        <x:v>R05</x:v>
      </x:c>
      <x:c r="I51" s="19" t="str">
        <x:v>整包口径按桥接最多一行。</x:v>
      </x:c>
    </x:row>
    <x:row r="52" ht="30" customHeight="1">
      <x:c r="A52" s="50" t="str">
        <x:v>BR-YU7-STD-LR</x:v>
      </x:c>
      <x:c r="B52" s="50" t="str">
        <x:v>EDRIVE_CORE_ROWS</x:v>
      </x:c>
      <x:c r="C52" s="50" t="str">
        <x:v>电驱总成</x:v>
      </x:c>
      <x:c r="D52" s="57" t="n">
        <x:v>0</x:v>
      </x:c>
      <x:c r="E52" s="61" t="n">
        <x:f>COUNTIFS('02_桥接拆项'!$A$7:$A$43,A52,'02_桥接拆项'!$F$7:$F$43,"M02_EDRIVE")</x:f>
        <x:v>0</x:v>
      </x:c>
      <x:c r="F52" s="63" t="n">
        <x:f>E52-D52</x:f>
        <x:v>0</x:v>
      </x:c>
      <x:c r="G52" s="50" t="str">
        <x:f>IF(ABS(F52)&lt;0.001,"PASS","FAIL")</x:f>
        <x:v>PASS</x:v>
      </x:c>
      <x:c r="H52" s="50" t="str">
        <x:v>R06</x:v>
      </x:c>
      <x:c r="I52" s="50" t="str">
        <x:v>总成级差按桥接最多一行。</x:v>
      </x:c>
    </x:row>
    <x:row r="53" ht="30" customHeight="1">
      <x:c r="A53" s="19" t="str">
        <x:v>BR-YU7-STD-LR</x:v>
      </x:c>
      <x:c r="B53" s="19" t="str">
        <x:v>HV_CORE_ROWS</x:v>
      </x:c>
      <x:c r="C53" s="19" t="str">
        <x:v>包外高压</x:v>
      </x:c>
      <x:c r="D53" s="57" t="n">
        <x:v>0</x:v>
      </x:c>
      <x:c r="E53" s="60" t="n">
        <x:f>COUNTIFS('02_桥接拆项'!$A$7:$A$43,A53,'02_桥接拆项'!$F$7:$F$43,"M03_HIGH_VOLTAGE")</x:f>
        <x:v>0</x:v>
      </x:c>
      <x:c r="F53" s="62" t="n">
        <x:f>E53-D53</x:f>
        <x:v>0</x:v>
      </x:c>
      <x:c r="G53" s="19" t="str">
        <x:f>IF(ABS(F53)&lt;0.001,"PASS","FAIL")</x:f>
        <x:v>PASS</x:v>
      </x:c>
      <x:c r="H53" s="19" t="str">
        <x:v>R07</x:v>
      </x:c>
      <x:c r="I53" s="19" t="str">
        <x:v>仅897V相对752V的包外链路。</x:v>
      </x:c>
    </x:row>
    <x:row r="54" ht="30" customHeight="1">
      <x:c r="A54" s="50" t="str">
        <x:v>BR-YU7-STD-LR</x:v>
      </x:c>
      <x:c r="B54" s="50" t="str">
        <x:v>AIR_HARDWARE_ROWS</x:v>
      </x:c>
      <x:c r="C54" s="50" t="str">
        <x:v>空悬硬件</x:v>
      </x:c>
      <x:c r="D54" s="57" t="n">
        <x:v>0</x:v>
      </x:c>
      <x:c r="E54" s="61" t="n">
        <x:f>COUNTIFS('02_桥接拆项'!$A$7:$A$43,A54,'02_桥接拆项'!$E$7:$E$43,"INC_AIR_EXCL_CDC")</x:f>
        <x:v>0</x:v>
      </x:c>
      <x:c r="F54" s="63" t="n">
        <x:f>E54-D54</x:f>
        <x:v>0</x:v>
      </x:c>
      <x:c r="G54" s="50" t="str">
        <x:f>IF(ABS(F54)&lt;0.001,"PASS","FAIL")</x:f>
        <x:v>PASS</x:v>
      </x:c>
      <x:c r="H54" s="50" t="str">
        <x:v>R08</x:v>
      </x:c>
      <x:c r="I54" s="50" t="str">
        <x:v>空悬硬件明确不含CDC。</x:v>
      </x:c>
    </x:row>
    <x:row r="55" ht="30" customHeight="1">
      <x:c r="A55" s="19" t="str">
        <x:v>BR-YU7-STD-LR</x:v>
      </x:c>
      <x:c r="B55" s="19" t="str">
        <x:v>CDC_ROWS</x:v>
      </x:c>
      <x:c r="C55" s="19" t="str">
        <x:v>CDC</x:v>
      </x:c>
      <x:c r="D55" s="57" t="n">
        <x:v>1</x:v>
      </x:c>
      <x:c r="E55" s="60" t="n">
        <x:f>COUNTIFS('02_桥接拆项'!$A$7:$A$43,A55,'02_桥接拆项'!$E$7:$E$43,"INC_CDC")</x:f>
        <x:v>1</x:v>
      </x:c>
      <x:c r="F55" s="62" t="n">
        <x:f>E55-D55</x:f>
        <x:v>0</x:v>
      </x:c>
      <x:c r="G55" s="19" t="str">
        <x:f>IF(ABS(F55)&lt;0.001,"PASS","FAIL")</x:f>
        <x:v>PASS</x:v>
      </x:c>
      <x:c r="H55" s="19" t="str">
        <x:v>R08</x:v>
      </x:c>
      <x:c r="I55" s="19" t="str">
        <x:v>仅从无到有时计。</x:v>
      </x:c>
    </x:row>
    <x:row r="56" ht="30" customHeight="1">
      <x:c r="A56" s="50" t="str">
        <x:v>BR-YU7-STD-LR</x:v>
      </x:c>
      <x:c r="B56" s="50" t="str">
        <x:v>COMPLETE_AIR_BUNDLE_ROWS</x:v>
      </x:c>
      <x:c r="C56" s="50" t="str">
        <x:v>完整空悬包排除</x:v>
      </x:c>
      <x:c r="D56" s="57" t="n">
        <x:v>0</x:v>
      </x:c>
      <x:c r="E56" s="61" t="n">
        <x:f>COUNTIFS('02_桥接拆项'!$A$7:$A$43,A56,'02_桥接拆项'!$E$7:$E$43,"ABS_AIR_COMPLETE")</x:f>
        <x:v>0</x:v>
      </x:c>
      <x:c r="F56" s="63" t="n">
        <x:f>E56-D56</x:f>
        <x:v>0</x:v>
      </x:c>
      <x:c r="G56" s="50" t="str">
        <x:f>IF(ABS(F56)&lt;0.001,"PASS","FAIL")</x:f>
        <x:v>PASS</x:v>
      </x:c>
      <x:c r="H56" s="50" t="str">
        <x:v>R09</x:v>
      </x:c>
      <x:c r="I56" s="50" t="str">
        <x:v>完整包只能作参考。</x:v>
      </x:c>
    </x:row>
    <x:row r="57" ht="30" customHeight="1">
      <x:c r="A57" s="19" t="str">
        <x:v>BR-YU7-STD-LR</x:v>
      </x:c>
      <x:c r="B57" s="19" t="str">
        <x:v>BRAKE_PAD_ROWS</x:v>
      </x:c>
      <x:c r="C57" s="19" t="str">
        <x:v>刹车片排除</x:v>
      </x:c>
      <x:c r="D57" s="57" t="n">
        <x:v>0</x:v>
      </x:c>
      <x:c r="E57" s="60" t="n">
        <x:f>COUNTIFS('02_桥接拆项'!$A$7:$A$43,A57,'02_桥接拆项'!$E$7:$E$43,"BLOCK_FRONT_PAD")+COUNTIFS('02_桥接拆项'!$A$7:$A$43,A57,'02_桥接拆项'!$E$7:$E$43,"BLOCK_REAR_PAD")</x:f>
        <x:v>0</x:v>
      </x:c>
      <x:c r="F57" s="62" t="n">
        <x:f>E57-D57</x:f>
        <x:v>0</x:v>
      </x:c>
      <x:c r="G57" s="19" t="str">
        <x:f>IF(ABS(F57)&lt;0.001,"PASS","FAIL")</x:f>
        <x:v>PASS</x:v>
      </x:c>
      <x:c r="H57" s="19" t="str">
        <x:v>R10</x:v>
      </x:c>
      <x:c r="I57" s="19" t="str">
        <x:v>普通版片型未披露。</x:v>
      </x:c>
    </x:row>
    <x:row r="58" ht="30" customHeight="1">
      <x:c r="A58" s="50" t="str">
        <x:v>BR-YU7-STD-LR</x:v>
      </x:c>
      <x:c r="B58" s="50" t="str">
        <x:v>AUDIO_PACKAGE_ROWS</x:v>
      </x:c>
      <x:c r="C58" s="50" t="str">
        <x:v>音响系统包</x:v>
      </x:c>
      <x:c r="D58" s="57" t="n">
        <x:v>0</x:v>
      </x:c>
      <x:c r="E58" s="61" t="n">
        <x:f>COUNTIFS('02_桥接拆项'!$A$7:$A$43,A58,'02_桥接拆项'!$E$7:$E$43,"INC_AUDIO_14_25")</x:f>
        <x:v>0</x:v>
      </x:c>
      <x:c r="F58" s="63" t="n">
        <x:f>E58-D58</x:f>
        <x:v>0</x:v>
      </x:c>
      <x:c r="G58" s="50" t="str">
        <x:f>IF(ABS(F58)&lt;0.001,"PASS","FAIL")</x:f>
        <x:v>PASS</x:v>
      </x:c>
      <x:c r="H58" s="50" t="str">
        <x:v>R11</x:v>
      </x:c>
      <x:c r="I58" s="50" t="str">
        <x:v>系统包一次计价。</x:v>
      </x:c>
    </x:row>
    <x:row r="59" ht="30" customHeight="1">
      <x:c r="A59" s="19" t="str">
        <x:v>BR-YU7-STD-LR</x:v>
      </x:c>
      <x:c r="B59" s="19" t="str">
        <x:v>ADAS_ROWS</x:v>
      </x:c>
      <x:c r="C59" s="19" t="str">
        <x:v>共同ADAS排除</x:v>
      </x:c>
      <x:c r="D59" s="57" t="n">
        <x:v>0</x:v>
      </x:c>
      <x:c r="E59" s="60" t="n">
        <x:f>COUNTIFS('02_桥接拆项'!$A$7:$A$43,A59,'02_桥接拆项'!$F$7:$F$43,"M05_ADAS")</x:f>
        <x:v>0</x:v>
      </x:c>
      <x:c r="F59" s="62" t="n">
        <x:f>E59-D59</x:f>
        <x:v>0</x:v>
      </x:c>
      <x:c r="G59" s="19" t="str">
        <x:f>IF(ABS(F59)&lt;0.001,"PASS","FAIL")</x:f>
        <x:v>PASS</x:v>
      </x:c>
      <x:c r="H59" s="19" t="str">
        <x:v>R12</x:v>
      </x:c>
      <x:c r="I59" s="19" t="str">
        <x:v>共同硬件只保留绝对参考。</x:v>
      </x:c>
    </x:row>
    <x:row r="60" ht="30" customHeight="1">
      <x:c r="A60" s="50" t="str">
        <x:v>BR-YU7-STD-LR</x:v>
      </x:c>
      <x:c r="B60" s="50" t="str">
        <x:v>RESULT_METRIC_ROWS</x:v>
      </x:c>
      <x:c r="C60" s="50" t="str">
        <x:v>结果指标排除</x:v>
      </x:c>
      <x:c r="D60" s="57" t="n">
        <x:v>0</x:v>
      </x:c>
      <x:c r="E60" s="61" t="n">
        <x:f>COUNTIFS('02_桥接拆项'!$A$7:$A$43,A60,'02_桥接拆项'!$E$7:$E$43,"RESULT_*")</x:f>
        <x:v>0</x:v>
      </x:c>
      <x:c r="F60" s="63" t="n">
        <x:f>E60-D60</x:f>
        <x:v>0</x:v>
      </x:c>
      <x:c r="G60" s="50" t="str">
        <x:f>IF(ABS(F60)&lt;0.001,"PASS","FAIL")</x:f>
        <x:v>PASS</x:v>
      </x:c>
      <x:c r="H60" s="50" t="str">
        <x:v>R13</x:v>
      </x:c>
      <x:c r="I60" s="50" t="str">
        <x:v>续航/性能/营销类别不得成为成本行。</x:v>
      </x:c>
    </x:row>
    <x:row r="61" ht="30" customHeight="1">
      <x:c r="A61" s="19" t="str">
        <x:v>BR-YU7-STD-LR</x:v>
      </x:c>
      <x:c r="B61" s="19" t="str">
        <x:v>MFG_OVERLAY_ROWS</x:v>
      </x:c>
      <x:c r="C61" s="19" t="str">
        <x:v>制造覆盖项</x:v>
      </x:c>
      <x:c r="D61" s="57" t="n">
        <x:v>1</x:v>
      </x:c>
      <x:c r="E61" s="60" t="n">
        <x:f>COUNTIFS('03_模块汇总'!$A$7:$A$56,A61,'03_模块汇总'!$C$7:$C$56,"M09_MANUFACTURING",'03_模块汇总'!$H$7:$H$56,"OVERLAY_ASSUMPTION")</x:f>
        <x:v>1</x:v>
      </x:c>
      <x:c r="F61" s="62" t="n">
        <x:f>E61-D61</x:f>
        <x:v>0</x:v>
      </x:c>
      <x:c r="G61" s="19" t="str">
        <x:f>IF(ABS(F61)&lt;0.001,"PASS","FAIL")</x:f>
        <x:v>PASS</x:v>
      </x:c>
      <x:c r="H61" s="19" t="str">
        <x:v>R14</x:v>
      </x:c>
      <x:c r="I61" s="19" t="str">
        <x:v>每桥且仅一次。</x:v>
      </x:c>
    </x:row>
    <x:row r="62" ht="30" customHeight="1">
      <x:c r="A62" s="50" t="str">
        <x:v>BR-YU7-STD-LR</x:v>
      </x:c>
      <x:c r="B62" s="50" t="str">
        <x:v>WARRANTY_OVERLAY_ROWS</x:v>
      </x:c>
      <x:c r="C62" s="50" t="str">
        <x:v>质保覆盖项</x:v>
      </x:c>
      <x:c r="D62" s="57" t="n">
        <x:v>1</x:v>
      </x:c>
      <x:c r="E62" s="61" t="n">
        <x:f>COUNTIFS('03_模块汇总'!$A$7:$A$56,A62,'03_模块汇总'!$C$7:$C$56,"M10_WARRANTY",'03_模块汇总'!$H$7:$H$56,"OVERLAY_ASSUMPTION")</x:f>
        <x:v>1</x:v>
      </x:c>
      <x:c r="F62" s="63" t="n">
        <x:f>E62-D62</x:f>
        <x:v>0</x:v>
      </x:c>
      <x:c r="G62" s="50" t="str">
        <x:f>IF(ABS(F62)&lt;0.001,"PASS","FAIL")</x:f>
        <x:v>PASS</x:v>
      </x:c>
      <x:c r="H62" s="50" t="str">
        <x:v>R15</x:v>
      </x:c>
      <x:c r="I62" s="50" t="str">
        <x:v>每桥且仅一次。</x:v>
      </x:c>
    </x:row>
    <x:row r="63" ht="30" customHeight="1">
      <x:c r="A63" s="19" t="str">
        <x:v>BR-YU7-STD-LR</x:v>
      </x:c>
      <x:c r="B63" s="19" t="str">
        <x:v>RETAIL_RESIDUAL_COST_ROWS</x:v>
      </x:c>
      <x:c r="C63" s="19" t="str">
        <x:v>价差残余排除</x:v>
      </x:c>
      <x:c r="D63" s="57" t="n">
        <x:v>0</x:v>
      </x:c>
      <x:c r="E63" s="60" t="n">
        <x:f>COUNTIFS('02_桥接拆项'!$A$7:$A$43,A63,'02_桥接拆项'!$E$7:$E$43,"*RESIDUAL*")+COUNTIFS('02_桥接拆项'!$A$7:$A$43,A63,'02_桥接拆项'!$E$7:$E$43,"*PRICE_GAP*")</x:f>
        <x:v>0</x:v>
      </x:c>
      <x:c r="F63" s="62" t="n">
        <x:f>E63-D63</x:f>
        <x:v>0</x:v>
      </x:c>
      <x:c r="G63" s="19" t="str">
        <x:f>IF(ABS(F63)&lt;0.001,"PASS","FAIL")</x:f>
        <x:v>PASS</x:v>
      </x:c>
      <x:c r="H63" s="19" t="str">
        <x:v>R16</x:v>
      </x:c>
      <x:c r="I63" s="19" t="str">
        <x:v>残余不反填硬件。</x:v>
      </x:c>
    </x:row>
    <x:row r="64" ht="30" customHeight="1">
      <x:c r="A64" s="50" t="str">
        <x:v>BR-YU7-LR-PRO</x:v>
      </x:c>
      <x:c r="B64" s="50" t="str">
        <x:v>TOTAL_DETAIL_ROWS</x:v>
      </x:c>
      <x:c r="C64" s="50" t="str">
        <x:v>原子行完整性</x:v>
      </x:c>
      <x:c r="D64" s="57" t="n">
        <x:v>2</x:v>
      </x:c>
      <x:c r="E64" s="61" t="n">
        <x:f>COUNTIF('02_桥接拆项'!$A$7:$A$43,A64)</x:f>
        <x:v>2</x:v>
      </x:c>
      <x:c r="F64" s="63" t="n">
        <x:f>E64-D64</x:f>
        <x:v>0</x:v>
      </x:c>
      <x:c r="G64" s="50" t="str">
        <x:f>IF(ABS(F64)&lt;0.001,"PASS","FAIL")</x:f>
        <x:v>PASS</x:v>
      </x:c>
      <x:c r="H64" s="50" t="str">
        <x:v>R01</x:v>
      </x:c>
      <x:c r="I64" s="50" t="str">
        <x:v>与已确认的桥接签名行数一致。</x:v>
      </x:c>
    </x:row>
    <x:row r="65" ht="30" customHeight="1">
      <x:c r="A65" s="19" t="str">
        <x:v>BR-YU7-LR-PRO</x:v>
      </x:c>
      <x:c r="B65" s="19" t="str">
        <x:v>DEDUP_FAIL</x:v>
      </x:c>
      <x:c r="C65" s="19" t="str">
        <x:v>重复键</x:v>
      </x:c>
      <x:c r="D65" s="57" t="n">
        <x:v>0</x:v>
      </x:c>
      <x:c r="E65" s="60" t="n">
        <x:f>COUNTIFS('02_桥接拆项'!$A$7:$A$43,A65,'02_桥接拆项'!$T$7:$T$43,"FAIL")</x:f>
        <x:v>0</x:v>
      </x:c>
      <x:c r="F65" s="62" t="n">
        <x:f>E65-D65</x:f>
        <x:v>0</x:v>
      </x:c>
      <x:c r="G65" s="19" t="str">
        <x:f>IF(ABS(F65)&lt;0.001,"PASS","FAIL")</x:f>
        <x:v>PASS</x:v>
      </x:c>
      <x:c r="H65" s="19" t="str">
        <x:v>R01</x:v>
      </x:c>
      <x:c r="I65" s="19" t="str">
        <x:v>同桥同double_count_key必须唯一。</x:v>
      </x:c>
    </x:row>
    <x:row r="66" ht="30" customHeight="1">
      <x:c r="A66" s="50" t="str">
        <x:v>BR-YU7-LR-PRO</x:v>
      </x:c>
      <x:c r="B66" s="50" t="str">
        <x:v>RANGE_FAIL</x:v>
      </x:c>
      <x:c r="C66" s="50" t="str">
        <x:v>成本区间</x:v>
      </x:c>
      <x:c r="D66" s="57" t="n">
        <x:v>0</x:v>
      </x:c>
      <x:c r="E66" s="61" t="n">
        <x:f>COUNTIFS('02_桥接拆项'!$A$7:$A$43,A66,'02_桥接拆项'!$U$7:$U$43,"FAIL")</x:f>
        <x:v>0</x:v>
      </x:c>
      <x:c r="F66" s="63" t="n">
        <x:f>E66-D66</x:f>
        <x:v>0</x:v>
      </x:c>
      <x:c r="G66" s="50" t="str">
        <x:f>IF(ABS(F66)&lt;0.001,"PASS","FAIL")</x:f>
        <x:v>PASS</x:v>
      </x:c>
      <x:c r="H66" s="50" t="str">
        <x:v>R01</x:v>
      </x:c>
      <x:c r="I66" s="50" t="str">
        <x:v>低≤中≤高。</x:v>
      </x:c>
    </x:row>
    <x:row r="67" ht="30" customHeight="1">
      <x:c r="A67" s="19" t="str">
        <x:v>BR-YU7-LR-PRO</x:v>
      </x:c>
      <x:c r="B67" s="19" t="str">
        <x:v>EVIDENCE_GATE_FAIL</x:v>
      </x:c>
      <x:c r="C67" s="19" t="str">
        <x:v>证据门槛</x:v>
      </x:c>
      <x:c r="D67" s="57" t="n">
        <x:v>0</x:v>
      </x:c>
      <x:c r="E67" s="60" t="n">
        <x:f>COUNTIF('02_桥接拆项'!$A$7:$A$43,A67)-COUNTIFS('02_桥接拆项'!$A$7:$A$43,A67,'02_桥接拆项'!$N$7:$N$43,"eligible_base")-COUNTIFS('02_桥接拆项'!$A$7:$A$43,A67,'02_桥接拆项'!$N$7:$N$43,"eligible_base_yu7_only")</x:f>
        <x:v>0</x:v>
      </x:c>
      <x:c r="F67" s="62" t="n">
        <x:f>E67-D67</x:f>
        <x:v>0</x:v>
      </x:c>
      <x:c r="G67" s="19" t="str">
        <x:f>IF(ABS(F67)&lt;0.001,"PASS","FAIL")</x:f>
        <x:v>PASS</x:v>
      </x:c>
      <x:c r="H67" s="19" t="str">
        <x:v>R02</x:v>
      </x:c>
      <x:c r="I67" s="19" t="str">
        <x:v>只允许base及所属车系的限定字段。</x:v>
      </x:c>
    </x:row>
    <x:row r="68" ht="30" customHeight="1">
      <x:c r="A68" s="50" t="str">
        <x:v>BR-YU7-LR-PRO</x:v>
      </x:c>
      <x:c r="B68" s="50" t="str">
        <x:v>ABS_REFERENCE_ROWS</x:v>
      </x:c>
      <x:c r="C68" s="50" t="str">
        <x:v>绝对参考排除</x:v>
      </x:c>
      <x:c r="D68" s="57" t="n">
        <x:v>0</x:v>
      </x:c>
      <x:c r="E68" s="61" t="n">
        <x:f>COUNTIFS('02_桥接拆项'!$A$7:$A$43,A68,'02_桥接拆项'!$E$7:$E$43,"ABS_*")</x:f>
        <x:v>0</x:v>
      </x:c>
      <x:c r="F68" s="63" t="n">
        <x:f>E68-D68</x:f>
        <x:v>0</x:v>
      </x:c>
      <x:c r="G68" s="50" t="str">
        <x:f>IF(ABS(F68)&lt;0.001,"PASS","FAIL")</x:f>
        <x:v>PASS</x:v>
      </x:c>
      <x:c r="H68" s="50" t="str">
        <x:v>R03</x:v>
      </x:c>
      <x:c r="I68" s="50" t="str">
        <x:v>ABS_*不得进入桥接。</x:v>
      </x:c>
    </x:row>
    <x:row r="69" ht="30" customHeight="1">
      <x:c r="A69" s="19" t="str">
        <x:v>BR-YU7-LR-PRO</x:v>
      </x:c>
      <x:c r="B69" s="19" t="str">
        <x:v>BLOCKED_ROWS</x:v>
      </x:c>
      <x:c r="C69" s="19" t="str">
        <x:v>blocked排除</x:v>
      </x:c>
      <x:c r="D69" s="57" t="n">
        <x:v>0</x:v>
      </x:c>
      <x:c r="E69" s="60" t="n">
        <x:f>COUNTIFS('02_桥接拆项'!$A$7:$A$43,A69,'02_桥接拆项'!$E$7:$E$43,"BLOCK_*")</x:f>
        <x:v>0</x:v>
      </x:c>
      <x:c r="F69" s="62" t="n">
        <x:f>E69-D69</x:f>
        <x:v>0</x:v>
      </x:c>
      <x:c r="G69" s="19" t="str">
        <x:f>IF(ABS(F69)&lt;0.001,"PASS","FAIL")</x:f>
        <x:v>PASS</x:v>
      </x:c>
      <x:c r="H69" s="19" t="str">
        <x:v>R04</x:v>
      </x:c>
      <x:c r="I69" s="19" t="str">
        <x:v>blocked只留敏感性。</x:v>
      </x:c>
    </x:row>
    <x:row r="70" ht="30" customHeight="1">
      <x:c r="A70" s="50" t="str">
        <x:v>BR-YU7-LR-PRO</x:v>
      </x:c>
      <x:c r="B70" s="50" t="str">
        <x:v>BATTERY_CORE_ROWS</x:v>
      </x:c>
      <x:c r="C70" s="50" t="str">
        <x:v>电池整包</x:v>
      </x:c>
      <x:c r="D70" s="57" t="n">
        <x:v>0</x:v>
      </x:c>
      <x:c r="E70" s="61" t="n">
        <x:f>COUNTIFS('02_桥接拆项'!$A$7:$A$43,A70,'02_桥接拆项'!$F$7:$F$43,"M01_BATTERY")</x:f>
        <x:v>0</x:v>
      </x:c>
      <x:c r="F70" s="63" t="n">
        <x:f>E70-D70</x:f>
        <x:v>0</x:v>
      </x:c>
      <x:c r="G70" s="50" t="str">
        <x:f>IF(ABS(F70)&lt;0.001,"PASS","FAIL")</x:f>
        <x:v>PASS</x:v>
      </x:c>
      <x:c r="H70" s="50" t="str">
        <x:v>R05</x:v>
      </x:c>
      <x:c r="I70" s="50" t="str">
        <x:v>整包口径按桥接最多一行。</x:v>
      </x:c>
    </x:row>
    <x:row r="71" ht="30" customHeight="1">
      <x:c r="A71" s="19" t="str">
        <x:v>BR-YU7-LR-PRO</x:v>
      </x:c>
      <x:c r="B71" s="19" t="str">
        <x:v>EDRIVE_CORE_ROWS</x:v>
      </x:c>
      <x:c r="C71" s="19" t="str">
        <x:v>电驱总成</x:v>
      </x:c>
      <x:c r="D71" s="57" t="n">
        <x:v>1</x:v>
      </x:c>
      <x:c r="E71" s="60" t="n">
        <x:f>COUNTIFS('02_桥接拆项'!$A$7:$A$43,A71,'02_桥接拆项'!$F$7:$F$43,"M02_EDRIVE")</x:f>
        <x:v>1</x:v>
      </x:c>
      <x:c r="F71" s="62" t="n">
        <x:f>E71-D71</x:f>
        <x:v>0</x:v>
      </x:c>
      <x:c r="G71" s="19" t="str">
        <x:f>IF(ABS(F71)&lt;0.001,"PASS","FAIL")</x:f>
        <x:v>PASS</x:v>
      </x:c>
      <x:c r="H71" s="19" t="str">
        <x:v>R06</x:v>
      </x:c>
      <x:c r="I71" s="19" t="str">
        <x:v>总成级差按桥接最多一行。</x:v>
      </x:c>
    </x:row>
    <x:row r="72" ht="30" customHeight="1">
      <x:c r="A72" s="50" t="str">
        <x:v>BR-YU7-LR-PRO</x:v>
      </x:c>
      <x:c r="B72" s="50" t="str">
        <x:v>HV_CORE_ROWS</x:v>
      </x:c>
      <x:c r="C72" s="50" t="str">
        <x:v>包外高压</x:v>
      </x:c>
      <x:c r="D72" s="57" t="n">
        <x:v>0</x:v>
      </x:c>
      <x:c r="E72" s="61" t="n">
        <x:f>COUNTIFS('02_桥接拆项'!$A$7:$A$43,A72,'02_桥接拆项'!$F$7:$F$43,"M03_HIGH_VOLTAGE")</x:f>
        <x:v>0</x:v>
      </x:c>
      <x:c r="F72" s="63" t="n">
        <x:f>E72-D72</x:f>
        <x:v>0</x:v>
      </x:c>
      <x:c r="G72" s="50" t="str">
        <x:f>IF(ABS(F72)&lt;0.001,"PASS","FAIL")</x:f>
        <x:v>PASS</x:v>
      </x:c>
      <x:c r="H72" s="50" t="str">
        <x:v>R07</x:v>
      </x:c>
      <x:c r="I72" s="50" t="str">
        <x:v>仅897V相对752V的包外链路。</x:v>
      </x:c>
    </x:row>
    <x:row r="73" ht="30" customHeight="1">
      <x:c r="A73" s="19" t="str">
        <x:v>BR-YU7-LR-PRO</x:v>
      </x:c>
      <x:c r="B73" s="19" t="str">
        <x:v>AIR_HARDWARE_ROWS</x:v>
      </x:c>
      <x:c r="C73" s="19" t="str">
        <x:v>空悬硬件</x:v>
      </x:c>
      <x:c r="D73" s="57" t="n">
        <x:v>1</x:v>
      </x:c>
      <x:c r="E73" s="60" t="n">
        <x:f>COUNTIFS('02_桥接拆项'!$A$7:$A$43,A73,'02_桥接拆项'!$E$7:$E$43,"INC_AIR_EXCL_CDC")</x:f>
        <x:v>1</x:v>
      </x:c>
      <x:c r="F73" s="62" t="n">
        <x:f>E73-D73</x:f>
        <x:v>0</x:v>
      </x:c>
      <x:c r="G73" s="19" t="str">
        <x:f>IF(ABS(F73)&lt;0.001,"PASS","FAIL")</x:f>
        <x:v>PASS</x:v>
      </x:c>
      <x:c r="H73" s="19" t="str">
        <x:v>R08</x:v>
      </x:c>
      <x:c r="I73" s="19" t="str">
        <x:v>空悬硬件明确不含CDC。</x:v>
      </x:c>
    </x:row>
    <x:row r="74" ht="30" customHeight="1">
      <x:c r="A74" s="50" t="str">
        <x:v>BR-YU7-LR-PRO</x:v>
      </x:c>
      <x:c r="B74" s="50" t="str">
        <x:v>CDC_ROWS</x:v>
      </x:c>
      <x:c r="C74" s="50" t="str">
        <x:v>CDC</x:v>
      </x:c>
      <x:c r="D74" s="57" t="n">
        <x:v>0</x:v>
      </x:c>
      <x:c r="E74" s="61" t="n">
        <x:f>COUNTIFS('02_桥接拆项'!$A$7:$A$43,A74,'02_桥接拆项'!$E$7:$E$43,"INC_CDC")</x:f>
        <x:v>0</x:v>
      </x:c>
      <x:c r="F74" s="63" t="n">
        <x:f>E74-D74</x:f>
        <x:v>0</x:v>
      </x:c>
      <x:c r="G74" s="50" t="str">
        <x:f>IF(ABS(F74)&lt;0.001,"PASS","FAIL")</x:f>
        <x:v>PASS</x:v>
      </x:c>
      <x:c r="H74" s="50" t="str">
        <x:v>R08</x:v>
      </x:c>
      <x:c r="I74" s="50" t="str">
        <x:v>仅从无到有时计。</x:v>
      </x:c>
    </x:row>
    <x:row r="75" ht="30" customHeight="1">
      <x:c r="A75" s="19" t="str">
        <x:v>BR-YU7-LR-PRO</x:v>
      </x:c>
      <x:c r="B75" s="19" t="str">
        <x:v>COMPLETE_AIR_BUNDLE_ROWS</x:v>
      </x:c>
      <x:c r="C75" s="19" t="str">
        <x:v>完整空悬包排除</x:v>
      </x:c>
      <x:c r="D75" s="57" t="n">
        <x:v>0</x:v>
      </x:c>
      <x:c r="E75" s="60" t="n">
        <x:f>COUNTIFS('02_桥接拆项'!$A$7:$A$43,A75,'02_桥接拆项'!$E$7:$E$43,"ABS_AIR_COMPLETE")</x:f>
        <x:v>0</x:v>
      </x:c>
      <x:c r="F75" s="62" t="n">
        <x:f>E75-D75</x:f>
        <x:v>0</x:v>
      </x:c>
      <x:c r="G75" s="19" t="str">
        <x:f>IF(ABS(F75)&lt;0.001,"PASS","FAIL")</x:f>
        <x:v>PASS</x:v>
      </x:c>
      <x:c r="H75" s="19" t="str">
        <x:v>R09</x:v>
      </x:c>
      <x:c r="I75" s="19" t="str">
        <x:v>完整包只能作参考。</x:v>
      </x:c>
    </x:row>
    <x:row r="76" ht="30" customHeight="1">
      <x:c r="A76" s="50" t="str">
        <x:v>BR-YU7-LR-PRO</x:v>
      </x:c>
      <x:c r="B76" s="50" t="str">
        <x:v>BRAKE_PAD_ROWS</x:v>
      </x:c>
      <x:c r="C76" s="50" t="str">
        <x:v>刹车片排除</x:v>
      </x:c>
      <x:c r="D76" s="57" t="n">
        <x:v>0</x:v>
      </x:c>
      <x:c r="E76" s="61" t="n">
        <x:f>COUNTIFS('02_桥接拆项'!$A$7:$A$43,A76,'02_桥接拆项'!$E$7:$E$43,"BLOCK_FRONT_PAD")+COUNTIFS('02_桥接拆项'!$A$7:$A$43,A76,'02_桥接拆项'!$E$7:$E$43,"BLOCK_REAR_PAD")</x:f>
        <x:v>0</x:v>
      </x:c>
      <x:c r="F76" s="63" t="n">
        <x:f>E76-D76</x:f>
        <x:v>0</x:v>
      </x:c>
      <x:c r="G76" s="50" t="str">
        <x:f>IF(ABS(F76)&lt;0.001,"PASS","FAIL")</x:f>
        <x:v>PASS</x:v>
      </x:c>
      <x:c r="H76" s="50" t="str">
        <x:v>R10</x:v>
      </x:c>
      <x:c r="I76" s="50" t="str">
        <x:v>普通版片型未披露。</x:v>
      </x:c>
    </x:row>
    <x:row r="77" ht="30" customHeight="1">
      <x:c r="A77" s="19" t="str">
        <x:v>BR-YU7-LR-PRO</x:v>
      </x:c>
      <x:c r="B77" s="19" t="str">
        <x:v>AUDIO_PACKAGE_ROWS</x:v>
      </x:c>
      <x:c r="C77" s="19" t="str">
        <x:v>音响系统包</x:v>
      </x:c>
      <x:c r="D77" s="57" t="n">
        <x:v>0</x:v>
      </x:c>
      <x:c r="E77" s="60" t="n">
        <x:f>COUNTIFS('02_桥接拆项'!$A$7:$A$43,A77,'02_桥接拆项'!$E$7:$E$43,"INC_AUDIO_14_25")</x:f>
        <x:v>0</x:v>
      </x:c>
      <x:c r="F77" s="62" t="n">
        <x:f>E77-D77</x:f>
        <x:v>0</x:v>
      </x:c>
      <x:c r="G77" s="19" t="str">
        <x:f>IF(ABS(F77)&lt;0.001,"PASS","FAIL")</x:f>
        <x:v>PASS</x:v>
      </x:c>
      <x:c r="H77" s="19" t="str">
        <x:v>R11</x:v>
      </x:c>
      <x:c r="I77" s="19" t="str">
        <x:v>系统包一次计价。</x:v>
      </x:c>
    </x:row>
    <x:row r="78" ht="30" customHeight="1">
      <x:c r="A78" s="50" t="str">
        <x:v>BR-YU7-LR-PRO</x:v>
      </x:c>
      <x:c r="B78" s="50" t="str">
        <x:v>ADAS_ROWS</x:v>
      </x:c>
      <x:c r="C78" s="50" t="str">
        <x:v>共同ADAS排除</x:v>
      </x:c>
      <x:c r="D78" s="57" t="n">
        <x:v>0</x:v>
      </x:c>
      <x:c r="E78" s="61" t="n">
        <x:f>COUNTIFS('02_桥接拆项'!$A$7:$A$43,A78,'02_桥接拆项'!$F$7:$F$43,"M05_ADAS")</x:f>
        <x:v>0</x:v>
      </x:c>
      <x:c r="F78" s="63" t="n">
        <x:f>E78-D78</x:f>
        <x:v>0</x:v>
      </x:c>
      <x:c r="G78" s="50" t="str">
        <x:f>IF(ABS(F78)&lt;0.001,"PASS","FAIL")</x:f>
        <x:v>PASS</x:v>
      </x:c>
      <x:c r="H78" s="50" t="str">
        <x:v>R12</x:v>
      </x:c>
      <x:c r="I78" s="50" t="str">
        <x:v>共同硬件只保留绝对参考。</x:v>
      </x:c>
    </x:row>
    <x:row r="79" ht="30" customHeight="1">
      <x:c r="A79" s="19" t="str">
        <x:v>BR-YU7-LR-PRO</x:v>
      </x:c>
      <x:c r="B79" s="19" t="str">
        <x:v>RESULT_METRIC_ROWS</x:v>
      </x:c>
      <x:c r="C79" s="19" t="str">
        <x:v>结果指标排除</x:v>
      </x:c>
      <x:c r="D79" s="57" t="n">
        <x:v>0</x:v>
      </x:c>
      <x:c r="E79" s="60" t="n">
        <x:f>COUNTIFS('02_桥接拆项'!$A$7:$A$43,A79,'02_桥接拆项'!$E$7:$E$43,"RESULT_*")</x:f>
        <x:v>0</x:v>
      </x:c>
      <x:c r="F79" s="62" t="n">
        <x:f>E79-D79</x:f>
        <x:v>0</x:v>
      </x:c>
      <x:c r="G79" s="19" t="str">
        <x:f>IF(ABS(F79)&lt;0.001,"PASS","FAIL")</x:f>
        <x:v>PASS</x:v>
      </x:c>
      <x:c r="H79" s="19" t="str">
        <x:v>R13</x:v>
      </x:c>
      <x:c r="I79" s="19" t="str">
        <x:v>续航/性能/营销类别不得成为成本行。</x:v>
      </x:c>
    </x:row>
    <x:row r="80" ht="30" customHeight="1">
      <x:c r="A80" s="50" t="str">
        <x:v>BR-YU7-LR-PRO</x:v>
      </x:c>
      <x:c r="B80" s="50" t="str">
        <x:v>MFG_OVERLAY_ROWS</x:v>
      </x:c>
      <x:c r="C80" s="50" t="str">
        <x:v>制造覆盖项</x:v>
      </x:c>
      <x:c r="D80" s="57" t="n">
        <x:v>1</x:v>
      </x:c>
      <x:c r="E80" s="61" t="n">
        <x:f>COUNTIFS('03_模块汇总'!$A$7:$A$56,A80,'03_模块汇总'!$C$7:$C$56,"M09_MANUFACTURING",'03_模块汇总'!$H$7:$H$56,"OVERLAY_ASSUMPTION")</x:f>
        <x:v>1</x:v>
      </x:c>
      <x:c r="F80" s="63" t="n">
        <x:f>E80-D80</x:f>
        <x:v>0</x:v>
      </x:c>
      <x:c r="G80" s="50" t="str">
        <x:f>IF(ABS(F80)&lt;0.001,"PASS","FAIL")</x:f>
        <x:v>PASS</x:v>
      </x:c>
      <x:c r="H80" s="50" t="str">
        <x:v>R14</x:v>
      </x:c>
      <x:c r="I80" s="50" t="str">
        <x:v>每桥且仅一次。</x:v>
      </x:c>
    </x:row>
    <x:row r="81" ht="30" customHeight="1">
      <x:c r="A81" s="19" t="str">
        <x:v>BR-YU7-LR-PRO</x:v>
      </x:c>
      <x:c r="B81" s="19" t="str">
        <x:v>WARRANTY_OVERLAY_ROWS</x:v>
      </x:c>
      <x:c r="C81" s="19" t="str">
        <x:v>质保覆盖项</x:v>
      </x:c>
      <x:c r="D81" s="57" t="n">
        <x:v>1</x:v>
      </x:c>
      <x:c r="E81" s="60" t="n">
        <x:f>COUNTIFS('03_模块汇总'!$A$7:$A$56,A81,'03_模块汇总'!$C$7:$C$56,"M10_WARRANTY",'03_模块汇总'!$H$7:$H$56,"OVERLAY_ASSUMPTION")</x:f>
        <x:v>1</x:v>
      </x:c>
      <x:c r="F81" s="62" t="n">
        <x:f>E81-D81</x:f>
        <x:v>0</x:v>
      </x:c>
      <x:c r="G81" s="19" t="str">
        <x:f>IF(ABS(F81)&lt;0.001,"PASS","FAIL")</x:f>
        <x:v>PASS</x:v>
      </x:c>
      <x:c r="H81" s="19" t="str">
        <x:v>R15</x:v>
      </x:c>
      <x:c r="I81" s="19" t="str">
        <x:v>每桥且仅一次。</x:v>
      </x:c>
    </x:row>
    <x:row r="82" ht="30" customHeight="1">
      <x:c r="A82" s="50" t="str">
        <x:v>BR-YU7-LR-PRO</x:v>
      </x:c>
      <x:c r="B82" s="50" t="str">
        <x:v>RETAIL_RESIDUAL_COST_ROWS</x:v>
      </x:c>
      <x:c r="C82" s="50" t="str">
        <x:v>价差残余排除</x:v>
      </x:c>
      <x:c r="D82" s="57" t="n">
        <x:v>0</x:v>
      </x:c>
      <x:c r="E82" s="61" t="n">
        <x:f>COUNTIFS('02_桥接拆项'!$A$7:$A$43,A82,'02_桥接拆项'!$E$7:$E$43,"*RESIDUAL*")+COUNTIFS('02_桥接拆项'!$A$7:$A$43,A82,'02_桥接拆项'!$E$7:$E$43,"*PRICE_GAP*")</x:f>
        <x:v>0</x:v>
      </x:c>
      <x:c r="F82" s="63" t="n">
        <x:f>E82-D82</x:f>
        <x:v>0</x:v>
      </x:c>
      <x:c r="G82" s="50" t="str">
        <x:f>IF(ABS(F82)&lt;0.001,"PASS","FAIL")</x:f>
        <x:v>PASS</x:v>
      </x:c>
      <x:c r="H82" s="50" t="str">
        <x:v>R16</x:v>
      </x:c>
      <x:c r="I82" s="50" t="str">
        <x:v>残余不反填硬件。</x:v>
      </x:c>
    </x:row>
    <x:row r="83" ht="30" customHeight="1">
      <x:c r="A83" s="19" t="str">
        <x:v>BR-YU7-PRO-MAX</x:v>
      </x:c>
      <x:c r="B83" s="19" t="str">
        <x:v>TOTAL_DETAIL_ROWS</x:v>
      </x:c>
      <x:c r="C83" s="19" t="str">
        <x:v>原子行完整性</x:v>
      </x:c>
      <x:c r="D83" s="57" t="n">
        <x:v>14</x:v>
      </x:c>
      <x:c r="E83" s="60" t="n">
        <x:f>COUNTIF('02_桥接拆项'!$A$7:$A$43,A83)</x:f>
        <x:v>14</x:v>
      </x:c>
      <x:c r="F83" s="62" t="n">
        <x:f>E83-D83</x:f>
        <x:v>0</x:v>
      </x:c>
      <x:c r="G83" s="19" t="str">
        <x:f>IF(ABS(F83)&lt;0.001,"PASS","FAIL")</x:f>
        <x:v>PASS</x:v>
      </x:c>
      <x:c r="H83" s="19" t="str">
        <x:v>R01</x:v>
      </x:c>
      <x:c r="I83" s="19" t="str">
        <x:v>与已确认的桥接签名行数一致。</x:v>
      </x:c>
    </x:row>
    <x:row r="84" ht="30" customHeight="1">
      <x:c r="A84" s="50" t="str">
        <x:v>BR-YU7-PRO-MAX</x:v>
      </x:c>
      <x:c r="B84" s="50" t="str">
        <x:v>DEDUP_FAIL</x:v>
      </x:c>
      <x:c r="C84" s="50" t="str">
        <x:v>重复键</x:v>
      </x:c>
      <x:c r="D84" s="57" t="n">
        <x:v>0</x:v>
      </x:c>
      <x:c r="E84" s="61" t="n">
        <x:f>COUNTIFS('02_桥接拆项'!$A$7:$A$43,A84,'02_桥接拆项'!$T$7:$T$43,"FAIL")</x:f>
        <x:v>0</x:v>
      </x:c>
      <x:c r="F84" s="63" t="n">
        <x:f>E84-D84</x:f>
        <x:v>0</x:v>
      </x:c>
      <x:c r="G84" s="50" t="str">
        <x:f>IF(ABS(F84)&lt;0.001,"PASS","FAIL")</x:f>
        <x:v>PASS</x:v>
      </x:c>
      <x:c r="H84" s="50" t="str">
        <x:v>R01</x:v>
      </x:c>
      <x:c r="I84" s="50" t="str">
        <x:v>同桥同double_count_key必须唯一。</x:v>
      </x:c>
    </x:row>
    <x:row r="85" ht="30" customHeight="1">
      <x:c r="A85" s="19" t="str">
        <x:v>BR-YU7-PRO-MAX</x:v>
      </x:c>
      <x:c r="B85" s="19" t="str">
        <x:v>RANGE_FAIL</x:v>
      </x:c>
      <x:c r="C85" s="19" t="str">
        <x:v>成本区间</x:v>
      </x:c>
      <x:c r="D85" s="57" t="n">
        <x:v>0</x:v>
      </x:c>
      <x:c r="E85" s="60" t="n">
        <x:f>COUNTIFS('02_桥接拆项'!$A$7:$A$43,A85,'02_桥接拆项'!$U$7:$U$43,"FAIL")</x:f>
        <x:v>0</x:v>
      </x:c>
      <x:c r="F85" s="62" t="n">
        <x:f>E85-D85</x:f>
        <x:v>0</x:v>
      </x:c>
      <x:c r="G85" s="19" t="str">
        <x:f>IF(ABS(F85)&lt;0.001,"PASS","FAIL")</x:f>
        <x:v>PASS</x:v>
      </x:c>
      <x:c r="H85" s="19" t="str">
        <x:v>R01</x:v>
      </x:c>
      <x:c r="I85" s="19" t="str">
        <x:v>低≤中≤高。</x:v>
      </x:c>
    </x:row>
    <x:row r="86" ht="30" customHeight="1">
      <x:c r="A86" s="50" t="str">
        <x:v>BR-YU7-PRO-MAX</x:v>
      </x:c>
      <x:c r="B86" s="50" t="str">
        <x:v>EVIDENCE_GATE_FAIL</x:v>
      </x:c>
      <x:c r="C86" s="50" t="str">
        <x:v>证据门槛</x:v>
      </x:c>
      <x:c r="D86" s="57" t="n">
        <x:v>0</x:v>
      </x:c>
      <x:c r="E86" s="61" t="n">
        <x:f>COUNTIF('02_桥接拆项'!$A$7:$A$43,A86)-COUNTIFS('02_桥接拆项'!$A$7:$A$43,A86,'02_桥接拆项'!$N$7:$N$43,"eligible_base")-COUNTIFS('02_桥接拆项'!$A$7:$A$43,A86,'02_桥接拆项'!$N$7:$N$43,"eligible_base_yu7_only")</x:f>
        <x:v>0</x:v>
      </x:c>
      <x:c r="F86" s="63" t="n">
        <x:f>E86-D86</x:f>
        <x:v>0</x:v>
      </x:c>
      <x:c r="G86" s="50" t="str">
        <x:f>IF(ABS(F86)&lt;0.001,"PASS","FAIL")</x:f>
        <x:v>PASS</x:v>
      </x:c>
      <x:c r="H86" s="50" t="str">
        <x:v>R02</x:v>
      </x:c>
      <x:c r="I86" s="50" t="str">
        <x:v>只允许base及所属车系的限定字段。</x:v>
      </x:c>
    </x:row>
    <x:row r="87" ht="30" customHeight="1">
      <x:c r="A87" s="19" t="str">
        <x:v>BR-YU7-PRO-MAX</x:v>
      </x:c>
      <x:c r="B87" s="19" t="str">
        <x:v>ABS_REFERENCE_ROWS</x:v>
      </x:c>
      <x:c r="C87" s="19" t="str">
        <x:v>绝对参考排除</x:v>
      </x:c>
      <x:c r="D87" s="57" t="n">
        <x:v>0</x:v>
      </x:c>
      <x:c r="E87" s="60" t="n">
        <x:f>COUNTIFS('02_桥接拆项'!$A$7:$A$43,A87,'02_桥接拆项'!$E$7:$E$43,"ABS_*")</x:f>
        <x:v>0</x:v>
      </x:c>
      <x:c r="F87" s="62" t="n">
        <x:f>E87-D87</x:f>
        <x:v>0</x:v>
      </x:c>
      <x:c r="G87" s="19" t="str">
        <x:f>IF(ABS(F87)&lt;0.001,"PASS","FAIL")</x:f>
        <x:v>PASS</x:v>
      </x:c>
      <x:c r="H87" s="19" t="str">
        <x:v>R03</x:v>
      </x:c>
      <x:c r="I87" s="19" t="str">
        <x:v>ABS_*不得进入桥接。</x:v>
      </x:c>
    </x:row>
    <x:row r="88" ht="30" customHeight="1">
      <x:c r="A88" s="50" t="str">
        <x:v>BR-YU7-PRO-MAX</x:v>
      </x:c>
      <x:c r="B88" s="50" t="str">
        <x:v>BLOCKED_ROWS</x:v>
      </x:c>
      <x:c r="C88" s="50" t="str">
        <x:v>blocked排除</x:v>
      </x:c>
      <x:c r="D88" s="57" t="n">
        <x:v>0</x:v>
      </x:c>
      <x:c r="E88" s="61" t="n">
        <x:f>COUNTIFS('02_桥接拆项'!$A$7:$A$43,A88,'02_桥接拆项'!$E$7:$E$43,"BLOCK_*")</x:f>
        <x:v>0</x:v>
      </x:c>
      <x:c r="F88" s="63" t="n">
        <x:f>E88-D88</x:f>
        <x:v>0</x:v>
      </x:c>
      <x:c r="G88" s="50" t="str">
        <x:f>IF(ABS(F88)&lt;0.001,"PASS","FAIL")</x:f>
        <x:v>PASS</x:v>
      </x:c>
      <x:c r="H88" s="50" t="str">
        <x:v>R04</x:v>
      </x:c>
      <x:c r="I88" s="50" t="str">
        <x:v>blocked只留敏感性。</x:v>
      </x:c>
    </x:row>
    <x:row r="89" ht="30" customHeight="1">
      <x:c r="A89" s="19" t="str">
        <x:v>BR-YU7-PRO-MAX</x:v>
      </x:c>
      <x:c r="B89" s="19" t="str">
        <x:v>BATTERY_CORE_ROWS</x:v>
      </x:c>
      <x:c r="C89" s="19" t="str">
        <x:v>电池整包</x:v>
      </x:c>
      <x:c r="D89" s="57" t="n">
        <x:v>1</x:v>
      </x:c>
      <x:c r="E89" s="60" t="n">
        <x:f>COUNTIFS('02_桥接拆项'!$A$7:$A$43,A89,'02_桥接拆项'!$F$7:$F$43,"M01_BATTERY")</x:f>
        <x:v>1</x:v>
      </x:c>
      <x:c r="F89" s="62" t="n">
        <x:f>E89-D89</x:f>
        <x:v>0</x:v>
      </x:c>
      <x:c r="G89" s="19" t="str">
        <x:f>IF(ABS(F89)&lt;0.001,"PASS","FAIL")</x:f>
        <x:v>PASS</x:v>
      </x:c>
      <x:c r="H89" s="19" t="str">
        <x:v>R05</x:v>
      </x:c>
      <x:c r="I89" s="19" t="str">
        <x:v>整包口径按桥接最多一行。</x:v>
      </x:c>
    </x:row>
    <x:row r="90" ht="30" customHeight="1">
      <x:c r="A90" s="50" t="str">
        <x:v>BR-YU7-PRO-MAX</x:v>
      </x:c>
      <x:c r="B90" s="50" t="str">
        <x:v>EDRIVE_CORE_ROWS</x:v>
      </x:c>
      <x:c r="C90" s="50" t="str">
        <x:v>电驱总成</x:v>
      </x:c>
      <x:c r="D90" s="57" t="n">
        <x:v>1</x:v>
      </x:c>
      <x:c r="E90" s="61" t="n">
        <x:f>COUNTIFS('02_桥接拆项'!$A$7:$A$43,A90,'02_桥接拆项'!$F$7:$F$43,"M02_EDRIVE")</x:f>
        <x:v>1</x:v>
      </x:c>
      <x:c r="F90" s="63" t="n">
        <x:f>E90-D90</x:f>
        <x:v>0</x:v>
      </x:c>
      <x:c r="G90" s="50" t="str">
        <x:f>IF(ABS(F90)&lt;0.001,"PASS","FAIL")</x:f>
        <x:v>PASS</x:v>
      </x:c>
      <x:c r="H90" s="50" t="str">
        <x:v>R06</x:v>
      </x:c>
      <x:c r="I90" s="50" t="str">
        <x:v>总成级差按桥接最多一行。</x:v>
      </x:c>
    </x:row>
    <x:row r="91" ht="30" customHeight="1">
      <x:c r="A91" s="19" t="str">
        <x:v>BR-YU7-PRO-MAX</x:v>
      </x:c>
      <x:c r="B91" s="19" t="str">
        <x:v>HV_CORE_ROWS</x:v>
      </x:c>
      <x:c r="C91" s="19" t="str">
        <x:v>包外高压</x:v>
      </x:c>
      <x:c r="D91" s="57" t="n">
        <x:v>1</x:v>
      </x:c>
      <x:c r="E91" s="60" t="n">
        <x:f>COUNTIFS('02_桥接拆项'!$A$7:$A$43,A91,'02_桥接拆项'!$F$7:$F$43,"M03_HIGH_VOLTAGE")</x:f>
        <x:v>1</x:v>
      </x:c>
      <x:c r="F91" s="62" t="n">
        <x:f>E91-D91</x:f>
        <x:v>0</x:v>
      </x:c>
      <x:c r="G91" s="19" t="str">
        <x:f>IF(ABS(F91)&lt;0.001,"PASS","FAIL")</x:f>
        <x:v>PASS</x:v>
      </x:c>
      <x:c r="H91" s="19" t="str">
        <x:v>R07</x:v>
      </x:c>
      <x:c r="I91" s="19" t="str">
        <x:v>仅897V相对752V的包外链路。</x:v>
      </x:c>
    </x:row>
    <x:row r="92" ht="30" customHeight="1">
      <x:c r="A92" s="50" t="str">
        <x:v>BR-YU7-PRO-MAX</x:v>
      </x:c>
      <x:c r="B92" s="50" t="str">
        <x:v>AIR_HARDWARE_ROWS</x:v>
      </x:c>
      <x:c r="C92" s="50" t="str">
        <x:v>空悬硬件</x:v>
      </x:c>
      <x:c r="D92" s="57" t="n">
        <x:v>0</x:v>
      </x:c>
      <x:c r="E92" s="61" t="n">
        <x:f>COUNTIFS('02_桥接拆项'!$A$7:$A$43,A92,'02_桥接拆项'!$E$7:$E$43,"INC_AIR_EXCL_CDC")</x:f>
        <x:v>0</x:v>
      </x:c>
      <x:c r="F92" s="63" t="n">
        <x:f>E92-D92</x:f>
        <x:v>0</x:v>
      </x:c>
      <x:c r="G92" s="50" t="str">
        <x:f>IF(ABS(F92)&lt;0.001,"PASS","FAIL")</x:f>
        <x:v>PASS</x:v>
      </x:c>
      <x:c r="H92" s="50" t="str">
        <x:v>R08</x:v>
      </x:c>
      <x:c r="I92" s="50" t="str">
        <x:v>空悬硬件明确不含CDC。</x:v>
      </x:c>
    </x:row>
    <x:row r="93" ht="30" customHeight="1">
      <x:c r="A93" s="19" t="str">
        <x:v>BR-YU7-PRO-MAX</x:v>
      </x:c>
      <x:c r="B93" s="19" t="str">
        <x:v>CDC_ROWS</x:v>
      </x:c>
      <x:c r="C93" s="19" t="str">
        <x:v>CDC</x:v>
      </x:c>
      <x:c r="D93" s="57" t="n">
        <x:v>0</x:v>
      </x:c>
      <x:c r="E93" s="60" t="n">
        <x:f>COUNTIFS('02_桥接拆项'!$A$7:$A$43,A93,'02_桥接拆项'!$E$7:$E$43,"INC_CDC")</x:f>
        <x:v>0</x:v>
      </x:c>
      <x:c r="F93" s="62" t="n">
        <x:f>E93-D93</x:f>
        <x:v>0</x:v>
      </x:c>
      <x:c r="G93" s="19" t="str">
        <x:f>IF(ABS(F93)&lt;0.001,"PASS","FAIL")</x:f>
        <x:v>PASS</x:v>
      </x:c>
      <x:c r="H93" s="19" t="str">
        <x:v>R08</x:v>
      </x:c>
      <x:c r="I93" s="19" t="str">
        <x:v>仅从无到有时计。</x:v>
      </x:c>
    </x:row>
    <x:row r="94" ht="30" customHeight="1">
      <x:c r="A94" s="50" t="str">
        <x:v>BR-YU7-PRO-MAX</x:v>
      </x:c>
      <x:c r="B94" s="50" t="str">
        <x:v>COMPLETE_AIR_BUNDLE_ROWS</x:v>
      </x:c>
      <x:c r="C94" s="50" t="str">
        <x:v>完整空悬包排除</x:v>
      </x:c>
      <x:c r="D94" s="57" t="n">
        <x:v>0</x:v>
      </x:c>
      <x:c r="E94" s="61" t="n">
        <x:f>COUNTIFS('02_桥接拆项'!$A$7:$A$43,A94,'02_桥接拆项'!$E$7:$E$43,"ABS_AIR_COMPLETE")</x:f>
        <x:v>0</x:v>
      </x:c>
      <x:c r="F94" s="63" t="n">
        <x:f>E94-D94</x:f>
        <x:v>0</x:v>
      </x:c>
      <x:c r="G94" s="50" t="str">
        <x:f>IF(ABS(F94)&lt;0.001,"PASS","FAIL")</x:f>
        <x:v>PASS</x:v>
      </x:c>
      <x:c r="H94" s="50" t="str">
        <x:v>R09</x:v>
      </x:c>
      <x:c r="I94" s="50" t="str">
        <x:v>完整包只能作参考。</x:v>
      </x:c>
    </x:row>
    <x:row r="95" ht="30" customHeight="1">
      <x:c r="A95" s="19" t="str">
        <x:v>BR-YU7-PRO-MAX</x:v>
      </x:c>
      <x:c r="B95" s="19" t="str">
        <x:v>BRAKE_PAD_ROWS</x:v>
      </x:c>
      <x:c r="C95" s="19" t="str">
        <x:v>刹车片排除</x:v>
      </x:c>
      <x:c r="D95" s="57" t="n">
        <x:v>0</x:v>
      </x:c>
      <x:c r="E95" s="60" t="n">
        <x:f>COUNTIFS('02_桥接拆项'!$A$7:$A$43,A95,'02_桥接拆项'!$E$7:$E$43,"BLOCK_FRONT_PAD")+COUNTIFS('02_桥接拆项'!$A$7:$A$43,A95,'02_桥接拆项'!$E$7:$E$43,"BLOCK_REAR_PAD")</x:f>
        <x:v>0</x:v>
      </x:c>
      <x:c r="F95" s="62" t="n">
        <x:f>E95-D95</x:f>
        <x:v>0</x:v>
      </x:c>
      <x:c r="G95" s="19" t="str">
        <x:f>IF(ABS(F95)&lt;0.001,"PASS","FAIL")</x:f>
        <x:v>PASS</x:v>
      </x:c>
      <x:c r="H95" s="19" t="str">
        <x:v>R10</x:v>
      </x:c>
      <x:c r="I95" s="19" t="str">
        <x:v>普通版片型未披露。</x:v>
      </x:c>
    </x:row>
    <x:row r="96" ht="30" customHeight="1">
      <x:c r="A96" s="50" t="str">
        <x:v>BR-YU7-PRO-MAX</x:v>
      </x:c>
      <x:c r="B96" s="50" t="str">
        <x:v>AUDIO_PACKAGE_ROWS</x:v>
      </x:c>
      <x:c r="C96" s="50" t="str">
        <x:v>音响系统包</x:v>
      </x:c>
      <x:c r="D96" s="57" t="n">
        <x:v>1</x:v>
      </x:c>
      <x:c r="E96" s="61" t="n">
        <x:f>COUNTIFS('02_桥接拆项'!$A$7:$A$43,A96,'02_桥接拆项'!$E$7:$E$43,"INC_AUDIO_14_25")</x:f>
        <x:v>1</x:v>
      </x:c>
      <x:c r="F96" s="63" t="n">
        <x:f>E96-D96</x:f>
        <x:v>0</x:v>
      </x:c>
      <x:c r="G96" s="50" t="str">
        <x:f>IF(ABS(F96)&lt;0.001,"PASS","FAIL")</x:f>
        <x:v>PASS</x:v>
      </x:c>
      <x:c r="H96" s="50" t="str">
        <x:v>R11</x:v>
      </x:c>
      <x:c r="I96" s="50" t="str">
        <x:v>系统包一次计价。</x:v>
      </x:c>
    </x:row>
    <x:row r="97" ht="30" customHeight="1">
      <x:c r="A97" s="19" t="str">
        <x:v>BR-YU7-PRO-MAX</x:v>
      </x:c>
      <x:c r="B97" s="19" t="str">
        <x:v>ADAS_ROWS</x:v>
      </x:c>
      <x:c r="C97" s="19" t="str">
        <x:v>共同ADAS排除</x:v>
      </x:c>
      <x:c r="D97" s="57" t="n">
        <x:v>0</x:v>
      </x:c>
      <x:c r="E97" s="60" t="n">
        <x:f>COUNTIFS('02_桥接拆项'!$A$7:$A$43,A97,'02_桥接拆项'!$F$7:$F$43,"M05_ADAS")</x:f>
        <x:v>0</x:v>
      </x:c>
      <x:c r="F97" s="62" t="n">
        <x:f>E97-D97</x:f>
        <x:v>0</x:v>
      </x:c>
      <x:c r="G97" s="19" t="str">
        <x:f>IF(ABS(F97)&lt;0.001,"PASS","FAIL")</x:f>
        <x:v>PASS</x:v>
      </x:c>
      <x:c r="H97" s="19" t="str">
        <x:v>R12</x:v>
      </x:c>
      <x:c r="I97" s="19" t="str">
        <x:v>共同硬件只保留绝对参考。</x:v>
      </x:c>
    </x:row>
    <x:row r="98" ht="30" customHeight="1">
      <x:c r="A98" s="50" t="str">
        <x:v>BR-YU7-PRO-MAX</x:v>
      </x:c>
      <x:c r="B98" s="50" t="str">
        <x:v>RESULT_METRIC_ROWS</x:v>
      </x:c>
      <x:c r="C98" s="50" t="str">
        <x:v>结果指标排除</x:v>
      </x:c>
      <x:c r="D98" s="57" t="n">
        <x:v>0</x:v>
      </x:c>
      <x:c r="E98" s="61" t="n">
        <x:f>COUNTIFS('02_桥接拆项'!$A$7:$A$43,A98,'02_桥接拆项'!$E$7:$E$43,"RESULT_*")</x:f>
        <x:v>0</x:v>
      </x:c>
      <x:c r="F98" s="63" t="n">
        <x:f>E98-D98</x:f>
        <x:v>0</x:v>
      </x:c>
      <x:c r="G98" s="50" t="str">
        <x:f>IF(ABS(F98)&lt;0.001,"PASS","FAIL")</x:f>
        <x:v>PASS</x:v>
      </x:c>
      <x:c r="H98" s="50" t="str">
        <x:v>R13</x:v>
      </x:c>
      <x:c r="I98" s="50" t="str">
        <x:v>续航/性能/营销类别不得成为成本行。</x:v>
      </x:c>
    </x:row>
    <x:row r="99" ht="30" customHeight="1">
      <x:c r="A99" s="19" t="str">
        <x:v>BR-YU7-PRO-MAX</x:v>
      </x:c>
      <x:c r="B99" s="19" t="str">
        <x:v>MFG_OVERLAY_ROWS</x:v>
      </x:c>
      <x:c r="C99" s="19" t="str">
        <x:v>制造覆盖项</x:v>
      </x:c>
      <x:c r="D99" s="57" t="n">
        <x:v>1</x:v>
      </x:c>
      <x:c r="E99" s="60" t="n">
        <x:f>COUNTIFS('03_模块汇总'!$A$7:$A$56,A99,'03_模块汇总'!$C$7:$C$56,"M09_MANUFACTURING",'03_模块汇总'!$H$7:$H$56,"OVERLAY_ASSUMPTION")</x:f>
        <x:v>1</x:v>
      </x:c>
      <x:c r="F99" s="62" t="n">
        <x:f>E99-D99</x:f>
        <x:v>0</x:v>
      </x:c>
      <x:c r="G99" s="19" t="str">
        <x:f>IF(ABS(F99)&lt;0.001,"PASS","FAIL")</x:f>
        <x:v>PASS</x:v>
      </x:c>
      <x:c r="H99" s="19" t="str">
        <x:v>R14</x:v>
      </x:c>
      <x:c r="I99" s="19" t="str">
        <x:v>每桥且仅一次。</x:v>
      </x:c>
    </x:row>
    <x:row r="100" ht="30" customHeight="1">
      <x:c r="A100" s="50" t="str">
        <x:v>BR-YU7-PRO-MAX</x:v>
      </x:c>
      <x:c r="B100" s="50" t="str">
        <x:v>WARRANTY_OVERLAY_ROWS</x:v>
      </x:c>
      <x:c r="C100" s="50" t="str">
        <x:v>质保覆盖项</x:v>
      </x:c>
      <x:c r="D100" s="57" t="n">
        <x:v>1</x:v>
      </x:c>
      <x:c r="E100" s="61" t="n">
        <x:f>COUNTIFS('03_模块汇总'!$A$7:$A$56,A100,'03_模块汇总'!$C$7:$C$56,"M10_WARRANTY",'03_模块汇总'!$H$7:$H$56,"OVERLAY_ASSUMPTION")</x:f>
        <x:v>1</x:v>
      </x:c>
      <x:c r="F100" s="63" t="n">
        <x:f>E100-D100</x:f>
        <x:v>0</x:v>
      </x:c>
      <x:c r="G100" s="50" t="str">
        <x:f>IF(ABS(F100)&lt;0.001,"PASS","FAIL")</x:f>
        <x:v>PASS</x:v>
      </x:c>
      <x:c r="H100" s="50" t="str">
        <x:v>R15</x:v>
      </x:c>
      <x:c r="I100" s="50" t="str">
        <x:v>每桥且仅一次。</x:v>
      </x:c>
    </x:row>
    <x:row r="101" ht="30" customHeight="1">
      <x:c r="A101" s="19" t="str">
        <x:v>BR-YU7-PRO-MAX</x:v>
      </x:c>
      <x:c r="B101" s="19" t="str">
        <x:v>RETAIL_RESIDUAL_COST_ROWS</x:v>
      </x:c>
      <x:c r="C101" s="19" t="str">
        <x:v>价差残余排除</x:v>
      </x:c>
      <x:c r="D101" s="57" t="n">
        <x:v>0</x:v>
      </x:c>
      <x:c r="E101" s="60" t="n">
        <x:f>COUNTIFS('02_桥接拆项'!$A$7:$A$43,A101,'02_桥接拆项'!$E$7:$E$43,"*RESIDUAL*")+COUNTIFS('02_桥接拆项'!$A$7:$A$43,A101,'02_桥接拆项'!$E$7:$E$43,"*PRICE_GAP*")</x:f>
        <x:v>0</x:v>
      </x:c>
      <x:c r="F101" s="62" t="n">
        <x:f>E101-D101</x:f>
        <x:v>0</x:v>
      </x:c>
      <x:c r="G101" s="19" t="str">
        <x:f>IF(ABS(F101)&lt;0.001,"PASS","FAIL")</x:f>
        <x:v>PASS</x:v>
      </x:c>
      <x:c r="H101" s="19" t="str">
        <x:v>R16</x:v>
      </x:c>
      <x:c r="I101" s="19" t="str">
        <x:v>残余不反填硬件。</x:v>
      </x:c>
    </x:row>
  </x:sheetData>
  <x:mergeCells>
    <x:mergeCell ref="A1:I1"/>
    <x:mergeCell ref="A2:I2"/>
    <x:mergeCell ref="A3:I3"/>
  </x:mergeCells>
  <x:conditionalFormatting sqref="G7:G101">
    <x:cfRule type="containsText" dxfId="36" priority="1" operator="containsText" text="PASS"/>
    <x:cfRule type="containsText" dxfId="37" priority="2" operator="containsText" text="FAIL"/>
    <x:cfRule type="containsText" dxfId="38" priority="3" operator="containsText" text="READY"/>
    <x:cfRule type="containsText" dxfId="39" priority="4" operator="containsText" text="REVIEW"/>
  </x:conditionalFormatting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5" hidden="0" customWidth="1"/>
    <x:col min="3" max="3" width="15" hidden="0" customWidth="1"/>
    <x:col min="4" max="4" width="15" hidden="0" customWidth="1"/>
    <x:col min="5" max="5" width="17" hidden="0" customWidth="1"/>
    <x:col min="6" max="6" width="17" hidden="0" customWidth="1"/>
    <x:col min="7" max="7" width="68" hidden="0" customWidth="1"/>
    <x:col min="8" max="8" width="24" hidden="0" customWidth="1"/>
    <x:col min="9" max="9" width="13" hidden="0" customWidth="1"/>
  </x:cols>
  <x:sheetData>
    <x:row r="1" ht="30" customHeight="1">
      <x:c r="A1" s="37" t="str">
        <x:v>10｜桥接防重签字表</x:v>
      </x:c>
      <x:c r="B1" s="37"/>
      <x:c r="C1" s="37"/>
      <x:c r="D1" s="37"/>
      <x:c r="E1" s="37"/>
      <x:c r="F1" s="37"/>
      <x:c r="G1" s="37"/>
      <x:c r="H1" s="37"/>
      <x:c r="I1" s="37"/>
    </x:row>
    <x:row r="2" ht="22" customHeight="1">
      <x:c r="A2" s="40" t="str">
        <x:v>五条桥的成本金额不重算；本页只确认Phase 2.1B输入可直接进入Phase 2.2</x:v>
      </x:c>
      <x:c r="B2" s="40"/>
      <x:c r="C2" s="40"/>
      <x:c r="D2" s="40"/>
      <x:c r="E2" s="40"/>
      <x:c r="F2" s="40"/>
      <x:c r="G2" s="40"/>
      <x:c r="H2" s="40"/>
      <x:c r="I2" s="40"/>
    </x:row>
    <x:row r="3" ht="38" customHeight="1">
      <x:c r="A3" s="44" t="str">
        <x:v>“PASS”表示边界与计数通过，不代表供应商真实报价已经被精确获知。</x:v>
      </x:c>
      <x:c r="B3" s="44"/>
      <x:c r="C3" s="44"/>
      <x:c r="D3" s="44"/>
      <x:c r="E3" s="44"/>
      <x:c r="F3" s="44"/>
      <x:c r="G3" s="44"/>
      <x:c r="H3" s="44"/>
      <x:c r="I3" s="44"/>
    </x:row>
    <x:row r="6" ht="38" customHeight="1">
      <x:c r="A6" s="49" t="str">
        <x:v>bridge_id</x:v>
      </x:c>
      <x:c r="B6" s="49" t="str">
        <x:v>expected_rows</x:v>
      </x:c>
      <x:c r="C6" s="49" t="str">
        <x:v>actual_rows</x:v>
      </x:c>
      <x:c r="D6" s="49" t="str">
        <x:v>failed_tests</x:v>
      </x:c>
      <x:c r="E6" s="49" t="str">
        <x:v>physical_mid</x:v>
      </x:c>
      <x:c r="F6" s="49" t="str">
        <x:v>total_mid</x:v>
      </x:c>
      <x:c r="G6" s="49" t="str">
        <x:v>boundary_signature</x:v>
      </x:c>
      <x:c r="H6" s="49" t="str">
        <x:v>review_status</x:v>
      </x:c>
      <x:c r="I6" s="49" t="str">
        <x:v>signoff</x:v>
      </x:c>
    </x:row>
    <x:row r="7" ht="54" customHeight="1">
      <x:c r="A7" s="19" t="str">
        <x:v>BR-SU7-STD-PRO</x:v>
      </x:c>
      <x:c r="B7" s="64" t="n">
        <x:v>3</x:v>
      </x:c>
      <x:c r="C7" s="67" t="n">
        <x:f>COUNTIF('02_桥接拆项'!$A$7:$A$43,A7)</x:f>
        <x:v>3</x:v>
      </x:c>
      <x:c r="D7" s="67" t="n">
        <x:f>COUNTIFS('09_逐桥签核'!$A$7:$A$101,A7,'09_逐桥签核'!$G$7:$G$101,"FAIL")</x:f>
        <x:v>0</x:v>
      </x:c>
      <x:c r="E7" s="65" t="n">
        <x:f>'04_售价成本校准'!$I$7</x:f>
        <x:v>21014</x:v>
      </x:c>
      <x:c r="F7" s="65" t="n">
        <x:f>'04_售价成本校准'!$L$7</x:f>
        <x:v>21749.49</x:v>
      </x:c>
      <x:c r="G7" s="19" t="str">
        <x:v>电池整包增量×1；空悬硬件×1；CDC×1。</x:v>
      </x:c>
      <x:c r="H7" s="19" t="str">
        <x:v>MODEL_REVIEWED_SCOPE</x:v>
      </x:c>
      <x:c r="I7" s="19" t="str">
        <x:f>IF(AND(B7=C7,D7=0),"PASS","FAIL")</x:f>
        <x:v>PASS</x:v>
      </x:c>
    </x:row>
    <x:row r="8" ht="54" customHeight="1">
      <x:c r="A8" s="50" t="str">
        <x:v>BR-SU7-PRO-MAX</x:v>
      </x:c>
      <x:c r="B8" s="64" t="n">
        <x:v>15</x:v>
      </x:c>
      <x:c r="C8" s="68" t="n">
        <x:f>COUNTIF('02_桥接拆项'!$A$7:$A$43,A8)</x:f>
        <x:v>15</x:v>
      </x:c>
      <x:c r="D8" s="68" t="n">
        <x:f>COUNTIFS('09_逐桥签核'!$A$7:$A$101,A8,'09_逐桥签核'!$G$7:$G$101,"FAIL")</x:f>
        <x:v>0</x:v>
      </x:c>
      <x:c r="E8" s="66" t="n">
        <x:f>'04_售价成本校准'!$I$8</x:f>
        <x:v>45026</x:v>
      </x:c>
      <x:c r="F8" s="66" t="n">
        <x:f>'04_售价成本校准'!$L$8</x:f>
        <x:v>46601.91</x:v>
      </x:c>
      <x:c r="G8" s="50" t="str">
        <x:v>整包置换、电驱级差、包外高压及独立配置原子；不计后盘/刹车片/静谧座舱。</x:v>
      </x:c>
      <x:c r="H8" s="50" t="str">
        <x:v>MODEL_REVIEWED_SCOPE</x:v>
      </x:c>
      <x:c r="I8" s="50" t="str">
        <x:f>IF(AND(B8=C8,D8=0),"PASS","FAIL")</x:f>
        <x:v>PASS</x:v>
      </x:c>
    </x:row>
    <x:row r="9" ht="54" customHeight="1">
      <x:c r="A9" s="19" t="str">
        <x:v>BR-YU7-STD-LR</x:v>
      </x:c>
      <x:c r="B9" s="64" t="n">
        <x:v>3</x:v>
      </x:c>
      <x:c r="C9" s="67" t="n">
        <x:f>COUNTIF('02_桥接拆项'!$A$7:$A$43,A9)</x:f>
        <x:v>3</x:v>
      </x:c>
      <x:c r="D9" s="67" t="n">
        <x:f>COUNTIFS('09_逐桥签核'!$A$7:$A$101,A9,'09_逐桥签核'!$G$7:$G$101,"FAIL")</x:f>
        <x:v>0</x:v>
      </x:c>
      <x:c r="E9" s="65" t="n">
        <x:f>'04_售价成本校准'!$I$9</x:f>
        <x:v>16614</x:v>
      </x:c>
      <x:c r="F9" s="65" t="n">
        <x:f>'04_售价成本校准'!$L$9</x:f>
        <x:v>17195.49</x:v>
      </x:c>
      <x:c r="G9" s="19" t="str">
        <x:v>电池整包增量×1；CDC从无到有×1；后排屏×1。</x:v>
      </x:c>
      <x:c r="H9" s="19" t="str">
        <x:v>MODEL_REVIEWED_SCOPE</x:v>
      </x:c>
      <x:c r="I9" s="19" t="str">
        <x:f>IF(AND(B9=C9,D9=0),"PASS","FAIL")</x:f>
        <x:v>PASS</x:v>
      </x:c>
    </x:row>
    <x:row r="10" ht="54" customHeight="1">
      <x:c r="A10" s="50" t="str">
        <x:v>BR-YU7-LR-PRO</x:v>
      </x:c>
      <x:c r="B10" s="64" t="n">
        <x:v>2</x:v>
      </x:c>
      <x:c r="C10" s="68" t="n">
        <x:f>COUNTIF('02_桥接拆项'!$A$7:$A$43,A10)</x:f>
        <x:v>2</x:v>
      </x:c>
      <x:c r="D10" s="68" t="n">
        <x:f>COUNTIFS('09_逐桥签核'!$A$7:$A$101,A10,'09_逐桥签核'!$G$7:$G$101,"FAIL")</x:f>
        <x:v>0</x:v>
      </x:c>
      <x:c r="E10" s="66" t="n">
        <x:f>'04_售价成本校准'!$I$10</x:f>
        <x:v>10500</x:v>
      </x:c>
      <x:c r="F10" s="66" t="n">
        <x:f>'04_售价成本校准'!$L$10</x:f>
        <x:v>10867.5</x:v>
      </x:c>
      <x:c r="G10" s="50" t="str">
        <x:v>前桥130kW电驱×1；双腔空悬硬件×1；CDC已在长续航版存在，因此为0。</x:v>
      </x:c>
      <x:c r="H10" s="50" t="str">
        <x:v>USER_CONFIRMED_SCOPE</x:v>
      </x:c>
      <x:c r="I10" s="50" t="str">
        <x:f>IF(AND(B10=C10,D10=0),"PASS","FAIL")</x:f>
        <x:v>PASS</x:v>
      </x:c>
    </x:row>
    <x:row r="11" ht="54" customHeight="1">
      <x:c r="A11" s="19" t="str">
        <x:v>BR-YU7-PRO-MAX</x:v>
      </x:c>
      <x:c r="B11" s="64" t="n">
        <x:v>14</x:v>
      </x:c>
      <x:c r="C11" s="67" t="n">
        <x:f>COUNTIF('02_桥接拆项'!$A$7:$A$43,A11)</x:f>
        <x:v>14</x:v>
      </x:c>
      <x:c r="D11" s="67" t="n">
        <x:f>COUNTIFS('09_逐桥签核'!$A$7:$A$101,A11,'09_逐桥签核'!$G$7:$G$101,"FAIL")</x:f>
        <x:v>0</x:v>
      </x:c>
      <x:c r="E11" s="65" t="n">
        <x:f>'04_售价成本校准'!$I$11</x:f>
        <x:v>38526</x:v>
      </x:c>
      <x:c r="F11" s="65" t="n">
        <x:f>'04_售价成本校准'!$L$11</x:f>
        <x:v>39874.41</x:v>
      </x:c>
      <x:c r="G11" s="19" t="str">
        <x:v>整包置换、电驱级差、包外高压及Max独有原子；AWD拓扑、Nappa与刹车片不重复。</x:v>
      </x:c>
      <x:c r="H11" s="19" t="str">
        <x:v>MODEL_REVIEWED_SCOPE</x:v>
      </x:c>
      <x:c r="I11" s="19" t="str">
        <x:f>IF(AND(B11=C11,D11=0),"PASS","FAIL")</x:f>
        <x:v>PASS</x:v>
      </x:c>
    </x:row>
    <x:row r="14" ht="48" customHeight="1">
      <x:c r="A14" s="72" t="str">
        <x:v>YU7长续航→Pro：物理BOM中情景10,500元＝前桥电驱5,500元＋不含CDC的双腔空悬5,000元；制造/质保覆盖后10,867.50元。该数是工程中情景，不是小米披露成本。</x:v>
      </x:c>
      <x:c r="B14" s="72"/>
      <x:c r="C14" s="72"/>
      <x:c r="D14" s="72"/>
      <x:c r="E14" s="72"/>
      <x:c r="F14" s="72"/>
      <x:c r="G14" s="72"/>
      <x:c r="H14" s="72"/>
      <x:c r="I14" s="72"/>
    </x:row>
  </x:sheetData>
  <x:mergeCells>
    <x:mergeCell ref="A1:I1"/>
    <x:mergeCell ref="A2:I2"/>
    <x:mergeCell ref="A3:I3"/>
    <x:mergeCell ref="A14:I14"/>
  </x:mergeCells>
  <x:conditionalFormatting sqref="H7:I11">
    <x:cfRule type="containsText" dxfId="40" priority="1" operator="containsText" text="PASS"/>
    <x:cfRule type="containsText" dxfId="41" priority="2" operator="containsText" text="FAIL"/>
    <x:cfRule type="containsText" dxfId="42" priority="3" operator="containsText" text="READY"/>
    <x:cfRule type="containsText" dxfId="43" priority="4" operator="containsText" text="REVIEW"/>
  </x:conditionalFormatting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46" hidden="0" customWidth="1"/>
    <x:col min="3" max="3" width="20" hidden="0" customWidth="1"/>
    <x:col min="4" max="4" width="20" hidden="0" customWidth="1"/>
    <x:col min="5" max="5" width="14" hidden="0" customWidth="1"/>
    <x:col min="6" max="6" width="61" hidden="0" customWidth="1"/>
  </x:cols>
  <x:sheetData>
    <x:row r="1" ht="30" customHeight="1">
      <x:c r="A1" s="37" t="str">
        <x:v>11｜Phase 2.1C 模型校验</x:v>
      </x:c>
      <x:c r="B1" s="37"/>
      <x:c r="C1" s="37"/>
      <x:c r="D1" s="37"/>
      <x:c r="E1" s="37"/>
      <x:c r="F1" s="37"/>
    </x:row>
    <x:row r="2" ht="22" customHeight="1">
      <x:c r="A2" s="40" t="str">
        <x:v>所有Actual均由公式回链；计数容差0.001</x:v>
      </x:c>
      <x:c r="B2" s="40"/>
      <x:c r="C2" s="40"/>
      <x:c r="D2" s="40"/>
      <x:c r="E2" s="40"/>
      <x:c r="F2" s="40"/>
    </x:row>
    <x:row r="3" ht="38" customHeight="1">
      <x:c r="A3" s="44" t="str">
        <x:v>验收目标：上游2.1B通过、16条规则通过、95条逐桥测试通过、五条桥签字通过。</x:v>
      </x:c>
      <x:c r="B3" s="44"/>
      <x:c r="C3" s="44"/>
      <x:c r="D3" s="44"/>
      <x:c r="E3" s="44"/>
      <x:c r="F3" s="44"/>
    </x:row>
    <x:row r="6" ht="38" customHeight="1">
      <x:c r="A6" s="49" t="str">
        <x:v>rule_id</x:v>
      </x:c>
      <x:c r="B6" s="49" t="str">
        <x:v>check</x:v>
      </x:c>
      <x:c r="C6" s="49" t="str">
        <x:v>expected</x:v>
      </x:c>
      <x:c r="D6" s="49" t="str">
        <x:v>actual</x:v>
      </x:c>
      <x:c r="E6" s="49" t="str">
        <x:v>status</x:v>
      </x:c>
      <x:c r="F6" s="49" t="str">
        <x:v>note</x:v>
      </x:c>
    </x:row>
    <x:row r="7" ht="34" customHeight="1">
      <x:c r="A7" s="19" t="str">
        <x:v>C01_UPSTREAM_FAIL</x:v>
      </x:c>
      <x:c r="B7" s="19" t="str">
        <x:v>Phase 2.1B失败检查数</x:v>
      </x:c>
      <x:c r="C7" s="57" t="n">
        <x:v>0</x:v>
      </x:c>
      <x:c r="D7" s="60" t="n">
        <x:f>COUNTIF('07_校验'!$E$7:$E$36,"FAIL")</x:f>
        <x:v>0</x:v>
      </x:c>
      <x:c r="E7" s="19" t="str">
        <x:f>IF(ABS(D7-C7)&lt;0.001,"PASS","FAIL")</x:f>
        <x:v>PASS</x:v>
      </x:c>
      <x:c r="F7" s="19" t="str">
        <x:v>上游30项校验必须全过。</x:v>
      </x:c>
    </x:row>
    <x:row r="8" ht="34" customHeight="1">
      <x:c r="A8" s="50" t="str">
        <x:v>C02_RULE_ROWS</x:v>
      </x:c>
      <x:c r="B8" s="50" t="str">
        <x:v>正式防重规则数</x:v>
      </x:c>
      <x:c r="C8" s="57" t="n">
        <x:v>16</x:v>
      </x:c>
      <x:c r="D8" s="61" t="n">
        <x:f>COUNTA('08_防重规则'!$A$7:$A$22)</x:f>
        <x:v>16</x:v>
      </x:c>
      <x:c r="E8" s="50" t="str">
        <x:f>IF(ABS(D8-C8)&lt;0.001,"PASS","FAIL")</x:f>
        <x:v>PASS</x:v>
      </x:c>
      <x:c r="F8" s="50" t="str">
        <x:v>R01—R16。</x:v>
      </x:c>
    </x:row>
    <x:row r="9" ht="34" customHeight="1">
      <x:c r="A9" s="19" t="str">
        <x:v>C03_SIGNATURE_ROWS</x:v>
      </x:c>
      <x:c r="B9" s="19" t="str">
        <x:v>逐桥测试行数</x:v>
      </x:c>
      <x:c r="C9" s="57" t="n">
        <x:v>95</x:v>
      </x:c>
      <x:c r="D9" s="60" t="n">
        <x:f>COUNTA('09_逐桥签核'!$A$7:$A$101)</x:f>
        <x:v>95</x:v>
      </x:c>
      <x:c r="E9" s="19" t="str">
        <x:f>IF(ABS(D9-C9)&lt;0.001,"PASS","FAIL")</x:f>
        <x:v>PASS</x:v>
      </x:c>
      <x:c r="F9" s="19" t="str">
        <x:v>5桥×19测试。</x:v>
      </x:c>
    </x:row>
    <x:row r="10" ht="34" customHeight="1">
      <x:c r="A10" s="50" t="str">
        <x:v>C04_SIGNATURE_FAIL</x:v>
      </x:c>
      <x:c r="B10" s="50" t="str">
        <x:v>逐桥失败测试数</x:v>
      </x:c>
      <x:c r="C10" s="57" t="n">
        <x:v>0</x:v>
      </x:c>
      <x:c r="D10" s="61" t="n">
        <x:f>COUNTIF('09_逐桥签核'!$G$7:$G$101,"FAIL")</x:f>
        <x:v>0</x:v>
      </x:c>
      <x:c r="E10" s="50" t="str">
        <x:f>IF(ABS(D10-C10)&lt;0.001,"PASS","FAIL")</x:f>
        <x:v>PASS</x:v>
      </x:c>
      <x:c r="F10" s="50" t="str">
        <x:v>所有边界计数必须通过。</x:v>
      </x:c>
    </x:row>
    <x:row r="11" ht="34" customHeight="1">
      <x:c r="A11" s="19" t="str">
        <x:v>C05_RULE_FAIL</x:v>
      </x:c>
      <x:c r="B11" s="19" t="str">
        <x:v>失败规则数</x:v>
      </x:c>
      <x:c r="C11" s="57" t="n">
        <x:v>0</x:v>
      </x:c>
      <x:c r="D11" s="60" t="n">
        <x:f>COUNTIF('08_防重规则'!$H$7:$H$22,"FAIL")</x:f>
        <x:v>0</x:v>
      </x:c>
      <x:c r="E11" s="19" t="str">
        <x:f>IF(ABS(D11-C11)&lt;0.001,"PASS","FAIL")</x:f>
        <x:v>PASS</x:v>
      </x:c>
      <x:c r="F11" s="19" t="str">
        <x:v>规则状态由逐桥测试聚合。</x:v>
      </x:c>
    </x:row>
    <x:row r="12" ht="34" customHeight="1">
      <x:c r="A12" s="50" t="str">
        <x:v>C06_BRIDGE_ROWS</x:v>
      </x:c>
      <x:c r="B12" s="50" t="str">
        <x:v>桥接签字表行数</x:v>
      </x:c>
      <x:c r="C12" s="57" t="n">
        <x:v>5</x:v>
      </x:c>
      <x:c r="D12" s="61" t="n">
        <x:f>COUNTA('10_桥接签字表'!$A$7:$A$11)</x:f>
        <x:v>5</x:v>
      </x:c>
      <x:c r="E12" s="50" t="str">
        <x:f>IF(ABS(D12-C12)&lt;0.001,"PASS","FAIL")</x:f>
        <x:v>PASS</x:v>
      </x:c>
      <x:c r="F12" s="50" t="str">
        <x:v>五条相邻版本桥。</x:v>
      </x:c>
    </x:row>
    <x:row r="13" ht="34" customHeight="1">
      <x:c r="A13" s="19" t="str">
        <x:v>C07_BRIDGE_FAIL</x:v>
      </x:c>
      <x:c r="B13" s="19" t="str">
        <x:v>桥接签字失败数</x:v>
      </x:c>
      <x:c r="C13" s="57" t="n">
        <x:v>0</x:v>
      </x:c>
      <x:c r="D13" s="60" t="n">
        <x:f>COUNTIF('10_桥接签字表'!$I$7:$I$11,"FAIL")</x:f>
        <x:v>0</x:v>
      </x:c>
      <x:c r="E13" s="19" t="str">
        <x:f>IF(ABS(D13-C13)&lt;0.001,"PASS","FAIL")</x:f>
        <x:v>PASS</x:v>
      </x:c>
      <x:c r="F13" s="19" t="str">
        <x:v>行数与测试都通过。</x:v>
      </x:c>
    </x:row>
    <x:row r="14" ht="34" customHeight="1">
      <x:c r="A14" s="50" t="str">
        <x:v>C08_TESTS_PER_BRIDGE_MIN</x:v>
      </x:c>
      <x:c r="B14" s="50" t="str">
        <x:v>每桥测试数最小值</x:v>
      </x:c>
      <x:c r="C14" s="57" t="n">
        <x:v>19</x:v>
      </x:c>
      <x:c r="D14" s="61" t="n">
        <x:f>MIN(COUNTIF('09_逐桥签核'!$A$7:$A$101,'10_桥接签字表'!$A$7),COUNTIF('09_逐桥签核'!$A$7:$A$101,'10_桥接签字表'!$A$8),COUNTIF('09_逐桥签核'!$A$7:$A$101,'10_桥接签字表'!$A$9),COUNTIF('09_逐桥签核'!$A$7:$A$101,'10_桥接签字表'!$A$10),COUNTIF('09_逐桥签核'!$A$7:$A$101,'10_桥接签字表'!$A$11))</x:f>
        <x:v>19</x:v>
      </x:c>
      <x:c r="E14" s="50" t="str">
        <x:f>IF(ABS(D14-C14)&lt;0.001,"PASS","FAIL")</x:f>
        <x:v>PASS</x:v>
      </x:c>
      <x:c r="F14" s="50" t="str">
        <x:v>防止某桥漏检。</x:v>
      </x:c>
    </x:row>
    <x:row r="15" ht="34" customHeight="1">
      <x:c r="A15" s="19" t="str">
        <x:v>C09_LRPRO_DETAIL_ROWS</x:v>
      </x:c>
      <x:c r="B15" s="19" t="str">
        <x:v>YU7长续航→Pro核心行数</x:v>
      </x:c>
      <x:c r="C15" s="57" t="n">
        <x:v>2</x:v>
      </x:c>
      <x:c r="D15" s="60" t="n">
        <x:f>COUNTIF('02_桥接拆项'!$A$7:$A$43,"BR-YU7-LR-PRO")</x:f>
        <x:v>2</x:v>
      </x:c>
      <x:c r="E15" s="19" t="str">
        <x:f>IF(ABS(D15-C15)&lt;0.001,"PASS","FAIL")</x:f>
        <x:v>PASS</x:v>
      </x:c>
      <x:c r="F15" s="19" t="str">
        <x:v>只含电驱与空悬硬件。</x:v>
      </x:c>
    </x:row>
    <x:row r="16" ht="34" customHeight="1">
      <x:c r="A16" s="50" t="str">
        <x:v>C10_LRPRO_EDRIVE</x:v>
      </x:c>
      <x:c r="B16" s="50" t="str">
        <x:v>YU7长续航→Pro电驱行</x:v>
      </x:c>
      <x:c r="C16" s="57" t="n">
        <x:v>1</x:v>
      </x:c>
      <x:c r="D16" s="61" t="n">
        <x:f>COUNTIFS('02_桥接拆项'!$A$7:$A$43,"BR-YU7-LR-PRO",'02_桥接拆项'!$E$7:$E$43,"INC_EDRIVE_235_365")</x:f>
        <x:v>1</x:v>
      </x:c>
      <x:c r="E16" s="50" t="str">
        <x:f>IF(ABS(D16-C16)&lt;0.001,"PASS","FAIL")</x:f>
        <x:v>PASS</x:v>
      </x:c>
      <x:c r="F16" s="50" t="str">
        <x:v>新增130kW前桥电驱。</x:v>
      </x:c>
    </x:row>
    <x:row r="17" ht="34" customHeight="1">
      <x:c r="A17" s="19" t="str">
        <x:v>C11_LRPRO_AIR</x:v>
      </x:c>
      <x:c r="B17" s="19" t="str">
        <x:v>YU7长续航→Pro空悬硬件行</x:v>
      </x:c>
      <x:c r="C17" s="57" t="n">
        <x:v>1</x:v>
      </x:c>
      <x:c r="D17" s="60" t="n">
        <x:f>COUNTIFS('02_桥接拆项'!$A$7:$A$43,"BR-YU7-LR-PRO",'02_桥接拆项'!$E$7:$E$43,"INC_AIR_EXCL_CDC")</x:f>
        <x:v>1</x:v>
      </x:c>
      <x:c r="E17" s="19" t="str">
        <x:f>IF(ABS(D17-C17)&lt;0.001,"PASS","FAIL")</x:f>
        <x:v>PASS</x:v>
      </x:c>
      <x:c r="F17" s="19" t="str">
        <x:v>双腔空悬，不含CDC。</x:v>
      </x:c>
    </x:row>
    <x:row r="18" ht="34" customHeight="1">
      <x:c r="A18" s="50" t="str">
        <x:v>C12_LRPRO_CDC</x:v>
      </x:c>
      <x:c r="B18" s="50" t="str">
        <x:v>YU7长续航→Pro CDC行</x:v>
      </x:c>
      <x:c r="C18" s="57" t="n">
        <x:v>0</x:v>
      </x:c>
      <x:c r="D18" s="61" t="n">
        <x:f>COUNTIFS('02_桥接拆项'!$A$7:$A$43,"BR-YU7-LR-PRO",'02_桥接拆项'!$E$7:$E$43,"INC_CDC")</x:f>
        <x:v>0</x:v>
      </x:c>
      <x:c r="E18" s="50" t="str">
        <x:f>IF(ABS(D18-C18)&lt;0.001,"PASS","FAIL")</x:f>
        <x:v>PASS</x:v>
      </x:c>
      <x:c r="F18" s="50" t="str">
        <x:v>长续航版已有CDC。</x:v>
      </x:c>
    </x:row>
    <x:row r="19" ht="34" customHeight="1">
      <x:c r="A19" s="19" t="str">
        <x:v>C13_LRPRO_BATTERY</x:v>
      </x:c>
      <x:c r="B19" s="19" t="str">
        <x:v>YU7长续航→Pro电池行</x:v>
      </x:c>
      <x:c r="C19" s="57" t="n">
        <x:v>0</x:v>
      </x:c>
      <x:c r="D19" s="60" t="n">
        <x:f>COUNTIFS('02_桥接拆项'!$A$7:$A$43,"BR-YU7-LR-PRO",'02_桥接拆项'!$F$7:$F$43,"M01_BATTERY")</x:f>
        <x:v>0</x:v>
      </x:c>
      <x:c r="E19" s="19" t="str">
        <x:f>IF(ABS(D19-C19)&lt;0.001,"PASS","FAIL")</x:f>
        <x:v>PASS</x:v>
      </x:c>
      <x:c r="F19" s="19" t="str">
        <x:v>同96.3kWh LFP。</x:v>
      </x:c>
    </x:row>
    <x:row r="20" ht="34" customHeight="1">
      <x:c r="A20" s="50" t="str">
        <x:v>C14_LRPRO_HV</x:v>
      </x:c>
      <x:c r="B20" s="50" t="str">
        <x:v>YU7长续航→Pro高压行</x:v>
      </x:c>
      <x:c r="C20" s="57" t="n">
        <x:v>0</x:v>
      </x:c>
      <x:c r="D20" s="61" t="n">
        <x:f>COUNTIFS('02_桥接拆项'!$A$7:$A$43,"BR-YU7-LR-PRO",'02_桥接拆项'!$F$7:$F$43,"M03_HIGH_VOLTAGE")</x:f>
        <x:v>0</x:v>
      </x:c>
      <x:c r="E20" s="50" t="str">
        <x:f>IF(ABS(D20-C20)&lt;0.001,"PASS","FAIL")</x:f>
        <x:v>PASS</x:v>
      </x:c>
      <x:c r="F20" s="50" t="str">
        <x:v>同752V精确口径。</x:v>
      </x:c>
    </x:row>
    <x:row r="21" ht="34" customHeight="1">
      <x:c r="A21" s="19" t="str">
        <x:v>C15_ALL_ADAS_ROWS</x:v>
      </x:c>
      <x:c r="B21" s="19" t="str">
        <x:v>五桥ADAS增量行</x:v>
      </x:c>
      <x:c r="C21" s="57" t="n">
        <x:v>0</x:v>
      </x:c>
      <x:c r="D21" s="60" t="n">
        <x:f>COUNTIF('02_桥接拆项'!$F$7:$F$43,"M05_ADAS")</x:f>
        <x:v>0</x:v>
      </x:c>
      <x:c r="E21" s="19" t="str">
        <x:f>IF(ABS(D21-C21)&lt;0.001,"PASS","FAIL")</x:f>
        <x:v>PASS</x:v>
      </x:c>
      <x:c r="F21" s="19" t="str">
        <x:v>共同硬件不重复。</x:v>
      </x:c>
    </x:row>
    <x:row r="22" ht="34" customHeight="1">
      <x:c r="A22" s="50" t="str">
        <x:v>C16_ALL_ABS_ROWS</x:v>
      </x:c>
      <x:c r="B22" s="50" t="str">
        <x:v>绝对参考进入核心行</x:v>
      </x:c>
      <x:c r="C22" s="57" t="n">
        <x:v>0</x:v>
      </x:c>
      <x:c r="D22" s="61" t="n">
        <x:f>COUNTIF('02_桥接拆项'!$E$7:$E$43,"ABS_*")</x:f>
        <x:v>0</x:v>
      </x:c>
      <x:c r="E22" s="50" t="str">
        <x:f>IF(ABS(D22-C22)&lt;0.001,"PASS","FAIL")</x:f>
        <x:v>PASS</x:v>
      </x:c>
      <x:c r="F22" s="50" t="str">
        <x:v>绝对参考被隔离。</x:v>
      </x:c>
    </x:row>
    <x:row r="23" ht="34" customHeight="1">
      <x:c r="A23" s="19" t="str">
        <x:v>C17_ALL_BLOCKED_ROWS</x:v>
      </x:c>
      <x:c r="B23" s="19" t="str">
        <x:v>blocked进入核心行</x:v>
      </x:c>
      <x:c r="C23" s="57" t="n">
        <x:v>0</x:v>
      </x:c>
      <x:c r="D23" s="60" t="n">
        <x:f>COUNTIF('02_桥接拆项'!$E$7:$E$43,"BLOCK_*")</x:f>
        <x:v>0</x:v>
      </x:c>
      <x:c r="E23" s="19" t="str">
        <x:f>IF(ABS(D23-C23)&lt;0.001,"PASS","FAIL")</x:f>
        <x:v>PASS</x:v>
      </x:c>
      <x:c r="F23" s="19" t="str">
        <x:v>敏感项被隔离。</x:v>
      </x:c>
    </x:row>
    <x:row r="24" ht="34" customHeight="1">
      <x:c r="A24" s="50" t="str">
        <x:v>C18_MFG_OVERLAYS</x:v>
      </x:c>
      <x:c r="B24" s="50" t="str">
        <x:v>制造覆盖项行数</x:v>
      </x:c>
      <x:c r="C24" s="57" t="n">
        <x:v>5</x:v>
      </x:c>
      <x:c r="D24" s="61" t="n">
        <x:f>COUNTIFS('03_模块汇总'!$C$7:$C$56,"M09_MANUFACTURING",'03_模块汇总'!$H$7:$H$56,"OVERLAY_ASSUMPTION")</x:f>
        <x:v>5</x:v>
      </x:c>
      <x:c r="E24" s="50" t="str">
        <x:f>IF(ABS(D24-C24)&lt;0.001,"PASS","FAIL")</x:f>
        <x:v>PASS</x:v>
      </x:c>
      <x:c r="F24" s="50" t="str">
        <x:v>每桥一次。</x:v>
      </x:c>
    </x:row>
    <x:row r="25" ht="34" customHeight="1">
      <x:c r="A25" s="19" t="str">
        <x:v>C19_WARRANTY_OVERLAYS</x:v>
      </x:c>
      <x:c r="B25" s="19" t="str">
        <x:v>质保覆盖项行数</x:v>
      </x:c>
      <x:c r="C25" s="57" t="n">
        <x:v>5</x:v>
      </x:c>
      <x:c r="D25" s="60" t="n">
        <x:f>COUNTIFS('03_模块汇总'!$C$7:$C$56,"M10_WARRANTY",'03_模块汇总'!$H$7:$H$56,"OVERLAY_ASSUMPTION")</x:f>
        <x:v>5</x:v>
      </x:c>
      <x:c r="E25" s="19" t="str">
        <x:f>IF(ABS(D25-C25)&lt;0.001,"PASS","FAIL")</x:f>
        <x:v>PASS</x:v>
      </x:c>
      <x:c r="F25" s="19" t="str">
        <x:v>每桥一次。</x:v>
      </x:c>
    </x:row>
    <x:row r="26" ht="34" customHeight="1">
      <x:c r="A26" s="50" t="str">
        <x:v>C20_PAD_ROWS</x:v>
      </x:c>
      <x:c r="B26" s="50" t="str">
        <x:v>刹车片进入核心行</x:v>
      </x:c>
      <x:c r="C26" s="57" t="n">
        <x:v>0</x:v>
      </x:c>
      <x:c r="D26" s="61" t="n">
        <x:f>COUNTIF('02_桥接拆项'!$E$7:$E$43,"*PAD*")</x:f>
        <x:v>0</x:v>
      </x:c>
      <x:c r="E26" s="50" t="str">
        <x:f>IF(ABS(D26-C26)&lt;0.001,"PASS","FAIL")</x:f>
        <x:v>PASS</x:v>
      </x:c>
      <x:c r="F26" s="50" t="str">
        <x:v>片型基线未知。</x:v>
      </x:c>
    </x:row>
    <x:row r="27" ht="34" customHeight="1">
      <x:c r="A27" s="19" t="str">
        <x:v>C21_RESULT_ROWS</x:v>
      </x:c>
      <x:c r="B27" s="19" t="str">
        <x:v>结果指标进入核心行</x:v>
      </x:c>
      <x:c r="C27" s="57" t="n">
        <x:v>0</x:v>
      </x:c>
      <x:c r="D27" s="60" t="n">
        <x:f>COUNTIF('02_桥接拆项'!$E$7:$E$43,"RESULT_*")</x:f>
        <x:v>0</x:v>
      </x:c>
      <x:c r="E27" s="19" t="str">
        <x:f>IF(ABS(D27-C27)&lt;0.001,"PASS","FAIL")</x:f>
        <x:v>PASS</x:v>
      </x:c>
      <x:c r="F27" s="19" t="str">
        <x:v>续航、性能等不计成本。</x:v>
      </x:c>
    </x:row>
    <x:row r="28" ht="34" customHeight="1">
      <x:c r="A28" s="50" t="str">
        <x:v>C22_LRPRO_PHYSICAL_MID</x:v>
      </x:c>
      <x:c r="B28" s="50" t="str">
        <x:v>YU7长续航→Pro物理BOM中情景</x:v>
      </x:c>
      <x:c r="C28" s="57" t="n">
        <x:v>10500</x:v>
      </x:c>
      <x:c r="D28" s="61" t="n">
        <x:f>'04_售价成本校准'!$I$10</x:f>
        <x:v>10500</x:v>
      </x:c>
      <x:c r="E28" s="50" t="str">
        <x:f>IF(ABS(D28-C28)&lt;0.001,"PASS","FAIL")</x:f>
        <x:v>PASS</x:v>
      </x:c>
      <x:c r="F28" s="50" t="str">
        <x:v>5,500+5,000。</x:v>
      </x:c>
    </x:row>
    <x:row r="29" ht="34" customHeight="1">
      <x:c r="A29" s="19" t="str">
        <x:v>C23_LRPRO_TOTAL_MID</x:v>
      </x:c>
      <x:c r="B29" s="19" t="str">
        <x:v>YU7长续航→Pro含覆盖项中情景</x:v>
      </x:c>
      <x:c r="C29" s="57" t="n">
        <x:v>10867.5</x:v>
      </x:c>
      <x:c r="D29" s="60" t="n">
        <x:f>'04_售价成本校准'!$L$10</x:f>
        <x:v>10867.5</x:v>
      </x:c>
      <x:c r="E29" s="19" t="str">
        <x:f>IF(ABS(D29-C29)&lt;0.001,"PASS","FAIL")</x:f>
        <x:v>PASS</x:v>
      </x:c>
      <x:c r="F29" s="19" t="str">
        <x:v>制造2%+质保1.5%，均以物理BOM为基数。</x:v>
      </x:c>
    </x:row>
    <x:row r="30" ht="34" customHeight="1">
      <x:c r="A30" s="50" t="str">
        <x:v>C24_FINAL_RULE_COUNT</x:v>
      </x:c>
      <x:c r="B30" s="50" t="str">
        <x:v>通过规则数</x:v>
      </x:c>
      <x:c r="C30" s="57" t="n">
        <x:v>16</x:v>
      </x:c>
      <x:c r="D30" s="61" t="n">
        <x:f>COUNTIF('08_防重规则'!$H$7:$H$22,"PASS")</x:f>
        <x:v>16</x:v>
      </x:c>
      <x:c r="E30" s="50" t="str">
        <x:f>IF(ABS(D30-C30)&lt;0.001,"PASS","FAIL")</x:f>
        <x:v>PASS</x:v>
      </x:c>
      <x:c r="F30" s="50" t="str">
        <x:v>全部规则通过。</x:v>
      </x:c>
    </x:row>
  </x:sheetData>
  <x:mergeCells>
    <x:mergeCell ref="A1:F1"/>
    <x:mergeCell ref="A2:F2"/>
    <x:mergeCell ref="A3:F3"/>
  </x:mergeCells>
  <x:conditionalFormatting sqref="E7:E30">
    <x:cfRule type="containsText" dxfId="44" priority="1" operator="containsText" text="PASS"/>
    <x:cfRule type="containsText" dxfId="45" priority="2" operator="containsText" text="FAIL"/>
    <x:cfRule type="containsText" dxfId="46" priority="3" operator="containsText" text="READY"/>
    <x:cfRule type="containsText" dxfId="47" priority="4" operator="containsText" text="REVIEW"/>
  </x:conditionalFormatting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0" hidden="0" customWidth="1"/>
    <x:col min="3" max="3" width="24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20" hidden="0" customWidth="1"/>
    <x:col min="10" max="10" width="17" hidden="0" customWidth="1"/>
    <x:col min="11" max="11" width="16" hidden="0" customWidth="1"/>
    <x:col min="12" max="12" width="18" hidden="0" customWidth="1"/>
    <x:col min="13" max="13" width="16" hidden="0" customWidth="1"/>
    <x:col min="14" max="14" width="16" hidden="0" customWidth="1"/>
    <x:col min="15" max="15" width="23" hidden="0" customWidth="1"/>
    <x:col min="16" max="16" width="14" hidden="0" customWidth="1"/>
  </x:cols>
  <x:sheetData>
    <x:row r="1" ht="30" customHeight="1">
      <x:c r="A1" s="75" t="str">
        <x:v>12｜Phase 2.2 车系内售价—成本桥接总览</x:v>
      </x:c>
      <x:c r="B1" s="75"/>
      <x:c r="C1" s="75"/>
      <x:c r="D1" s="75"/>
      <x:c r="E1" s="75"/>
      <x:c r="F1" s="75"/>
      <x:c r="G1" s="75"/>
      <x:c r="H1" s="75"/>
      <x:c r="I1" s="75"/>
      <x:c r="J1" s="75"/>
      <x:c r="K1" s="75"/>
      <x:c r="L1" s="75"/>
      <x:c r="M1" s="75"/>
      <x:c r="N1" s="75"/>
      <x:c r="O1" s="75"/>
      <x:c r="P1" s="75"/>
    </x:row>
    <x:row r="2" ht="22" customHeight="1">
      <x:c r="A2" s="78" t="str">
        <x:v>五座相邻版本桥｜SU7 2座 + YU7 3座｜价格口径为官方含税直营基础售价，成本口径继承Phase 2.1C签核</x:v>
      </x:c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</x:row>
    <x:row r="3" ht="40" customHeight="1">
      <x:c r="A3" s="82" t="str">
        <x:v>定价残余＝未税售价差－物理BOM－制造覆盖项－质保覆盖项。它是未计固定成本及期间费用前的未分配增量价差，不代表真实利润。</x:v>
      </x:c>
      <x:c r="B3" s="82"/>
      <x:c r="C3" s="82"/>
      <x:c r="D3" s="82"/>
      <x:c r="E3" s="82"/>
      <x:c r="F3" s="82"/>
      <x:c r="G3" s="82"/>
      <x:c r="H3" s="82"/>
      <x:c r="I3" s="82"/>
      <x:c r="J3" s="82"/>
      <x:c r="K3" s="82"/>
      <x:c r="L3" s="82"/>
      <x:c r="M3" s="82"/>
      <x:c r="N3" s="82"/>
      <x:c r="O3" s="82"/>
      <x:c r="P3" s="82"/>
    </x:row>
    <x:row r="5" ht="42" customHeight="1">
      <x:c r="A5" s="86" t="str">
        <x:v>核心结论：中情景五座桥均保留正定价残余；YU7长续航版→Pro为12,495.33元（占未税价差53.48%），明显高于其余四桥。高情景有4桥穿透售价差，属于成本上界压力测试。</x:v>
      </x:c>
      <x:c r="B5" s="86"/>
      <x:c r="C5" s="86"/>
      <x:c r="D5" s="86"/>
      <x:c r="E5" s="86"/>
      <x:c r="F5" s="86"/>
      <x:c r="G5" s="86"/>
      <x:c r="H5" s="86"/>
      <x:c r="I5" s="86"/>
      <x:c r="J5" s="86"/>
      <x:c r="K5" s="86"/>
      <x:c r="L5" s="86"/>
      <x:c r="M5" s="86"/>
      <x:c r="N5" s="86"/>
      <x:c r="O5" s="86"/>
      <x:c r="P5" s="86"/>
    </x:row>
    <x:row r="7" ht="38" customHeight="1">
      <x:c r="A7" s="91" t="str">
        <x:v>bridge_id</x:v>
      </x:c>
      <x:c r="B7" s="91" t="str">
        <x:v>车系</x:v>
      </x:c>
      <x:c r="C7" s="91" t="str">
        <x:v>相邻升级</x:v>
      </x:c>
      <x:c r="D7" s="91" t="str">
        <x:v>含税售价差</x:v>
      </x:c>
      <x:c r="E7" s="91" t="str">
        <x:v>未税售价差</x:v>
      </x:c>
      <x:c r="F7" s="91" t="str">
        <x:v>物理BOM_中</x:v>
      </x:c>
      <x:c r="G7" s="91" t="str">
        <x:v>制造覆盖_中</x:v>
      </x:c>
      <x:c r="H7" s="91" t="str">
        <x:v>质保覆盖_中</x:v>
      </x:c>
      <x:c r="I7" s="91" t="str">
        <x:v>总增量变动成本_中</x:v>
      </x:c>
      <x:c r="J7" s="91" t="str">
        <x:v>定价残余_中</x:v>
      </x:c>
      <x:c r="K7" s="91" t="str">
        <x:v>成本覆盖率_中</x:v>
      </x:c>
      <x:c r="L7" s="91" t="str">
        <x:v>贡献空间占比_中</x:v>
      </x:c>
      <x:c r="M7" s="91" t="str">
        <x:v>定价残余_低</x:v>
      </x:c>
      <x:c r="N7" s="91" t="str">
        <x:v>定价残余_高</x:v>
      </x:c>
      <x:c r="O7" s="91" t="str">
        <x:v>高情景信号</x:v>
      </x:c>
      <x:c r="P7" s="91" t="str">
        <x:v>边界签核</x:v>
      </x:c>
    </x:row>
    <x:row r="8" ht="42" customHeight="1">
      <x:c r="A8" s="19" t="str">
        <x:v>BR-SU7-STD-PRO</x:v>
      </x:c>
      <x:c r="B8" s="19" t="str">
        <x:v>SU7</x:v>
      </x:c>
      <x:c r="C8" s="19" t="str">
        <x:v>标准版 → Pro</x:v>
      </x:c>
      <x:c r="D8" s="21" t="n">
        <x:f>'04_售价成本校准'!$E$7</x:f>
        <x:v>30000</x:v>
      </x:c>
      <x:c r="E8" s="21" t="n">
        <x:f>'04_售价成本校准'!$G$7</x:f>
        <x:v>26548.67</x:v>
      </x:c>
      <x:c r="F8" s="96" t="n">
        <x:f>'04_售价成本校准'!$I$7</x:f>
        <x:v>21014</x:v>
      </x:c>
      <x:c r="G8" s="96" t="n">
        <x:f>SUMIFS('03_模块汇总'!$E$7:$E$56,'03_模块汇总'!$A$7:$A$56,$A8,'03_模块汇总'!$C$7:$C$56,"M09_MANUFACTURING")</x:f>
        <x:v>420.28</x:v>
      </x:c>
      <x:c r="H8" s="96" t="n">
        <x:f>SUMIFS('03_模块汇总'!$E$7:$E$56,'03_模块汇总'!$A$7:$A$56,$A8,'03_模块汇总'!$C$7:$C$56,"M10_WARRANTY")</x:f>
        <x:v>315.21</x:v>
      </x:c>
      <x:c r="I8" s="21" t="n">
        <x:f>ROUND(SUM(F8:H8),2)</x:f>
        <x:v>21749.49</x:v>
      </x:c>
      <x:c r="J8" s="97" t="n">
        <x:f>ROUND(E8-I8,2)</x:f>
        <x:v>4799.18</x:v>
      </x:c>
      <x:c r="K8" s="98" t="n">
        <x:f>IF(E8=0,0,I8/E8)</x:f>
        <x:v>0.8192308691923175</x:v>
      </x:c>
      <x:c r="L8" s="98" t="n">
        <x:f>IF(E8=0,0,J8/E8)</x:f>
        <x:v>0.18076913080768267</x:v>
      </x:c>
      <x:c r="M8" s="21" t="n">
        <x:f>'04_售价成本校准'!$Q$7</x:f>
        <x:v>9039.92</x:v>
      </x:c>
      <x:c r="N8" s="21" t="n">
        <x:f>'04_售价成本校准'!$S$7</x:f>
        <x:v>-569.41</x:v>
      </x:c>
      <x:c r="O8" s="19" t="str">
        <x:f>IF(N8&lt;0,"UPPER_BOUND_BREAK","WITHIN_GAP")</x:f>
        <x:v>UPPER_BOUND_BREAK</x:v>
      </x:c>
      <x:c r="P8" s="19" t="str">
        <x:f>'10_桥接签字表'!$I$7</x:f>
        <x:v>PASS</x:v>
      </x:c>
    </x:row>
    <x:row r="9" ht="42" customHeight="1">
      <x:c r="A9" s="92" t="str">
        <x:v>BR-SU7-PRO-MAX</x:v>
      </x:c>
      <x:c r="B9" s="92" t="str">
        <x:v>SU7</x:v>
      </x:c>
      <x:c r="C9" s="92" t="str">
        <x:v>Pro → Max</x:v>
      </x:c>
      <x:c r="D9" s="93" t="n">
        <x:f>'04_售价成本校准'!$E$8</x:f>
        <x:v>54000</x:v>
      </x:c>
      <x:c r="E9" s="93" t="n">
        <x:f>'04_售价成本校准'!$G$8</x:f>
        <x:v>47787.61</x:v>
      </x:c>
      <x:c r="F9" s="96" t="n">
        <x:f>'04_售价成本校准'!$I$8</x:f>
        <x:v>45026</x:v>
      </x:c>
      <x:c r="G9" s="96" t="n">
        <x:f>SUMIFS('03_模块汇总'!$E$7:$E$56,'03_模块汇总'!$A$7:$A$56,$A9,'03_模块汇总'!$C$7:$C$56,"M09_MANUFACTURING")</x:f>
        <x:v>900.52</x:v>
      </x:c>
      <x:c r="H9" s="96" t="n">
        <x:f>SUMIFS('03_模块汇总'!$E$7:$E$56,'03_模块汇总'!$A$7:$A$56,$A9,'03_模块汇总'!$C$7:$C$56,"M10_WARRANTY")</x:f>
        <x:v>675.39</x:v>
      </x:c>
      <x:c r="I9" s="93" t="n">
        <x:f>ROUND(SUM(F9:H9),2)</x:f>
        <x:v>46601.91</x:v>
      </x:c>
      <x:c r="J9" s="97" t="n">
        <x:f>ROUND(E9-I9,2)</x:f>
        <x:v>1185.7</x:v>
      </x:c>
      <x:c r="K9" s="98" t="n">
        <x:f>IF(E9=0,0,I9/E9)</x:f>
        <x:v>0.9751881293079944</x:v>
      </x:c>
      <x:c r="L9" s="98" t="n">
        <x:f>IF(E9=0,0,J9/E9)</x:f>
        <x:v>0.02481187069200573</x:v>
      </x:c>
      <x:c r="M9" s="93" t="n">
        <x:f>'04_售价成本校准'!$Q$8</x:f>
        <x:v>12753.87</x:v>
      </x:c>
      <x:c r="N9" s="93" t="n">
        <x:f>'04_售价成本校准'!$S$8</x:f>
        <x:v>-12920.98</x:v>
      </x:c>
      <x:c r="O9" s="92" t="str">
        <x:f>IF(N9&lt;0,"UPPER_BOUND_BREAK","WITHIN_GAP")</x:f>
        <x:v>UPPER_BOUND_BREAK</x:v>
      </x:c>
      <x:c r="P9" s="92" t="str">
        <x:f>'10_桥接签字表'!$I$8</x:f>
        <x:v>PASS</x:v>
      </x:c>
    </x:row>
    <x:row r="10" ht="42" customHeight="1">
      <x:c r="A10" s="19" t="str">
        <x:v>BR-YU7-STD-LR</x:v>
      </x:c>
      <x:c r="B10" s="19" t="str">
        <x:v>YU7</x:v>
      </x:c>
      <x:c r="C10" s="19" t="str">
        <x:v>标准版 → 长续航版</x:v>
      </x:c>
      <x:c r="D10" s="21" t="n">
        <x:f>'04_售价成本校准'!$E$9</x:f>
        <x:v>20000</x:v>
      </x:c>
      <x:c r="E10" s="21" t="n">
        <x:f>'04_售价成本校准'!$G$9</x:f>
        <x:v>17699.12</x:v>
      </x:c>
      <x:c r="F10" s="96" t="n">
        <x:f>'04_售价成本校准'!$I$9</x:f>
        <x:v>16614</x:v>
      </x:c>
      <x:c r="G10" s="96" t="n">
        <x:f>SUMIFS('03_模块汇总'!$E$7:$E$56,'03_模块汇总'!$A$7:$A$56,$A10,'03_模块汇总'!$C$7:$C$56,"M09_MANUFACTURING")</x:f>
        <x:v>332.28</x:v>
      </x:c>
      <x:c r="H10" s="96" t="n">
        <x:f>SUMIFS('03_模块汇总'!$E$7:$E$56,'03_模块汇总'!$A$7:$A$56,$A10,'03_模块汇总'!$C$7:$C$56,"M10_WARRANTY")</x:f>
        <x:v>249.21</x:v>
      </x:c>
      <x:c r="I10" s="21" t="n">
        <x:f>ROUND(SUM(F10:H10),2)</x:f>
        <x:v>17195.49</x:v>
      </x:c>
      <x:c r="J10" s="97" t="n">
        <x:f>ROUND(E10-I10,2)</x:f>
        <x:v>503.63</x:v>
      </x:c>
      <x:c r="K10" s="98" t="n">
        <x:f>IF(E10=0,0,I10/E10)</x:f>
        <x:v>0.9715449129674245</x:v>
      </x:c>
      <x:c r="L10" s="98" t="n">
        <x:f>IF(E10=0,0,J10/E10)</x:f>
        <x:v>0.028455087032575634</x:v>
      </x:c>
      <x:c r="M10" s="21" t="n">
        <x:f>'04_售价成本校准'!$Q$9</x:f>
        <x:v>3641.37</x:v>
      </x:c>
      <x:c r="N10" s="21" t="n">
        <x:f>'04_售价成本校准'!$S$9</x:f>
        <x:v>-3587.46</x:v>
      </x:c>
      <x:c r="O10" s="19" t="str">
        <x:f>IF(N10&lt;0,"UPPER_BOUND_BREAK","WITHIN_GAP")</x:f>
        <x:v>UPPER_BOUND_BREAK</x:v>
      </x:c>
      <x:c r="P10" s="19" t="str">
        <x:f>'10_桥接签字表'!$I$9</x:f>
        <x:v>PASS</x:v>
      </x:c>
    </x:row>
    <x:row r="11" ht="42" customHeight="1">
      <x:c r="A11" s="92" t="str">
        <x:v>BR-YU7-LR-PRO</x:v>
      </x:c>
      <x:c r="B11" s="92" t="str">
        <x:v>YU7</x:v>
      </x:c>
      <x:c r="C11" s="92" t="str">
        <x:v>长续航版 → Pro</x:v>
      </x:c>
      <x:c r="D11" s="93" t="n">
        <x:f>'04_售价成本校准'!$E$10</x:f>
        <x:v>26400</x:v>
      </x:c>
      <x:c r="E11" s="93" t="n">
        <x:f>'04_售价成本校准'!$G$10</x:f>
        <x:v>23362.83</x:v>
      </x:c>
      <x:c r="F11" s="96" t="n">
        <x:f>'04_售价成本校准'!$I$10</x:f>
        <x:v>10500</x:v>
      </x:c>
      <x:c r="G11" s="96" t="n">
        <x:f>SUMIFS('03_模块汇总'!$E$7:$E$56,'03_模块汇总'!$A$7:$A$56,$A11,'03_模块汇总'!$C$7:$C$56,"M09_MANUFACTURING")</x:f>
        <x:v>210</x:v>
      </x:c>
      <x:c r="H11" s="96" t="n">
        <x:f>SUMIFS('03_模块汇总'!$E$7:$E$56,'03_模块汇总'!$A$7:$A$56,$A11,'03_模块汇总'!$C$7:$C$56,"M10_WARRANTY")</x:f>
        <x:v>157.5</x:v>
      </x:c>
      <x:c r="I11" s="93" t="n">
        <x:f>ROUND(SUM(F11:H11),2)</x:f>
        <x:v>10867.5</x:v>
      </x:c>
      <x:c r="J11" s="97" t="n">
        <x:f>ROUND(E11-I11,2)</x:f>
        <x:v>12495.33</x:v>
      </x:c>
      <x:c r="K11" s="98" t="n">
        <x:f>IF(E11=0,0,I11/E11)</x:f>
        <x:v>0.465161968819702</x:v>
      </x:c>
      <x:c r="L11" s="98" t="n">
        <x:f>IF(E11=0,0,J11/E11)</x:f>
        <x:v>0.5348380311802979</x:v>
      </x:c>
      <x:c r="M11" s="93" t="n">
        <x:f>'04_售价成本校准'!$Q$10</x:f>
        <x:v>15445.83</x:v>
      </x:c>
      <x:c r="N11" s="93" t="n">
        <x:f>'04_售价成本校准'!$S$10</x:f>
        <x:v>8596.83</x:v>
      </x:c>
      <x:c r="O11" s="92" t="str">
        <x:f>IF(N11&lt;0,"UPPER_BOUND_BREAK","WITHIN_GAP")</x:f>
        <x:v>WITHIN_GAP</x:v>
      </x:c>
      <x:c r="P11" s="92" t="str">
        <x:f>'10_桥接签字表'!$I$10</x:f>
        <x:v>PASS</x:v>
      </x:c>
    </x:row>
    <x:row r="12" ht="42" customHeight="1">
      <x:c r="A12" s="19" t="str">
        <x:v>BR-YU7-PRO-MAX</x:v>
      </x:c>
      <x:c r="B12" s="19" t="str">
        <x:v>YU7</x:v>
      </x:c>
      <x:c r="C12" s="19" t="str">
        <x:v>Pro → Max</x:v>
      </x:c>
      <x:c r="D12" s="21" t="n">
        <x:f>'04_售价成本校准'!$E$11</x:f>
        <x:v>50000</x:v>
      </x:c>
      <x:c r="E12" s="21" t="n">
        <x:f>'04_售价成本校准'!$G$11</x:f>
        <x:v>44247.79</x:v>
      </x:c>
      <x:c r="F12" s="96" t="n">
        <x:f>'04_售价成本校准'!$I$11</x:f>
        <x:v>38526</x:v>
      </x:c>
      <x:c r="G12" s="96" t="n">
        <x:f>SUMIFS('03_模块汇总'!$E$7:$E$56,'03_模块汇总'!$A$7:$A$56,$A12,'03_模块汇总'!$C$7:$C$56,"M09_MANUFACTURING")</x:f>
        <x:v>770.52</x:v>
      </x:c>
      <x:c r="H12" s="96" t="n">
        <x:f>SUMIFS('03_模块汇总'!$E$7:$E$56,'03_模块汇总'!$A$7:$A$56,$A12,'03_模块汇总'!$C$7:$C$56,"M10_WARRANTY")</x:f>
        <x:v>577.89</x:v>
      </x:c>
      <x:c r="I12" s="21" t="n">
        <x:f>ROUND(SUM(F12:H12),2)</x:f>
        <x:v>39874.41</x:v>
      </x:c>
      <x:c r="J12" s="97" t="n">
        <x:f>ROUND(E12-I12,2)</x:f>
        <x:v>4373.38</x:v>
      </x:c>
      <x:c r="K12" s="98" t="n">
        <x:f>IF(E12=0,0,I12/E12)</x:f>
        <x:v>0.9011616173372727</x:v>
      </x:c>
      <x:c r="L12" s="98" t="n">
        <x:f>IF(E12=0,0,J12/E12)</x:f>
        <x:v>0.09883838266272733</x:v>
      </x:c>
      <x:c r="M12" s="21" t="n">
        <x:f>'04_售价成本校准'!$Q$11</x:f>
        <x:v>14136.8</x:v>
      </x:c>
      <x:c r="N12" s="21" t="n">
        <x:f>'04_售价成本校准'!$S$11</x:f>
        <x:v>-7216</x:v>
      </x:c>
      <x:c r="O12" s="19" t="str">
        <x:f>IF(N12&lt;0,"UPPER_BOUND_BREAK","WITHIN_GAP")</x:f>
        <x:v>UPPER_BOUND_BREAK</x:v>
      </x:c>
      <x:c r="P12" s="19" t="str">
        <x:f>'10_桥接签字表'!$I$11</x:f>
        <x:v>PASS</x:v>
      </x:c>
    </x:row>
    <x:row r="16" ht="38" customHeight="1">
      <x:c r="A16" s="91" t="str">
        <x:v>车系</x:v>
      </x:c>
      <x:c r="B16" s="91" t="str">
        <x:v>版本</x:v>
      </x:c>
      <x:c r="C16" s="91" t="str">
        <x:v>sample_id</x:v>
      </x:c>
      <x:c r="D16" s="91" t="str">
        <x:v>官方含税直营基础售价</x:v>
      </x:c>
      <x:c r="E16" s="91" t="str">
        <x:v>未税基础售价</x:v>
      </x:c>
      <x:c r="F16" s="91" t="str">
        <x:v>价格口径/来源</x:v>
      </x:c>
      <x:c r="H16" s="91" t="str">
        <x:v>车系</x:v>
      </x:c>
      <x:c r="I16" s="91" t="str">
        <x:v>累计含税价差</x:v>
      </x:c>
      <x:c r="J16" s="91" t="str">
        <x:v>累计未税价差</x:v>
      </x:c>
      <x:c r="K16" s="91" t="str">
        <x:v>总成本_低</x:v>
      </x:c>
      <x:c r="L16" s="91" t="str">
        <x:v>总成本_中</x:v>
      </x:c>
      <x:c r="M16" s="91" t="str">
        <x:v>总成本_高</x:v>
      </x:c>
      <x:c r="N16" s="91" t="str">
        <x:v>残余_低</x:v>
      </x:c>
      <x:c r="O16" s="91" t="str">
        <x:v>残余_中</x:v>
      </x:c>
      <x:c r="P16" s="91" t="str">
        <x:v>残余_高</x:v>
      </x:c>
    </x:row>
    <x:row r="17" ht="38" customHeight="1">
      <x:c r="A17" s="19" t="str">
        <x:v>SU7</x:v>
      </x:c>
      <x:c r="B17" s="19" t="str">
        <x:v>标准版</x:v>
      </x:c>
      <x:c r="C17" s="19" t="str">
        <x:v>SU7-G2-STD</x:v>
      </x:c>
      <x:c r="D17" s="100" t="n">
        <x:v>219900</x:v>
      </x:c>
      <x:c r="E17" s="21" t="n">
        <x:f>ROUND(D17/(1+$B$27),2)</x:f>
        <x:v>194601.77</x:v>
      </x:c>
      <x:c r="F17" s="19" t="str">
        <x:v>截至2026-07-31官方在售正式价</x:v>
      </x:c>
      <x:c r="H17" s="19" t="str">
        <x:v>SU7</x:v>
      </x:c>
      <x:c r="I17" s="21" t="n">
        <x:f>ROUND(SUMIF($B$8:$B$12,H17,$D$8:$D$12),2)</x:f>
        <x:v>84000</x:v>
      </x:c>
      <x:c r="J17" s="21" t="n">
        <x:f>ROUND(SUMIF($B$8:$B$12,H17,$E$8:$E$12),2)</x:f>
        <x:v>74336.28</x:v>
      </x:c>
      <x:c r="K17" s="21" t="n">
        <x:f>ROUND(SUMIF('04_售价成本校准'!$B$7:$B$11,H17,'04_售价成本校准'!$K$7:$K$11),2)</x:f>
        <x:v>52542.49</x:v>
      </x:c>
      <x:c r="L17" s="99" t="n">
        <x:f>ROUND(SUMIF('04_售价成本校准'!$B$7:$B$11,H17,'04_售价成本校准'!$L$7:$L$11),2)</x:f>
        <x:v>68351.4</x:v>
      </x:c>
      <x:c r="M17" s="21" t="n">
        <x:f>ROUND(SUMIF('04_售价成本校准'!$B$7:$B$11,H17,'04_售价成本校准'!$M$7:$M$11),2)</x:f>
        <x:v>87826.67</x:v>
      </x:c>
      <x:c r="N17" s="21" t="n">
        <x:f>ROUND(J17-K17,2)</x:f>
        <x:v>21793.79</x:v>
      </x:c>
      <x:c r="O17" s="97" t="n">
        <x:f>ROUND(J17-L17,2)</x:f>
        <x:v>5984.88</x:v>
      </x:c>
      <x:c r="P17" s="21" t="n">
        <x:f>ROUND(J17-M17,2)</x:f>
        <x:v>-13490.39</x:v>
      </x:c>
    </x:row>
    <x:row r="18" ht="38" customHeight="1">
      <x:c r="A18" s="92" t="str">
        <x:v>SU7</x:v>
      </x:c>
      <x:c r="B18" s="92" t="str">
        <x:v>Pro</x:v>
      </x:c>
      <x:c r="C18" s="92" t="str">
        <x:v>SU7-G2-PRO</x:v>
      </x:c>
      <x:c r="D18" s="101" t="n">
        <x:v>249900</x:v>
      </x:c>
      <x:c r="E18" s="93" t="n">
        <x:f>ROUND(D18/(1+$B$27),2)</x:f>
        <x:v>221150.44</x:v>
      </x:c>
      <x:c r="F18" s="92" t="str">
        <x:v>截至2026-07-31官方在售正式价</x:v>
      </x:c>
      <x:c r="G18" s="102"/>
      <x:c r="H18" s="92" t="str">
        <x:v>YU7</x:v>
      </x:c>
      <x:c r="I18" s="93" t="n">
        <x:f>ROUND(SUMIF($B$8:$B$12,H18,$D$8:$D$12),2)</x:f>
        <x:v>96400</x:v>
      </x:c>
      <x:c r="J18" s="93" t="n">
        <x:f>ROUND(SUMIF($B$8:$B$12,H18,$E$8:$E$12),2)</x:f>
        <x:v>85309.74</x:v>
      </x:c>
      <x:c r="K18" s="93" t="n">
        <x:f>ROUND(SUMIF('04_售价成本校准'!$B$7:$B$11,H18,'04_售价成本校准'!$K$7:$K$11),2)</x:f>
        <x:v>52085.74</x:v>
      </x:c>
      <x:c r="L18" s="99" t="n">
        <x:f>ROUND(SUMIF('04_售价成本校准'!$B$7:$B$11,H18,'04_售价成本校准'!$L$7:$L$11),2)</x:f>
        <x:v>67937.4</x:v>
      </x:c>
      <x:c r="M18" s="93" t="n">
        <x:f>ROUND(SUMIF('04_售价成本校准'!$B$7:$B$11,H18,'04_售价成本校准'!$M$7:$M$11),2)</x:f>
        <x:v>87516.37</x:v>
      </x:c>
      <x:c r="N18" s="93" t="n">
        <x:f>ROUND(J18-K18,2)</x:f>
        <x:v>33224</x:v>
      </x:c>
      <x:c r="O18" s="97" t="n">
        <x:f>ROUND(J18-L18,2)</x:f>
        <x:v>17372.34</x:v>
      </x:c>
      <x:c r="P18" s="93" t="n">
        <x:f>ROUND(J18-M18,2)</x:f>
        <x:v>-2206.63</x:v>
      </x:c>
    </x:row>
    <x:row r="19" ht="34" customHeight="1">
      <x:c r="A19" s="19" t="str">
        <x:v>SU7</x:v>
      </x:c>
      <x:c r="B19" s="19" t="str">
        <x:v>Max</x:v>
      </x:c>
      <x:c r="C19" s="19" t="str">
        <x:v>SU7-G2-MAX</x:v>
      </x:c>
      <x:c r="D19" s="100" t="n">
        <x:v>303900</x:v>
      </x:c>
      <x:c r="E19" s="21" t="n">
        <x:f>ROUND(D19/(1+$B$27),2)</x:f>
        <x:v>268938.05</x:v>
      </x:c>
      <x:c r="F19" s="19" t="str">
        <x:v>截至2026-07-31官方在售正式价</x:v>
      </x:c>
    </x:row>
    <x:row r="20" ht="34" customHeight="1">
      <x:c r="A20" s="92" t="str">
        <x:v>YU7</x:v>
      </x:c>
      <x:c r="B20" s="92" t="str">
        <x:v>标准版</x:v>
      </x:c>
      <x:c r="C20" s="92" t="str">
        <x:v>YU7-G1-STD</x:v>
      </x:c>
      <x:c r="D20" s="100" t="n">
        <x:v>233500</x:v>
      </x:c>
      <x:c r="E20" s="93" t="n">
        <x:f>ROUND(D20/(1+$B$27),2)</x:f>
        <x:v>206637.17</x:v>
      </x:c>
      <x:c r="F20" s="92" t="str">
        <x:v>截至2026-07-31官方配置器普通梯度</x:v>
      </x:c>
    </x:row>
    <x:row r="21" ht="48" customHeight="1">
      <x:c r="A21" s="19" t="str">
        <x:v>YU7</x:v>
      </x:c>
      <x:c r="B21" s="19" t="str">
        <x:v>长续航版</x:v>
      </x:c>
      <x:c r="C21" s="19" t="str">
        <x:v>YU7-G1-LR</x:v>
      </x:c>
      <x:c r="D21" s="100" t="n">
        <x:v>253500</x:v>
      </x:c>
      <x:c r="E21" s="21" t="n">
        <x:f>ROUND(D21/(1+$B$27),2)</x:f>
        <x:v>224336.28</x:v>
      </x:c>
      <x:c r="F21" s="19" t="str">
        <x:v>截至2026-07-31官方配置器普通梯度</x:v>
      </x:c>
      <x:c r="H21" s="109" t="str">
        <x:v>读法：中情景用于比较版本梯度；Low/High是估值边界。High出现负残余，含义是成本上界穿透未税价差，不等于实际单车亏损。</x:v>
      </x:c>
      <x:c r="I21" s="109"/>
      <x:c r="J21" s="109"/>
      <x:c r="K21" s="109"/>
      <x:c r="L21" s="109"/>
      <x:c r="M21" s="109"/>
      <x:c r="N21" s="109"/>
      <x:c r="O21" s="109"/>
      <x:c r="P21" s="109"/>
    </x:row>
    <x:row r="22" ht="34" customHeight="1">
      <x:c r="A22" s="92" t="str">
        <x:v>YU7</x:v>
      </x:c>
      <x:c r="B22" s="92" t="str">
        <x:v>Pro</x:v>
      </x:c>
      <x:c r="C22" s="92" t="str">
        <x:v>YU7-G1-PRO</x:v>
      </x:c>
      <x:c r="D22" s="100" t="n">
        <x:v>279900</x:v>
      </x:c>
      <x:c r="E22" s="93" t="n">
        <x:f>ROUND(D22/(1+$B$27),2)</x:f>
        <x:v>247699.12</x:v>
      </x:c>
      <x:c r="F22" s="92" t="str">
        <x:v>截至2026-07-31官方配置器普通梯度</x:v>
      </x:c>
    </x:row>
    <x:row r="23" ht="34" customHeight="1">
      <x:c r="A23" s="19" t="str">
        <x:v>YU7</x:v>
      </x:c>
      <x:c r="B23" s="19" t="str">
        <x:v>Max</x:v>
      </x:c>
      <x:c r="C23" s="19" t="str">
        <x:v>YU7-G1-MAX</x:v>
      </x:c>
      <x:c r="D23" s="100" t="n">
        <x:v>329900</x:v>
      </x:c>
      <x:c r="E23" s="21" t="n">
        <x:f>ROUND(D23/(1+$B$27),2)</x:f>
        <x:v>291946.9</x:v>
      </x:c>
      <x:c r="F23" s="19" t="str">
        <x:v>截至2026-07-31官方配置器普通梯度</x:v>
      </x:c>
    </x:row>
    <x:row r="26" ht="38" customHeight="1">
      <x:c r="A26" s="91" t="str">
        <x:v>模型控制</x:v>
      </x:c>
      <x:c r="B26" s="91" t="str">
        <x:v>值</x:v>
      </x:c>
      <x:c r="C26" s="91" t="str">
        <x:v>说明</x:v>
      </x:c>
    </x:row>
    <x:row r="27" ht="34" customHeight="1">
      <x:c r="A27" s="19" t="str">
        <x:v>增值税率</x:v>
      </x:c>
      <x:c r="B27" s="105" t="n">
        <x:f>'04_售价成本校准'!$F$7</x:f>
        <x:v>0.13</x:v>
      </x:c>
      <x:c r="C27" s="19" t="str">
        <x:v>全模型统一13%；未税价差按含税价差÷1.13</x:v>
      </x:c>
    </x:row>
    <x:row r="28" ht="34" customHeight="1">
      <x:c r="A28" s="92" t="str">
        <x:v>数据截点</x:v>
      </x:c>
      <x:c r="B28" s="92" t="str">
        <x:v>2026-07-31</x:v>
      </x:c>
      <x:c r="C28" s="92" t="str">
        <x:v>售价与配置冻结日</x:v>
      </x:c>
    </x:row>
    <x:row r="29" ht="34" customHeight="1">
      <x:c r="A29" s="19" t="str">
        <x:v>GT进入普通梯度</x:v>
      </x:c>
      <x:c r="B29" s="106" t="n">
        <x:v>0</x:v>
      </x:c>
      <x:c r="C29" s="19" t="str">
        <x:v>GT为独立高性能留出样本，不进入本阶段</x:v>
      </x:c>
    </x:row>
  </x:sheetData>
  <x:mergeCells>
    <x:mergeCell ref="A1:P1"/>
    <x:mergeCell ref="A2:P2"/>
    <x:mergeCell ref="A3:P3"/>
    <x:mergeCell ref="A5:P5"/>
    <x:mergeCell ref="H21:P21"/>
  </x:mergeCells>
  <x:conditionalFormatting sqref="J8:J12">
    <x:cfRule type="cellIs" dxfId="52" priority="1" operator="lessThan">
      <x:formula>0</x:formula>
    </x:cfRule>
  </x:conditionalFormatting>
  <x:conditionalFormatting sqref="M8:N12">
    <x:cfRule type="cellIs" dxfId="53" priority="2" operator="lessThan">
      <x:formula>0</x:formula>
    </x:cfRule>
  </x:conditionalFormatting>
  <x:conditionalFormatting sqref="O8:P12">
    <x:cfRule type="containsText" dxfId="54" priority="3" operator="containsText" text="PASS"/>
    <x:cfRule type="containsText" dxfId="55" priority="4" operator="containsText" text="READY"/>
    <x:cfRule type="containsText" dxfId="56" priority="5" operator="containsText" text="WITHIN"/>
    <x:cfRule type="containsText" dxfId="57" priority="6" operator="containsText" text="FAIL"/>
    <x:cfRule type="containsText" dxfId="58" priority="7" operator="containsText" text="UPPER_BOUND_BREAK"/>
    <x:cfRule type="containsText" dxfId="59" priority="8" operator="containsText" text="REVIEW"/>
  </x:conditionalFormatting>
  <x:conditionalFormatting sqref="N17:P18">
    <x:cfRule type="cellIs" dxfId="60" priority="9" operator="lessThan">
      <x:formula>0</x:formula>
    </x:cfRule>
  </x:conditionalFormatting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7" hidden="0" customWidth="1"/>
    <x:col min="3" max="3" width="17" hidden="0" customWidth="1"/>
    <x:col min="4" max="4" width="18" hidden="0" customWidth="1"/>
    <x:col min="5" max="5" width="15" hidden="0" customWidth="1"/>
    <x:col min="6" max="6" width="14" hidden="0" customWidth="1"/>
    <x:col min="7" max="7" width="14" hidden="0" customWidth="1"/>
    <x:col min="8" max="8" width="17" hidden="0" customWidth="1"/>
    <x:col min="9" max="9" width="16" hidden="0" customWidth="1"/>
    <x:col min="10" max="10" width="15" hidden="0" customWidth="1"/>
    <x:col min="11" max="11" width="17" hidden="0" customWidth="1"/>
    <x:col min="12" max="12" width="3" hidden="0" customWidth="1"/>
    <x:col min="13" max="13" width="12" hidden="0" customWidth="1"/>
    <x:col min="14" max="14" width="12" hidden="0" customWidth="1"/>
    <x:col min="15" max="15" width="12" hidden="0" customWidth="1"/>
    <x:col min="16" max="16" width="12" hidden="0" customWidth="1"/>
    <x:col min="17" max="17" width="12" hidden="0" customWidth="1"/>
    <x:col min="18" max="18" width="12" hidden="0" customWidth="1"/>
    <x:col min="19" max="19" width="12" hidden="0" customWidth="1"/>
    <x:col min="20" max="20" width="12" hidden="0" customWidth="1"/>
  </x:cols>
  <x:sheetData>
    <x:row r="1" ht="30" customHeight="1">
      <x:c r="A1" s="75" t="str">
        <x:v>13｜SU7 相邻版本售价—成本瀑布</x:v>
      </x:c>
      <x:c r="B1" s="75"/>
      <x:c r="C1" s="75"/>
      <x:c r="D1" s="75"/>
      <x:c r="E1" s="75"/>
      <x:c r="F1" s="75"/>
      <x:c r="G1" s="75"/>
      <x:c r="H1" s="75"/>
      <x:c r="I1" s="75"/>
      <x:c r="J1" s="75"/>
      <x:c r="K1" s="75"/>
      <x:c r="L1" s="75"/>
      <x:c r="M1" s="75"/>
      <x:c r="N1" s="75"/>
      <x:c r="O1" s="75"/>
      <x:c r="P1" s="75"/>
      <x:c r="Q1" s="75"/>
      <x:c r="R1" s="75"/>
      <x:c r="S1" s="75"/>
      <x:c r="T1" s="75"/>
    </x:row>
    <x:row r="2" ht="22" customHeight="1">
      <x:c r="A2" s="78" t="str">
        <x:v>2座相邻版本桥｜每座桥同时显示中情景构成与Low/Mid/High敏感性</x:v>
      </x:c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  <x:c r="S2" s="78"/>
      <x:c r="T2" s="78"/>
    </x:row>
    <x:row r="3" ht="40" customHeight="1">
      <x:c r="A3" s="82" t="str">
        <x:v>瀑布将中情景未税售价差拆为物理BOM、制造覆盖项、质保覆盖项和定价残余；四项之和必须等于未税售价差。</x:v>
      </x:c>
      <x:c r="B3" s="82"/>
      <x:c r="C3" s="82"/>
      <x:c r="D3" s="82"/>
      <x:c r="E3" s="82"/>
      <x:c r="F3" s="82"/>
      <x:c r="G3" s="82"/>
      <x:c r="H3" s="82"/>
      <x:c r="I3" s="82"/>
      <x:c r="J3" s="82"/>
      <x:c r="K3" s="82"/>
      <x:c r="L3" s="82"/>
      <x:c r="M3" s="82"/>
      <x:c r="N3" s="82"/>
      <x:c r="O3" s="82"/>
      <x:c r="P3" s="82"/>
      <x:c r="Q3" s="82"/>
      <x:c r="R3" s="82"/>
      <x:c r="S3" s="82"/>
      <x:c r="T3" s="82"/>
    </x:row>
    <x:row r="5" ht="26" customHeight="1">
      <x:c r="A5" s="112" t="str">
        <x:v>SU7 标准→Pro｜中情景与三情景拆分</x:v>
      </x:c>
      <x:c r="B5" s="112"/>
      <x:c r="C5" s="112"/>
      <x:c r="D5" s="112"/>
      <x:c r="E5" s="112"/>
      <x:c r="F5" s="112"/>
      <x:c r="G5" s="112"/>
      <x:c r="H5" s="112"/>
      <x:c r="I5" s="112"/>
      <x:c r="J5" s="112"/>
      <x:c r="K5" s="112"/>
    </x:row>
    <x:row r="6" ht="32" customHeight="1">
      <x:c r="A6" s="91" t="str">
        <x:v>中情景构成</x:v>
      </x:c>
      <x:c r="B6" s="91" t="str">
        <x:v>金额</x:v>
      </x:c>
      <x:c r="D6" s="91" t="str">
        <x:v>情景</x:v>
      </x:c>
      <x:c r="E6" s="91" t="str">
        <x:v>物理BOM</x:v>
      </x:c>
      <x:c r="F6" s="91" t="str">
        <x:v>制造覆盖</x:v>
      </x:c>
      <x:c r="G6" s="91" t="str">
        <x:v>质保覆盖</x:v>
      </x:c>
      <x:c r="H6" s="91" t="str">
        <x:v>总增量成本</x:v>
      </x:c>
      <x:c r="I6" s="91" t="str">
        <x:v>定价残余</x:v>
      </x:c>
      <x:c r="J6" s="91" t="str">
        <x:v>成本覆盖率</x:v>
      </x:c>
      <x:c r="K6" s="91" t="str">
        <x:v>贡献空间占比</x:v>
      </x:c>
    </x:row>
    <x:row r="7" ht="32" customHeight="1">
      <x:c r="A7" s="113" t="str">
        <x:v>物理BOM</x:v>
      </x:c>
      <x:c r="B7" s="96" t="n">
        <x:f>'04_售价成本校准'!$I$7</x:f>
        <x:v>21014</x:v>
      </x:c>
      <x:c r="D7" s="19" t="str">
        <x:v>Low</x:v>
      </x:c>
      <x:c r="E7" s="21" t="n">
        <x:f>'04_售价成本校准'!$H$7</x:f>
        <x:v>17250</x:v>
      </x:c>
      <x:c r="F7" s="21" t="n">
        <x:f>SUMIFS('03_模块汇总'!$D$7:$D$56,'03_模块汇总'!$A$7:$A$56,"BR-SU7-STD-PRO",'03_模块汇总'!$C$7:$C$56,"M09_MANUFACTURING")</x:f>
        <x:v>172.5</x:v>
      </x:c>
      <x:c r="G7" s="21" t="n">
        <x:f>SUMIFS('03_模块汇总'!$D$7:$D$56,'03_模块汇总'!$A$7:$A$56,"BR-SU7-STD-PRO",'03_模块汇总'!$C$7:$C$56,"M10_WARRANTY")</x:f>
        <x:v>86.25</x:v>
      </x:c>
      <x:c r="H7" s="21" t="n">
        <x:f>ROUND(SUM(E7:G7),2)</x:f>
        <x:v>17508.75</x:v>
      </x:c>
      <x:c r="I7" s="21" t="n">
        <x:f>ROUND('04_售价成本校准'!$G$7-H7,2)</x:f>
        <x:v>9039.92</x:v>
      </x:c>
      <x:c r="J7" s="94" t="n">
        <x:f>IF('04_售价成本校准'!$G$7=0,0,H7/'04_售价成本校准'!$G$7)</x:f>
        <x:v>0.6594963137513103</x:v>
      </x:c>
      <x:c r="K7" s="94" t="n">
        <x:f>IF('04_售价成本校准'!$G$7=0,0,I7/'04_售价成本校准'!$G$7)</x:f>
        <x:v>0.3405036862486897</x:v>
      </x:c>
    </x:row>
    <x:row r="8" ht="32" customHeight="1">
      <x:c r="A8" s="92" t="str">
        <x:v>制造覆盖项</x:v>
      </x:c>
      <x:c r="B8" s="93" t="n">
        <x:f>SUMIFS('03_模块汇总'!$E$7:$E$56,'03_模块汇总'!$A$7:$A$56,"BR-SU7-STD-PRO",'03_模块汇总'!$C$7:$C$56,"M09_MANUFACTURING")</x:f>
        <x:v>420.28</x:v>
      </x:c>
      <x:c r="C8" s="102"/>
      <x:c r="D8" s="103" t="str">
        <x:v>Mid</x:v>
      </x:c>
      <x:c r="E8" s="99" t="n">
        <x:f>'04_售价成本校准'!$I$7</x:f>
        <x:v>21014</x:v>
      </x:c>
      <x:c r="F8" s="99" t="n">
        <x:f>SUMIFS('03_模块汇总'!$E$7:$E$56,'03_模块汇总'!$A$7:$A$56,"BR-SU7-STD-PRO",'03_模块汇总'!$C$7:$C$56,"M09_MANUFACTURING")</x:f>
        <x:v>420.28</x:v>
      </x:c>
      <x:c r="G8" s="99" t="n">
        <x:f>SUMIFS('03_模块汇总'!$E$7:$E$56,'03_模块汇总'!$A$7:$A$56,"BR-SU7-STD-PRO",'03_模块汇总'!$C$7:$C$56,"M10_WARRANTY")</x:f>
        <x:v>315.21</x:v>
      </x:c>
      <x:c r="H8" s="99" t="n">
        <x:f>ROUND(SUM(E8:G8),2)</x:f>
        <x:v>21749.49</x:v>
      </x:c>
      <x:c r="I8" s="99" t="n">
        <x:f>ROUND('04_售价成本校准'!$G$7-H8,2)</x:f>
        <x:v>4799.18</x:v>
      </x:c>
      <x:c r="J8" s="98" t="n">
        <x:f>IF('04_售价成本校准'!$G$7=0,0,H8/'04_售价成本校准'!$G$7)</x:f>
        <x:v>0.8192308691923175</x:v>
      </x:c>
      <x:c r="K8" s="98" t="n">
        <x:f>IF('04_售价成本校准'!$G$7=0,0,I8/'04_售价成本校准'!$G$7)</x:f>
        <x:v>0.18076913080768267</x:v>
      </x:c>
    </x:row>
    <x:row r="9" ht="32" customHeight="1">
      <x:c r="A9" s="114" t="str">
        <x:v>质保覆盖项</x:v>
      </x:c>
      <x:c r="B9" s="116" t="n">
        <x:f>SUMIFS('03_模块汇总'!$E$7:$E$56,'03_模块汇总'!$A$7:$A$56,"BR-SU7-STD-PRO",'03_模块汇总'!$C$7:$C$56,"M10_WARRANTY")</x:f>
        <x:v>315.21</x:v>
      </x:c>
      <x:c r="D9" s="19" t="str">
        <x:v>High</x:v>
      </x:c>
      <x:c r="E9" s="21" t="n">
        <x:f>'04_售价成本校准'!$J$7</x:f>
        <x:v>25344</x:v>
      </x:c>
      <x:c r="F9" s="21" t="n">
        <x:f>SUMIFS('03_模块汇总'!$F$7:$F$56,'03_模块汇总'!$A$7:$A$56,"BR-SU7-STD-PRO",'03_模块汇总'!$C$7:$C$56,"M09_MANUFACTURING")</x:f>
        <x:v>1013.76</x:v>
      </x:c>
      <x:c r="G9" s="21" t="n">
        <x:f>SUMIFS('03_模块汇总'!$F$7:$F$56,'03_模块汇总'!$A$7:$A$56,"BR-SU7-STD-PRO",'03_模块汇总'!$C$7:$C$56,"M10_WARRANTY")</x:f>
        <x:v>760.32</x:v>
      </x:c>
      <x:c r="H9" s="21" t="n">
        <x:f>ROUND(SUM(E9:G9),2)</x:f>
        <x:v>27118.08</x:v>
      </x:c>
      <x:c r="I9" s="21" t="n">
        <x:f>ROUND('04_售价成本校准'!$G$7-H9,2)</x:f>
        <x:v>-569.41</x:v>
      </x:c>
      <x:c r="J9" s="94" t="n">
        <x:f>IF('04_售价成本校准'!$G$7=0,0,H9/'04_售价成本校准'!$G$7)</x:f>
        <x:v>1.021447778739952</x:v>
      </x:c>
      <x:c r="K9" s="94" t="n">
        <x:f>IF('04_售价成本校准'!$G$7=0,0,I9/'04_售价成本校准'!$G$7)</x:f>
        <x:v>-0.021447778739951944</x:v>
      </x:c>
    </x:row>
    <x:row r="10" ht="30" customHeight="1">
      <x:c r="A10" s="115" t="str">
        <x:v>定价残余</x:v>
      </x:c>
      <x:c r="B10" s="97" t="n">
        <x:f>ROUND('04_售价成本校准'!$G$7-SUM(B7:B9),2)</x:f>
        <x:v>4799.18</x:v>
      </x:c>
    </x:row>
    <x:row r="11" ht="28" customHeight="1">
      <x:c r="A11" s="19" t="str">
        <x:v>构成合计</x:v>
      </x:c>
      <x:c r="B11" s="21" t="n">
        <x:f>ROUND(SUM(B7:B10),2)</x:f>
        <x:v>26548.67</x:v>
      </x:c>
    </x:row>
    <x:row r="12" ht="28" customHeight="1">
      <x:c r="A12" s="92" t="str">
        <x:v>未税售价差</x:v>
      </x:c>
      <x:c r="B12" s="93" t="n">
        <x:f>'04_售价成本校准'!$G$7</x:f>
        <x:v>26548.67</x:v>
      </x:c>
    </x:row>
    <x:row r="13" ht="28" customHeight="1">
      <x:c r="A13" s="117" t="str">
        <x:v>校验差异</x:v>
      </x:c>
      <x:c r="B13" s="118" t="n">
        <x:f>ROUND(B11-B12,2)</x:f>
        <x:v>0</x:v>
      </x:c>
    </x:row>
    <x:row r="23" ht="26" customHeight="1">
      <x:c r="A23" s="112" t="str">
        <x:v>SU7 Pro→Max｜中情景与三情景拆分</x:v>
      </x:c>
      <x:c r="B23" s="112"/>
      <x:c r="C23" s="112"/>
      <x:c r="D23" s="112"/>
      <x:c r="E23" s="112"/>
      <x:c r="F23" s="112"/>
      <x:c r="G23" s="112"/>
      <x:c r="H23" s="112"/>
      <x:c r="I23" s="112"/>
      <x:c r="J23" s="112"/>
      <x:c r="K23" s="112"/>
    </x:row>
    <x:row r="24" ht="32" customHeight="1">
      <x:c r="A24" s="91" t="str">
        <x:v>中情景构成</x:v>
      </x:c>
      <x:c r="B24" s="91" t="str">
        <x:v>金额</x:v>
      </x:c>
      <x:c r="D24" s="91" t="str">
        <x:v>情景</x:v>
      </x:c>
      <x:c r="E24" s="91" t="str">
        <x:v>物理BOM</x:v>
      </x:c>
      <x:c r="F24" s="91" t="str">
        <x:v>制造覆盖</x:v>
      </x:c>
      <x:c r="G24" s="91" t="str">
        <x:v>质保覆盖</x:v>
      </x:c>
      <x:c r="H24" s="91" t="str">
        <x:v>总增量成本</x:v>
      </x:c>
      <x:c r="I24" s="91" t="str">
        <x:v>定价残余</x:v>
      </x:c>
      <x:c r="J24" s="91" t="str">
        <x:v>成本覆盖率</x:v>
      </x:c>
      <x:c r="K24" s="91" t="str">
        <x:v>贡献空间占比</x:v>
      </x:c>
    </x:row>
    <x:row r="25" ht="32" customHeight="1">
      <x:c r="A25" s="113" t="str">
        <x:v>物理BOM</x:v>
      </x:c>
      <x:c r="B25" s="96" t="n">
        <x:f>'04_售价成本校准'!$I$8</x:f>
        <x:v>45026</x:v>
      </x:c>
      <x:c r="D25" s="19" t="str">
        <x:v>Low</x:v>
      </x:c>
      <x:c r="E25" s="21" t="n">
        <x:f>'04_售价成本校准'!$H$8</x:f>
        <x:v>34516</x:v>
      </x:c>
      <x:c r="F25" s="21" t="n">
        <x:f>SUMIFS('03_模块汇总'!$D$7:$D$56,'03_模块汇总'!$A$7:$A$56,"BR-SU7-PRO-MAX",'03_模块汇总'!$C$7:$C$56,"M09_MANUFACTURING")</x:f>
        <x:v>345.16</x:v>
      </x:c>
      <x:c r="G25" s="21" t="n">
        <x:f>SUMIFS('03_模块汇总'!$D$7:$D$56,'03_模块汇总'!$A$7:$A$56,"BR-SU7-PRO-MAX",'03_模块汇总'!$C$7:$C$56,"M10_WARRANTY")</x:f>
        <x:v>172.58</x:v>
      </x:c>
      <x:c r="H25" s="21" t="n">
        <x:f>ROUND(SUM(E25:G25),2)</x:f>
        <x:v>35033.74</x:v>
      </x:c>
      <x:c r="I25" s="21" t="n">
        <x:f>ROUND('04_售价成本校准'!$G$8-H25,2)</x:f>
        <x:v>12753.87</x:v>
      </x:c>
      <x:c r="J25" s="94" t="n">
        <x:f>IF('04_售价成本校准'!$G$8=0,0,H25/'04_售价成本校准'!$G$8)</x:f>
        <x:v>0.7331134576514707</x:v>
      </x:c>
      <x:c r="K25" s="94" t="n">
        <x:f>IF('04_售价成本校准'!$G$8=0,0,I25/'04_售价成本校准'!$G$8)</x:f>
        <x:v>0.26688654234852927</x:v>
      </x:c>
    </x:row>
    <x:row r="26" ht="32" customHeight="1">
      <x:c r="A26" s="92" t="str">
        <x:v>制造覆盖项</x:v>
      </x:c>
      <x:c r="B26" s="93" t="n">
        <x:f>SUMIFS('03_模块汇总'!$E$7:$E$56,'03_模块汇总'!$A$7:$A$56,"BR-SU7-PRO-MAX",'03_模块汇总'!$C$7:$C$56,"M09_MANUFACTURING")</x:f>
        <x:v>900.52</x:v>
      </x:c>
      <x:c r="C26" s="102"/>
      <x:c r="D26" s="103" t="str">
        <x:v>Mid</x:v>
      </x:c>
      <x:c r="E26" s="99" t="n">
        <x:f>'04_售价成本校准'!$I$8</x:f>
        <x:v>45026</x:v>
      </x:c>
      <x:c r="F26" s="99" t="n">
        <x:f>SUMIFS('03_模块汇总'!$E$7:$E$56,'03_模块汇总'!$A$7:$A$56,"BR-SU7-PRO-MAX",'03_模块汇总'!$C$7:$C$56,"M09_MANUFACTURING")</x:f>
        <x:v>900.52</x:v>
      </x:c>
      <x:c r="G26" s="99" t="n">
        <x:f>SUMIFS('03_模块汇总'!$E$7:$E$56,'03_模块汇总'!$A$7:$A$56,"BR-SU7-PRO-MAX",'03_模块汇总'!$C$7:$C$56,"M10_WARRANTY")</x:f>
        <x:v>675.39</x:v>
      </x:c>
      <x:c r="H26" s="99" t="n">
        <x:f>ROUND(SUM(E26:G26),2)</x:f>
        <x:v>46601.91</x:v>
      </x:c>
      <x:c r="I26" s="99" t="n">
        <x:f>ROUND('04_售价成本校准'!$G$8-H26,2)</x:f>
        <x:v>1185.7</x:v>
      </x:c>
      <x:c r="J26" s="98" t="n">
        <x:f>IF('04_售价成本校准'!$G$8=0,0,H26/'04_售价成本校准'!$G$8)</x:f>
        <x:v>0.9751881293079944</x:v>
      </x:c>
      <x:c r="K26" s="98" t="n">
        <x:f>IF('04_售价成本校准'!$G$8=0,0,I26/'04_售价成本校准'!$G$8)</x:f>
        <x:v>0.02481187069200573</x:v>
      </x:c>
    </x:row>
    <x:row r="27" ht="32" customHeight="1">
      <x:c r="A27" s="114" t="str">
        <x:v>质保覆盖项</x:v>
      </x:c>
      <x:c r="B27" s="116" t="n">
        <x:f>SUMIFS('03_模块汇总'!$E$7:$E$56,'03_模块汇总'!$A$7:$A$56,"BR-SU7-PRO-MAX",'03_模块汇总'!$C$7:$C$56,"M10_WARRANTY")</x:f>
        <x:v>675.39</x:v>
      </x:c>
      <x:c r="D27" s="19" t="str">
        <x:v>High</x:v>
      </x:c>
      <x:c r="E27" s="21" t="n">
        <x:f>'04_售价成本校准'!$J$8</x:f>
        <x:v>56737</x:v>
      </x:c>
      <x:c r="F27" s="21" t="n">
        <x:f>SUMIFS('03_模块汇总'!$F$7:$F$56,'03_模块汇总'!$A$7:$A$56,"BR-SU7-PRO-MAX",'03_模块汇总'!$C$7:$C$56,"M09_MANUFACTURING")</x:f>
        <x:v>2269.48</x:v>
      </x:c>
      <x:c r="G27" s="21" t="n">
        <x:f>SUMIFS('03_模块汇总'!$F$7:$F$56,'03_模块汇总'!$A$7:$A$56,"BR-SU7-PRO-MAX",'03_模块汇总'!$C$7:$C$56,"M10_WARRANTY")</x:f>
        <x:v>1702.11</x:v>
      </x:c>
      <x:c r="H27" s="21" t="n">
        <x:f>ROUND(SUM(E27:G27),2)</x:f>
        <x:v>60708.59</x:v>
      </x:c>
      <x:c r="I27" s="21" t="n">
        <x:f>ROUND('04_售价成本校准'!$G$8-H27,2)</x:f>
        <x:v>-12920.98</x:v>
      </x:c>
      <x:c r="J27" s="94" t="n">
        <x:f>IF('04_售价成本校准'!$G$8=0,0,H27/'04_售价成本校准'!$G$8)</x:f>
        <x:v>1.2703834738753412</x:v>
      </x:c>
      <x:c r="K27" s="94" t="n">
        <x:f>IF('04_售价成本校准'!$G$8=0,0,I27/'04_售价成本校准'!$G$8)</x:f>
        <x:v>-0.27038347387534134</x:v>
      </x:c>
    </x:row>
    <x:row r="28" ht="30" customHeight="1">
      <x:c r="A28" s="115" t="str">
        <x:v>定价残余</x:v>
      </x:c>
      <x:c r="B28" s="97" t="n">
        <x:f>ROUND('04_售价成本校准'!$G$8-SUM(B25:B27),2)</x:f>
        <x:v>1185.7</x:v>
      </x:c>
    </x:row>
    <x:row r="29" ht="28" customHeight="1">
      <x:c r="A29" s="19" t="str">
        <x:v>构成合计</x:v>
      </x:c>
      <x:c r="B29" s="21" t="n">
        <x:f>ROUND(SUM(B25:B28),2)</x:f>
        <x:v>47787.61</x:v>
      </x:c>
    </x:row>
    <x:row r="30" ht="28" customHeight="1">
      <x:c r="A30" s="92" t="str">
        <x:v>未税售价差</x:v>
      </x:c>
      <x:c r="B30" s="93" t="n">
        <x:f>'04_售价成本校准'!$G$8</x:f>
        <x:v>47787.61</x:v>
      </x:c>
    </x:row>
    <x:row r="31" ht="28" customHeight="1">
      <x:c r="A31" s="117" t="str">
        <x:v>校验差异</x:v>
      </x:c>
      <x:c r="B31" s="118" t="n">
        <x:f>ROUND(B29-B30,2)</x:f>
        <x:v>0</x:v>
      </x:c>
    </x:row>
    <x:row r="41" ht="26" customHeight="1">
      <x:c r="A41" s="111" t="str">
        <x:v>SU7 版本价格梯度与端点累计</x:v>
      </x:c>
      <x:c r="B41" s="111"/>
      <x:c r="C41" s="111"/>
      <x:c r="D41" s="111"/>
      <x:c r="E41" s="111"/>
      <x:c r="F41" s="111"/>
      <x:c r="G41" s="111"/>
      <x:c r="H41" s="111"/>
      <x:c r="I41" s="111"/>
      <x:c r="J41" s="111"/>
      <x:c r="K41" s="111"/>
    </x:row>
    <x:row r="42" ht="32" customHeight="1">
      <x:c r="A42" s="91" t="str">
        <x:v>版本</x:v>
      </x:c>
      <x:c r="B42" s="91" t="str">
        <x:v>含税基础售价</x:v>
      </x:c>
      <x:c r="C42" s="91" t="str">
        <x:v>未税基础售价</x:v>
      </x:c>
      <x:c r="D42" s="91" t="str">
        <x:v>相对标准版含税增量</x:v>
      </x:c>
      <x:c r="F42" s="91" t="str">
        <x:v>情景</x:v>
      </x:c>
      <x:c r="G42" s="91" t="str">
        <x:v>累计未税价差</x:v>
      </x:c>
      <x:c r="H42" s="91" t="str">
        <x:v>累计总成本</x:v>
      </x:c>
      <x:c r="I42" s="91" t="str">
        <x:v>累计定价残余</x:v>
      </x:c>
      <x:c r="J42" s="91" t="str">
        <x:v>累计覆盖率</x:v>
      </x:c>
      <x:c r="K42" s="91" t="str">
        <x:v>累计贡献空间</x:v>
      </x:c>
    </x:row>
    <x:row r="43" ht="30" customHeight="1">
      <x:c r="A43" s="19" t="str">
        <x:f>'12_价差总览'!$B$17</x:f>
        <x:v>标准版</x:v>
      </x:c>
      <x:c r="B43" s="21" t="n">
        <x:f>'12_价差总览'!$D$17</x:f>
        <x:v>219900</x:v>
      </x:c>
      <x:c r="C43" s="21" t="n">
        <x:f>ROUND('12_价差总览'!$E$17,2)</x:f>
        <x:v>194601.77</x:v>
      </x:c>
      <x:c r="D43" s="21" t="n">
        <x:f>B43-$B$43</x:f>
        <x:v>0</x:v>
      </x:c>
      <x:c r="F43" s="19" t="str">
        <x:v>Low</x:v>
      </x:c>
      <x:c r="G43" s="21" t="n">
        <x:f>'15_情景敏感性'!$C$28</x:f>
        <x:v>74336.28</x:v>
      </x:c>
      <x:c r="H43" s="21" t="n">
        <x:f>'15_情景敏感性'!$D$28</x:f>
        <x:v>52542.49</x:v>
      </x:c>
      <x:c r="I43" s="21" t="n">
        <x:f>'15_情景敏感性'!$E$28</x:f>
        <x:v>21793.79</x:v>
      </x:c>
      <x:c r="J43" s="94" t="n">
        <x:f>'15_情景敏感性'!$F$28</x:f>
        <x:v>0.7068216219590219</x:v>
      </x:c>
      <x:c r="K43" s="94" t="n">
        <x:f>'15_情景敏感性'!$G$28</x:f>
        <x:v>0.2931783780409781</x:v>
      </x:c>
    </x:row>
    <x:row r="44" ht="30" customHeight="1">
      <x:c r="A44" s="92" t="str">
        <x:f>'12_价差总览'!$B$18</x:f>
        <x:v>Pro</x:v>
      </x:c>
      <x:c r="B44" s="93" t="n">
        <x:f>'12_价差总览'!$D$18</x:f>
        <x:v>249900</x:v>
      </x:c>
      <x:c r="C44" s="93" t="n">
        <x:f>ROUND('12_价差总览'!$E$18,2)</x:f>
        <x:v>221150.44</x:v>
      </x:c>
      <x:c r="D44" s="93" t="n">
        <x:f>B44-$B$43</x:f>
        <x:v>30000</x:v>
      </x:c>
      <x:c r="E44" s="102"/>
      <x:c r="F44" s="103" t="str">
        <x:v>Mid</x:v>
      </x:c>
      <x:c r="G44" s="99" t="n">
        <x:f>'15_情景敏感性'!$C$29</x:f>
        <x:v>74336.28</x:v>
      </x:c>
      <x:c r="H44" s="99" t="n">
        <x:f>'15_情景敏感性'!$D$29</x:f>
        <x:v>68351.4</x:v>
      </x:c>
      <x:c r="I44" s="99" t="n">
        <x:f>'15_情景敏感性'!$E$29</x:f>
        <x:v>5984.88</x:v>
      </x:c>
      <x:c r="J44" s="98" t="n">
        <x:f>'15_情景敏感性'!$F$29</x:f>
        <x:v>0.9194891108352475</x:v>
      </x:c>
      <x:c r="K44" s="98" t="n">
        <x:f>'15_情景敏感性'!$G$29</x:f>
        <x:v>0.0805108891647524</x:v>
      </x:c>
    </x:row>
    <x:row r="45" ht="30" customHeight="1">
      <x:c r="A45" s="19" t="str">
        <x:f>'12_价差总览'!$B$19</x:f>
        <x:v>Max</x:v>
      </x:c>
      <x:c r="B45" s="21" t="n">
        <x:f>'12_价差总览'!$D$19</x:f>
        <x:v>303900</x:v>
      </x:c>
      <x:c r="C45" s="21" t="n">
        <x:f>ROUND('12_价差总览'!$E$19,2)</x:f>
        <x:v>268938.05</x:v>
      </x:c>
      <x:c r="D45" s="21" t="n">
        <x:f>B45-$B$43</x:f>
        <x:v>84000</x:v>
      </x:c>
      <x:c r="F45" s="19" t="str">
        <x:v>High</x:v>
      </x:c>
      <x:c r="G45" s="21" t="n">
        <x:f>'15_情景敏感性'!$C$30</x:f>
        <x:v>74336.28</x:v>
      </x:c>
      <x:c r="H45" s="21" t="n">
        <x:f>'15_情景敏感性'!$D$30</x:f>
        <x:v>87826.67</x:v>
      </x:c>
      <x:c r="I45" s="21" t="n">
        <x:f>'15_情景敏感性'!$E$30</x:f>
        <x:v>-13490.39</x:v>
      </x:c>
      <x:c r="J45" s="94" t="n">
        <x:f>'15_情景敏感性'!$F$30</x:f>
        <x:v>1.1814778732538136</x:v>
      </x:c>
      <x:c r="K45" s="94" t="n">
        <x:f>'15_情景敏感性'!$G$30</x:f>
        <x:v>-0.18147787325381362</x:v>
      </x:c>
    </x:row>
    <x:row r="48" ht="30" customHeight="1">
      <x:c r="A48" s="86" t="str">
        <x:v>SU7中情景：标准→Pro的成本覆盖率约81.92%，Pro→Max约97.52%；Max跃迁在中情景几乎由已观察增量成本解释。High情景两桥均穿透未税售价差。</x:v>
      </x:c>
      <x:c r="B48" s="86"/>
      <x:c r="C48" s="86"/>
      <x:c r="D48" s="86"/>
      <x:c r="E48" s="86"/>
      <x:c r="F48" s="86"/>
      <x:c r="G48" s="86"/>
      <x:c r="H48" s="86"/>
      <x:c r="I48" s="86"/>
      <x:c r="J48" s="86"/>
      <x:c r="K48" s="86"/>
      <x:c r="L48" s="86"/>
      <x:c r="M48" s="86"/>
      <x:c r="N48" s="86"/>
      <x:c r="O48" s="86"/>
      <x:c r="P48" s="86"/>
      <x:c r="Q48" s="86"/>
      <x:c r="R48" s="86"/>
      <x:c r="S48" s="86"/>
      <x:c r="T48" s="86"/>
    </x:row>
    <x:row r="49" ht="30" customHeight="1">
      <x:c r="A49" s="86"/>
      <x:c r="B49" s="86"/>
      <x:c r="C49" s="86"/>
      <x:c r="D49" s="86"/>
      <x:c r="E49" s="86"/>
      <x:c r="F49" s="86"/>
      <x:c r="G49" s="86"/>
      <x:c r="H49" s="86"/>
      <x:c r="I49" s="86"/>
      <x:c r="J49" s="86"/>
      <x:c r="K49" s="86"/>
      <x:c r="L49" s="86"/>
      <x:c r="M49" s="86"/>
      <x:c r="N49" s="86"/>
      <x:c r="O49" s="86"/>
      <x:c r="P49" s="86"/>
      <x:c r="Q49" s="86"/>
      <x:c r="R49" s="86"/>
      <x:c r="S49" s="86"/>
      <x:c r="T49" s="86"/>
    </x:row>
  </x:sheetData>
  <x:mergeCells>
    <x:mergeCell ref="A1:T1"/>
    <x:mergeCell ref="A2:T2"/>
    <x:mergeCell ref="A3:T3"/>
    <x:mergeCell ref="A5:K5"/>
    <x:mergeCell ref="A23:K23"/>
    <x:mergeCell ref="A41:K41"/>
    <x:mergeCell ref="A48:T49"/>
  </x:mergeCells>
  <x:conditionalFormatting sqref="I7:I9">
    <x:cfRule type="cellIs" dxfId="61" priority="1" operator="lessThan">
      <x:formula>0</x:formula>
    </x:cfRule>
  </x:conditionalFormatting>
  <x:conditionalFormatting sqref="I25:I27">
    <x:cfRule type="cellIs" dxfId="62" priority="2" operator="lessThan">
      <x:formula>0</x:formula>
    </x:cfRule>
  </x:conditionalFormatting>
  <x:conditionalFormatting sqref="I43:I45">
    <x:cfRule type="cellIs" dxfId="63" priority="3" operator="lessThan">
      <x:formula>0</x:formula>
    </x:cfRule>
  </x:conditionalFormatting>
  <x:pageMargins left="0.7" right="0.7" top="0.75" bottom="0.75" header="0.3" footer="0.3"/>
  <x:drawing xmlns:r="http://schemas.openxmlformats.org/officeDocument/2006/relationships" r:id="R96fbabdc6fbe4ac3"/>
</x:worksheet>
</file>

<file path=xl/worksheets/sheet1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7" hidden="0" customWidth="1"/>
    <x:col min="3" max="3" width="17" hidden="0" customWidth="1"/>
    <x:col min="4" max="4" width="18" hidden="0" customWidth="1"/>
    <x:col min="5" max="5" width="15" hidden="0" customWidth="1"/>
    <x:col min="6" max="6" width="14" hidden="0" customWidth="1"/>
    <x:col min="7" max="7" width="14" hidden="0" customWidth="1"/>
    <x:col min="8" max="8" width="17" hidden="0" customWidth="1"/>
    <x:col min="9" max="9" width="16" hidden="0" customWidth="1"/>
    <x:col min="10" max="10" width="15" hidden="0" customWidth="1"/>
    <x:col min="11" max="11" width="17" hidden="0" customWidth="1"/>
    <x:col min="12" max="12" width="3" hidden="0" customWidth="1"/>
    <x:col min="13" max="13" width="12" hidden="0" customWidth="1"/>
    <x:col min="14" max="14" width="12" hidden="0" customWidth="1"/>
    <x:col min="15" max="15" width="12" hidden="0" customWidth="1"/>
    <x:col min="16" max="16" width="12" hidden="0" customWidth="1"/>
    <x:col min="17" max="17" width="12" hidden="0" customWidth="1"/>
    <x:col min="18" max="18" width="12" hidden="0" customWidth="1"/>
    <x:col min="19" max="19" width="12" hidden="0" customWidth="1"/>
    <x:col min="20" max="20" width="12" hidden="0" customWidth="1"/>
  </x:cols>
  <x:sheetData>
    <x:row r="1" ht="30" customHeight="1">
      <x:c r="A1" s="75" t="str">
        <x:v>14｜YU7 相邻版本售价—成本瀑布</x:v>
      </x:c>
      <x:c r="B1" s="75"/>
      <x:c r="C1" s="75"/>
      <x:c r="D1" s="75"/>
      <x:c r="E1" s="75"/>
      <x:c r="F1" s="75"/>
      <x:c r="G1" s="75"/>
      <x:c r="H1" s="75"/>
      <x:c r="I1" s="75"/>
      <x:c r="J1" s="75"/>
      <x:c r="K1" s="75"/>
      <x:c r="L1" s="75"/>
      <x:c r="M1" s="75"/>
      <x:c r="N1" s="75"/>
      <x:c r="O1" s="75"/>
      <x:c r="P1" s="75"/>
      <x:c r="Q1" s="75"/>
      <x:c r="R1" s="75"/>
      <x:c r="S1" s="75"/>
      <x:c r="T1" s="75"/>
    </x:row>
    <x:row r="2" ht="22" customHeight="1">
      <x:c r="A2" s="78" t="str">
        <x:v>3座相邻版本桥｜每座桥同时显示中情景构成与Low/Mid/High敏感性</x:v>
      </x:c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  <x:c r="S2" s="78"/>
      <x:c r="T2" s="78"/>
    </x:row>
    <x:row r="3" ht="40" customHeight="1">
      <x:c r="A3" s="82" t="str">
        <x:v>瀑布将中情景未税售价差拆为物理BOM、制造覆盖项、质保覆盖项和定价残余；四项之和必须等于未税售价差。</x:v>
      </x:c>
      <x:c r="B3" s="82"/>
      <x:c r="C3" s="82"/>
      <x:c r="D3" s="82"/>
      <x:c r="E3" s="82"/>
      <x:c r="F3" s="82"/>
      <x:c r="G3" s="82"/>
      <x:c r="H3" s="82"/>
      <x:c r="I3" s="82"/>
      <x:c r="J3" s="82"/>
      <x:c r="K3" s="82"/>
      <x:c r="L3" s="82"/>
      <x:c r="M3" s="82"/>
      <x:c r="N3" s="82"/>
      <x:c r="O3" s="82"/>
      <x:c r="P3" s="82"/>
      <x:c r="Q3" s="82"/>
      <x:c r="R3" s="82"/>
      <x:c r="S3" s="82"/>
      <x:c r="T3" s="82"/>
    </x:row>
    <x:row r="5" ht="26" customHeight="1">
      <x:c r="A5" s="112" t="str">
        <x:v>YU7 标准→长续航｜中情景与三情景拆分</x:v>
      </x:c>
      <x:c r="B5" s="112"/>
      <x:c r="C5" s="112"/>
      <x:c r="D5" s="112"/>
      <x:c r="E5" s="112"/>
      <x:c r="F5" s="112"/>
      <x:c r="G5" s="112"/>
      <x:c r="H5" s="112"/>
      <x:c r="I5" s="112"/>
      <x:c r="J5" s="112"/>
      <x:c r="K5" s="112"/>
    </x:row>
    <x:row r="6" ht="32" customHeight="1">
      <x:c r="A6" s="91" t="str">
        <x:v>中情景构成</x:v>
      </x:c>
      <x:c r="B6" s="91" t="str">
        <x:v>金额</x:v>
      </x:c>
      <x:c r="D6" s="91" t="str">
        <x:v>情景</x:v>
      </x:c>
      <x:c r="E6" s="91" t="str">
        <x:v>物理BOM</x:v>
      </x:c>
      <x:c r="F6" s="91" t="str">
        <x:v>制造覆盖</x:v>
      </x:c>
      <x:c r="G6" s="91" t="str">
        <x:v>质保覆盖</x:v>
      </x:c>
      <x:c r="H6" s="91" t="str">
        <x:v>总增量成本</x:v>
      </x:c>
      <x:c r="I6" s="91" t="str">
        <x:v>定价残余</x:v>
      </x:c>
      <x:c r="J6" s="91" t="str">
        <x:v>成本覆盖率</x:v>
      </x:c>
      <x:c r="K6" s="91" t="str">
        <x:v>贡献空间占比</x:v>
      </x:c>
    </x:row>
    <x:row r="7" ht="32" customHeight="1">
      <x:c r="A7" s="113" t="str">
        <x:v>物理BOM</x:v>
      </x:c>
      <x:c r="B7" s="96" t="n">
        <x:f>'04_售价成本校准'!$I$9</x:f>
        <x:v>16614</x:v>
      </x:c>
      <x:c r="D7" s="19" t="str">
        <x:v>Low</x:v>
      </x:c>
      <x:c r="E7" s="21" t="n">
        <x:f>'04_售价成本校准'!$H$9</x:f>
        <x:v>13850</x:v>
      </x:c>
      <x:c r="F7" s="21" t="n">
        <x:f>SUMIFS('03_模块汇总'!$D$7:$D$56,'03_模块汇总'!$A$7:$A$56,"BR-YU7-STD-LR",'03_模块汇总'!$C$7:$C$56,"M09_MANUFACTURING")</x:f>
        <x:v>138.5</x:v>
      </x:c>
      <x:c r="G7" s="21" t="n">
        <x:f>SUMIFS('03_模块汇总'!$D$7:$D$56,'03_模块汇总'!$A$7:$A$56,"BR-YU7-STD-LR",'03_模块汇总'!$C$7:$C$56,"M10_WARRANTY")</x:f>
        <x:v>69.25</x:v>
      </x:c>
      <x:c r="H7" s="21" t="n">
        <x:f>ROUND(SUM(E7:G7),2)</x:f>
        <x:v>14057.75</x:v>
      </x:c>
      <x:c r="I7" s="21" t="n">
        <x:f>ROUND('04_售价成本校准'!$G$9-H7,2)</x:f>
        <x:v>3641.37</x:v>
      </x:c>
      <x:c r="J7" s="94" t="n">
        <x:f>IF('04_售价成本校准'!$G$9=0,0,H7/'04_售价成本校准'!$G$9)</x:f>
        <x:v>0.7942626526064573</x:v>
      </x:c>
      <x:c r="K7" s="94" t="n">
        <x:f>IF('04_售价成本校准'!$G$9=0,0,I7/'04_售价成本校准'!$G$9)</x:f>
        <x:v>0.20573734739354274</x:v>
      </x:c>
    </x:row>
    <x:row r="8" ht="32" customHeight="1">
      <x:c r="A8" s="92" t="str">
        <x:v>制造覆盖项</x:v>
      </x:c>
      <x:c r="B8" s="93" t="n">
        <x:f>SUMIFS('03_模块汇总'!$E$7:$E$56,'03_模块汇总'!$A$7:$A$56,"BR-YU7-STD-LR",'03_模块汇总'!$C$7:$C$56,"M09_MANUFACTURING")</x:f>
        <x:v>332.28</x:v>
      </x:c>
      <x:c r="C8" s="102"/>
      <x:c r="D8" s="103" t="str">
        <x:v>Mid</x:v>
      </x:c>
      <x:c r="E8" s="99" t="n">
        <x:f>'04_售价成本校准'!$I$9</x:f>
        <x:v>16614</x:v>
      </x:c>
      <x:c r="F8" s="99" t="n">
        <x:f>SUMIFS('03_模块汇总'!$E$7:$E$56,'03_模块汇总'!$A$7:$A$56,"BR-YU7-STD-LR",'03_模块汇总'!$C$7:$C$56,"M09_MANUFACTURING")</x:f>
        <x:v>332.28</x:v>
      </x:c>
      <x:c r="G8" s="99" t="n">
        <x:f>SUMIFS('03_模块汇总'!$E$7:$E$56,'03_模块汇总'!$A$7:$A$56,"BR-YU7-STD-LR",'03_模块汇总'!$C$7:$C$56,"M10_WARRANTY")</x:f>
        <x:v>249.21</x:v>
      </x:c>
      <x:c r="H8" s="99" t="n">
        <x:f>ROUND(SUM(E8:G8),2)</x:f>
        <x:v>17195.49</x:v>
      </x:c>
      <x:c r="I8" s="99" t="n">
        <x:f>ROUND('04_售价成本校准'!$G$9-H8,2)</x:f>
        <x:v>503.63</x:v>
      </x:c>
      <x:c r="J8" s="98" t="n">
        <x:f>IF('04_售价成本校准'!$G$9=0,0,H8/'04_售价成本校准'!$G$9)</x:f>
        <x:v>0.9715449129674245</x:v>
      </x:c>
      <x:c r="K8" s="98" t="n">
        <x:f>IF('04_售价成本校准'!$G$9=0,0,I8/'04_售价成本校准'!$G$9)</x:f>
        <x:v>0.028455087032575634</x:v>
      </x:c>
    </x:row>
    <x:row r="9" ht="32" customHeight="1">
      <x:c r="A9" s="114" t="str">
        <x:v>质保覆盖项</x:v>
      </x:c>
      <x:c r="B9" s="116" t="n">
        <x:f>SUMIFS('03_模块汇总'!$E$7:$E$56,'03_模块汇总'!$A$7:$A$56,"BR-YU7-STD-LR",'03_模块汇总'!$C$7:$C$56,"M10_WARRANTY")</x:f>
        <x:v>249.21</x:v>
      </x:c>
      <x:c r="D9" s="19" t="str">
        <x:v>High</x:v>
      </x:c>
      <x:c r="E9" s="21" t="n">
        <x:f>'04_售价成本校准'!$J$9</x:f>
        <x:v>19894</x:v>
      </x:c>
      <x:c r="F9" s="21" t="n">
        <x:f>SUMIFS('03_模块汇总'!$F$7:$F$56,'03_模块汇总'!$A$7:$A$56,"BR-YU7-STD-LR",'03_模块汇总'!$C$7:$C$56,"M09_MANUFACTURING")</x:f>
        <x:v>795.76</x:v>
      </x:c>
      <x:c r="G9" s="21" t="n">
        <x:f>SUMIFS('03_模块汇总'!$F$7:$F$56,'03_模块汇总'!$A$7:$A$56,"BR-YU7-STD-LR",'03_模块汇总'!$C$7:$C$56,"M10_WARRANTY")</x:f>
        <x:v>596.82</x:v>
      </x:c>
      <x:c r="H9" s="21" t="n">
        <x:f>ROUND(SUM(E9:G9),2)</x:f>
        <x:v>21286.58</x:v>
      </x:c>
      <x:c r="I9" s="21" t="n">
        <x:f>ROUND('04_售价成本校准'!$G$9-H9,2)</x:f>
        <x:v>-3587.46</x:v>
      </x:c>
      <x:c r="J9" s="94" t="n">
        <x:f>IF('04_售价成本校准'!$G$9=0,0,H9/'04_售价成本校准'!$G$9)</x:f>
        <x:v>1.202691433246399</x:v>
      </x:c>
      <x:c r="K9" s="94" t="n">
        <x:f>IF('04_售价成本校准'!$G$9=0,0,I9/'04_售价成本校准'!$G$9)</x:f>
        <x:v>-0.2026914332463987</x:v>
      </x:c>
    </x:row>
    <x:row r="10" ht="30" customHeight="1">
      <x:c r="A10" s="115" t="str">
        <x:v>定价残余</x:v>
      </x:c>
      <x:c r="B10" s="97" t="n">
        <x:f>ROUND('04_售价成本校准'!$G$9-SUM(B7:B9),2)</x:f>
        <x:v>503.63</x:v>
      </x:c>
    </x:row>
    <x:row r="11" ht="28" customHeight="1">
      <x:c r="A11" s="19" t="str">
        <x:v>构成合计</x:v>
      </x:c>
      <x:c r="B11" s="21" t="n">
        <x:f>ROUND(SUM(B7:B10),2)</x:f>
        <x:v>17699.12</x:v>
      </x:c>
    </x:row>
    <x:row r="12" ht="28" customHeight="1">
      <x:c r="A12" s="92" t="str">
        <x:v>未税售价差</x:v>
      </x:c>
      <x:c r="B12" s="93" t="n">
        <x:f>'04_售价成本校准'!$G$9</x:f>
        <x:v>17699.12</x:v>
      </x:c>
    </x:row>
    <x:row r="13" ht="28" customHeight="1">
      <x:c r="A13" s="117" t="str">
        <x:v>校验差异</x:v>
      </x:c>
      <x:c r="B13" s="118" t="n">
        <x:f>ROUND(B11-B12,2)</x:f>
        <x:v>0</x:v>
      </x:c>
    </x:row>
    <x:row r="23" ht="26" customHeight="1">
      <x:c r="A23" s="112" t="str">
        <x:v>YU7 长续航→Pro｜中情景与三情景拆分</x:v>
      </x:c>
      <x:c r="B23" s="112"/>
      <x:c r="C23" s="112"/>
      <x:c r="D23" s="112"/>
      <x:c r="E23" s="112"/>
      <x:c r="F23" s="112"/>
      <x:c r="G23" s="112"/>
      <x:c r="H23" s="112"/>
      <x:c r="I23" s="112"/>
      <x:c r="J23" s="112"/>
      <x:c r="K23" s="112"/>
    </x:row>
    <x:row r="24" ht="32" customHeight="1">
      <x:c r="A24" s="91" t="str">
        <x:v>中情景构成</x:v>
      </x:c>
      <x:c r="B24" s="91" t="str">
        <x:v>金额</x:v>
      </x:c>
      <x:c r="D24" s="91" t="str">
        <x:v>情景</x:v>
      </x:c>
      <x:c r="E24" s="91" t="str">
        <x:v>物理BOM</x:v>
      </x:c>
      <x:c r="F24" s="91" t="str">
        <x:v>制造覆盖</x:v>
      </x:c>
      <x:c r="G24" s="91" t="str">
        <x:v>质保覆盖</x:v>
      </x:c>
      <x:c r="H24" s="91" t="str">
        <x:v>总增量成本</x:v>
      </x:c>
      <x:c r="I24" s="91" t="str">
        <x:v>定价残余</x:v>
      </x:c>
      <x:c r="J24" s="91" t="str">
        <x:v>成本覆盖率</x:v>
      </x:c>
      <x:c r="K24" s="91" t="str">
        <x:v>贡献空间占比</x:v>
      </x:c>
    </x:row>
    <x:row r="25" ht="32" customHeight="1">
      <x:c r="A25" s="113" t="str">
        <x:v>物理BOM</x:v>
      </x:c>
      <x:c r="B25" s="96" t="n">
        <x:f>'04_售价成本校准'!$I$10</x:f>
        <x:v>10500</x:v>
      </x:c>
      <x:c r="D25" s="19" t="str">
        <x:v>Low</x:v>
      </x:c>
      <x:c r="E25" s="21" t="n">
        <x:f>'04_售价成本校准'!$H$10</x:f>
        <x:v>7800</x:v>
      </x:c>
      <x:c r="F25" s="21" t="n">
        <x:f>SUMIFS('03_模块汇总'!$D$7:$D$56,'03_模块汇总'!$A$7:$A$56,"BR-YU7-LR-PRO",'03_模块汇总'!$C$7:$C$56,"M09_MANUFACTURING")</x:f>
        <x:v>78</x:v>
      </x:c>
      <x:c r="G25" s="21" t="n">
        <x:f>SUMIFS('03_模块汇总'!$D$7:$D$56,'03_模块汇总'!$A$7:$A$56,"BR-YU7-LR-PRO",'03_模块汇总'!$C$7:$C$56,"M10_WARRANTY")</x:f>
        <x:v>39</x:v>
      </x:c>
      <x:c r="H25" s="21" t="n">
        <x:f>ROUND(SUM(E25:G25),2)</x:f>
        <x:v>7917</x:v>
      </x:c>
      <x:c r="I25" s="21" t="n">
        <x:f>ROUND('04_售价成本校准'!$G$10-H25,2)</x:f>
        <x:v>15445.83</x:v>
      </x:c>
      <x:c r="J25" s="94" t="n">
        <x:f>IF('04_售价成本校准'!$G$10=0,0,H25/'04_售价成本校准'!$G$10)</x:f>
        <x:v>0.33887161786478776</x:v>
      </x:c>
      <x:c r="K25" s="94" t="n">
        <x:f>IF('04_售价成本校准'!$G$10=0,0,I25/'04_售价成本校准'!$G$10)</x:f>
        <x:v>0.6611283821352122</x:v>
      </x:c>
    </x:row>
    <x:row r="26" ht="32" customHeight="1">
      <x:c r="A26" s="92" t="str">
        <x:v>制造覆盖项</x:v>
      </x:c>
      <x:c r="B26" s="93" t="n">
        <x:f>SUMIFS('03_模块汇总'!$E$7:$E$56,'03_模块汇总'!$A$7:$A$56,"BR-YU7-LR-PRO",'03_模块汇总'!$C$7:$C$56,"M09_MANUFACTURING")</x:f>
        <x:v>210</x:v>
      </x:c>
      <x:c r="C26" s="102"/>
      <x:c r="D26" s="103" t="str">
        <x:v>Mid</x:v>
      </x:c>
      <x:c r="E26" s="99" t="n">
        <x:f>'04_售价成本校准'!$I$10</x:f>
        <x:v>10500</x:v>
      </x:c>
      <x:c r="F26" s="99" t="n">
        <x:f>SUMIFS('03_模块汇总'!$E$7:$E$56,'03_模块汇总'!$A$7:$A$56,"BR-YU7-LR-PRO",'03_模块汇总'!$C$7:$C$56,"M09_MANUFACTURING")</x:f>
        <x:v>210</x:v>
      </x:c>
      <x:c r="G26" s="99" t="n">
        <x:f>SUMIFS('03_模块汇总'!$E$7:$E$56,'03_模块汇总'!$A$7:$A$56,"BR-YU7-LR-PRO",'03_模块汇总'!$C$7:$C$56,"M10_WARRANTY")</x:f>
        <x:v>157.5</x:v>
      </x:c>
      <x:c r="H26" s="99" t="n">
        <x:f>ROUND(SUM(E26:G26),2)</x:f>
        <x:v>10867.5</x:v>
      </x:c>
      <x:c r="I26" s="99" t="n">
        <x:f>ROUND('04_售价成本校准'!$G$10-H26,2)</x:f>
        <x:v>12495.33</x:v>
      </x:c>
      <x:c r="J26" s="98" t="n">
        <x:f>IF('04_售价成本校准'!$G$10=0,0,H26/'04_售价成本校准'!$G$10)</x:f>
        <x:v>0.465161968819702</x:v>
      </x:c>
      <x:c r="K26" s="98" t="n">
        <x:f>IF('04_售价成本校准'!$G$10=0,0,I26/'04_售价成本校准'!$G$10)</x:f>
        <x:v>0.5348380311802979</x:v>
      </x:c>
    </x:row>
    <x:row r="27" ht="32" customHeight="1">
      <x:c r="A27" s="114" t="str">
        <x:v>质保覆盖项</x:v>
      </x:c>
      <x:c r="B27" s="116" t="n">
        <x:f>SUMIFS('03_模块汇总'!$E$7:$E$56,'03_模块汇总'!$A$7:$A$56,"BR-YU7-LR-PRO",'03_模块汇总'!$C$7:$C$56,"M10_WARRANTY")</x:f>
        <x:v>157.5</x:v>
      </x:c>
      <x:c r="D27" s="19" t="str">
        <x:v>High</x:v>
      </x:c>
      <x:c r="E27" s="21" t="n">
        <x:f>'04_售价成本校准'!$J$10</x:f>
        <x:v>13800</x:v>
      </x:c>
      <x:c r="F27" s="21" t="n">
        <x:f>SUMIFS('03_模块汇总'!$F$7:$F$56,'03_模块汇总'!$A$7:$A$56,"BR-YU7-LR-PRO",'03_模块汇总'!$C$7:$C$56,"M09_MANUFACTURING")</x:f>
        <x:v>552</x:v>
      </x:c>
      <x:c r="G27" s="21" t="n">
        <x:f>SUMIFS('03_模块汇总'!$F$7:$F$56,'03_模块汇总'!$A$7:$A$56,"BR-YU7-LR-PRO",'03_模块汇总'!$C$7:$C$56,"M10_WARRANTY")</x:f>
        <x:v>414</x:v>
      </x:c>
      <x:c r="H27" s="21" t="n">
        <x:f>ROUND(SUM(E27:G27),2)</x:f>
        <x:v>14766</x:v>
      </x:c>
      <x:c r="I27" s="21" t="n">
        <x:f>ROUND('04_售价成本校准'!$G$10-H27,2)</x:f>
        <x:v>8596.83</x:v>
      </x:c>
      <x:c r="J27" s="94" t="n">
        <x:f>IF('04_售价成本校准'!$G$10=0,0,H27/'04_售价成本校准'!$G$10)</x:f>
        <x:v>0.6320295957296269</x:v>
      </x:c>
      <x:c r="K27" s="94" t="n">
        <x:f>IF('04_售价成本校准'!$G$10=0,0,I27/'04_售价成本校准'!$G$10)</x:f>
        <x:v>0.36797040427037303</x:v>
      </x:c>
    </x:row>
    <x:row r="28" ht="30" customHeight="1">
      <x:c r="A28" s="115" t="str">
        <x:v>定价残余</x:v>
      </x:c>
      <x:c r="B28" s="97" t="n">
        <x:f>ROUND('04_售价成本校准'!$G$10-SUM(B25:B27),2)</x:f>
        <x:v>12495.33</x:v>
      </x:c>
    </x:row>
    <x:row r="29" ht="28" customHeight="1">
      <x:c r="A29" s="19" t="str">
        <x:v>构成合计</x:v>
      </x:c>
      <x:c r="B29" s="21" t="n">
        <x:f>ROUND(SUM(B25:B28),2)</x:f>
        <x:v>23362.83</x:v>
      </x:c>
    </x:row>
    <x:row r="30" ht="28" customHeight="1">
      <x:c r="A30" s="92" t="str">
        <x:v>未税售价差</x:v>
      </x:c>
      <x:c r="B30" s="93" t="n">
        <x:f>'04_售价成本校准'!$G$10</x:f>
        <x:v>23362.83</x:v>
      </x:c>
    </x:row>
    <x:row r="31" ht="28" customHeight="1">
      <x:c r="A31" s="117" t="str">
        <x:v>校验差异</x:v>
      </x:c>
      <x:c r="B31" s="118" t="n">
        <x:f>ROUND(B29-B30,2)</x:f>
        <x:v>0</x:v>
      </x:c>
    </x:row>
    <x:row r="41" ht="26" customHeight="1">
      <x:c r="A41" s="112" t="str">
        <x:v>YU7 Pro→Max｜中情景与三情景拆分</x:v>
      </x:c>
      <x:c r="B41" s="112"/>
      <x:c r="C41" s="112"/>
      <x:c r="D41" s="112"/>
      <x:c r="E41" s="112"/>
      <x:c r="F41" s="112"/>
      <x:c r="G41" s="112"/>
      <x:c r="H41" s="112"/>
      <x:c r="I41" s="112"/>
      <x:c r="J41" s="112"/>
      <x:c r="K41" s="112"/>
    </x:row>
    <x:row r="42" ht="32" customHeight="1">
      <x:c r="A42" s="91" t="str">
        <x:v>中情景构成</x:v>
      </x:c>
      <x:c r="B42" s="91" t="str">
        <x:v>金额</x:v>
      </x:c>
      <x:c r="D42" s="91" t="str">
        <x:v>情景</x:v>
      </x:c>
      <x:c r="E42" s="91" t="str">
        <x:v>物理BOM</x:v>
      </x:c>
      <x:c r="F42" s="91" t="str">
        <x:v>制造覆盖</x:v>
      </x:c>
      <x:c r="G42" s="91" t="str">
        <x:v>质保覆盖</x:v>
      </x:c>
      <x:c r="H42" s="91" t="str">
        <x:v>总增量成本</x:v>
      </x:c>
      <x:c r="I42" s="91" t="str">
        <x:v>定价残余</x:v>
      </x:c>
      <x:c r="J42" s="91" t="str">
        <x:v>成本覆盖率</x:v>
      </x:c>
      <x:c r="K42" s="91" t="str">
        <x:v>贡献空间占比</x:v>
      </x:c>
    </x:row>
    <x:row r="43" ht="32" customHeight="1">
      <x:c r="A43" s="113" t="str">
        <x:v>物理BOM</x:v>
      </x:c>
      <x:c r="B43" s="96" t="n">
        <x:f>'04_售价成本校准'!$I$11</x:f>
        <x:v>38526</x:v>
      </x:c>
      <x:c r="D43" s="19" t="str">
        <x:v>Low</x:v>
      </x:c>
      <x:c r="E43" s="21" t="n">
        <x:f>'04_售价成本校准'!$H$11</x:f>
        <x:v>29666</x:v>
      </x:c>
      <x:c r="F43" s="21" t="n">
        <x:f>SUMIFS('03_模块汇总'!$D$7:$D$56,'03_模块汇总'!$A$7:$A$56,"BR-YU7-PRO-MAX",'03_模块汇总'!$C$7:$C$56,"M09_MANUFACTURING")</x:f>
        <x:v>296.66</x:v>
      </x:c>
      <x:c r="G43" s="21" t="n">
        <x:f>SUMIFS('03_模块汇总'!$D$7:$D$56,'03_模块汇总'!$A$7:$A$56,"BR-YU7-PRO-MAX",'03_模块汇总'!$C$7:$C$56,"M10_WARRANTY")</x:f>
        <x:v>148.33</x:v>
      </x:c>
      <x:c r="H43" s="21" t="n">
        <x:f>ROUND(SUM(E43:G43),2)</x:f>
        <x:v>30110.99</x:v>
      </x:c>
      <x:c r="I43" s="21" t="n">
        <x:f>ROUND('04_售价成本校准'!$G$11-H43,2)</x:f>
        <x:v>14136.8</x:v>
      </x:c>
      <x:c r="J43" s="94" t="n">
        <x:f>IF('04_售价成本校准'!$G$11=0,0,H43/'04_售价成本校准'!$G$11)</x:f>
        <x:v>0.6805083372525498</x:v>
      </x:c>
      <x:c r="K43" s="94" t="n">
        <x:f>IF('04_售价成本校准'!$G$11=0,0,I43/'04_售价成本校准'!$G$11)</x:f>
        <x:v>0.31949166274745017</x:v>
      </x:c>
    </x:row>
    <x:row r="44" ht="32" customHeight="1">
      <x:c r="A44" s="92" t="str">
        <x:v>制造覆盖项</x:v>
      </x:c>
      <x:c r="B44" s="93" t="n">
        <x:f>SUMIFS('03_模块汇总'!$E$7:$E$56,'03_模块汇总'!$A$7:$A$56,"BR-YU7-PRO-MAX",'03_模块汇总'!$C$7:$C$56,"M09_MANUFACTURING")</x:f>
        <x:v>770.52</x:v>
      </x:c>
      <x:c r="C44" s="102"/>
      <x:c r="D44" s="103" t="str">
        <x:v>Mid</x:v>
      </x:c>
      <x:c r="E44" s="99" t="n">
        <x:f>'04_售价成本校准'!$I$11</x:f>
        <x:v>38526</x:v>
      </x:c>
      <x:c r="F44" s="99" t="n">
        <x:f>SUMIFS('03_模块汇总'!$E$7:$E$56,'03_模块汇总'!$A$7:$A$56,"BR-YU7-PRO-MAX",'03_模块汇总'!$C$7:$C$56,"M09_MANUFACTURING")</x:f>
        <x:v>770.52</x:v>
      </x:c>
      <x:c r="G44" s="99" t="n">
        <x:f>SUMIFS('03_模块汇总'!$E$7:$E$56,'03_模块汇总'!$A$7:$A$56,"BR-YU7-PRO-MAX",'03_模块汇总'!$C$7:$C$56,"M10_WARRANTY")</x:f>
        <x:v>577.89</x:v>
      </x:c>
      <x:c r="H44" s="99" t="n">
        <x:f>ROUND(SUM(E44:G44),2)</x:f>
        <x:v>39874.41</x:v>
      </x:c>
      <x:c r="I44" s="99" t="n">
        <x:f>ROUND('04_售价成本校准'!$G$11-H44,2)</x:f>
        <x:v>4373.38</x:v>
      </x:c>
      <x:c r="J44" s="98" t="n">
        <x:f>IF('04_售价成本校准'!$G$11=0,0,H44/'04_售价成本校准'!$G$11)</x:f>
        <x:v>0.9011616173372727</x:v>
      </x:c>
      <x:c r="K44" s="98" t="n">
        <x:f>IF('04_售价成本校准'!$G$11=0,0,I44/'04_售价成本校准'!$G$11)</x:f>
        <x:v>0.09883838266272733</x:v>
      </x:c>
    </x:row>
    <x:row r="45" ht="32" customHeight="1">
      <x:c r="A45" s="114" t="str">
        <x:v>质保覆盖项</x:v>
      </x:c>
      <x:c r="B45" s="116" t="n">
        <x:f>SUMIFS('03_模块汇总'!$E$7:$E$56,'03_模块汇总'!$A$7:$A$56,"BR-YU7-PRO-MAX",'03_模块汇总'!$C$7:$C$56,"M10_WARRANTY")</x:f>
        <x:v>577.89</x:v>
      </x:c>
      <x:c r="D45" s="19" t="str">
        <x:v>High</x:v>
      </x:c>
      <x:c r="E45" s="21" t="n">
        <x:f>'04_售价成本校准'!$J$11</x:f>
        <x:v>48097</x:v>
      </x:c>
      <x:c r="F45" s="21" t="n">
        <x:f>SUMIFS('03_模块汇总'!$F$7:$F$56,'03_模块汇总'!$A$7:$A$56,"BR-YU7-PRO-MAX",'03_模块汇总'!$C$7:$C$56,"M09_MANUFACTURING")</x:f>
        <x:v>1923.88</x:v>
      </x:c>
      <x:c r="G45" s="21" t="n">
        <x:f>SUMIFS('03_模块汇总'!$F$7:$F$56,'03_模块汇总'!$A$7:$A$56,"BR-YU7-PRO-MAX",'03_模块汇总'!$C$7:$C$56,"M10_WARRANTY")</x:f>
        <x:v>1442.91</x:v>
      </x:c>
      <x:c r="H45" s="21" t="n">
        <x:f>ROUND(SUM(E45:G45),2)</x:f>
        <x:v>51463.79</x:v>
      </x:c>
      <x:c r="I45" s="21" t="n">
        <x:f>ROUND('04_售价成本校准'!$G$11-H45,2)</x:f>
        <x:v>-7216</x:v>
      </x:c>
      <x:c r="J45" s="94" t="n">
        <x:f>IF('04_售价成本校准'!$G$11=0,0,H45/'04_售价成本校准'!$G$11)</x:f>
        <x:v>1.163081591193594</x:v>
      </x:c>
      <x:c r="K45" s="94" t="n">
        <x:f>IF('04_售价成本校准'!$G$11=0,0,I45/'04_售价成本校准'!$G$11)</x:f>
        <x:v>-0.16308159119359408</x:v>
      </x:c>
    </x:row>
    <x:row r="46" ht="30" customHeight="1">
      <x:c r="A46" s="115" t="str">
        <x:v>定价残余</x:v>
      </x:c>
      <x:c r="B46" s="97" t="n">
        <x:f>ROUND('04_售价成本校准'!$G$11-SUM(B43:B45),2)</x:f>
        <x:v>4373.38</x:v>
      </x:c>
    </x:row>
    <x:row r="47" ht="28" customHeight="1">
      <x:c r="A47" s="19" t="str">
        <x:v>构成合计</x:v>
      </x:c>
      <x:c r="B47" s="21" t="n">
        <x:f>ROUND(SUM(B43:B46),2)</x:f>
        <x:v>44247.79</x:v>
      </x:c>
    </x:row>
    <x:row r="48" ht="28" customHeight="1">
      <x:c r="A48" s="92" t="str">
        <x:v>未税售价差</x:v>
      </x:c>
      <x:c r="B48" s="93" t="n">
        <x:f>'04_售价成本校准'!$G$11</x:f>
        <x:v>44247.79</x:v>
      </x:c>
    </x:row>
    <x:row r="49" ht="28" customHeight="1">
      <x:c r="A49" s="117" t="str">
        <x:v>校验差异</x:v>
      </x:c>
      <x:c r="B49" s="118" t="n">
        <x:f>ROUND(B47-B48,2)</x:f>
        <x:v>0</x:v>
      </x:c>
    </x:row>
    <x:row r="59" ht="26" customHeight="1">
      <x:c r="A59" s="111" t="str">
        <x:v>YU7 版本价格梯度与端点累计</x:v>
      </x:c>
      <x:c r="B59" s="111"/>
      <x:c r="C59" s="111"/>
      <x:c r="D59" s="111"/>
      <x:c r="E59" s="111"/>
      <x:c r="F59" s="111"/>
      <x:c r="G59" s="111"/>
      <x:c r="H59" s="111"/>
      <x:c r="I59" s="111"/>
      <x:c r="J59" s="111"/>
      <x:c r="K59" s="111"/>
    </x:row>
    <x:row r="60" ht="32" customHeight="1">
      <x:c r="A60" s="91" t="str">
        <x:v>版本</x:v>
      </x:c>
      <x:c r="B60" s="91" t="str">
        <x:v>含税基础售价</x:v>
      </x:c>
      <x:c r="C60" s="91" t="str">
        <x:v>未税基础售价</x:v>
      </x:c>
      <x:c r="D60" s="91" t="str">
        <x:v>相对标准版含税增量</x:v>
      </x:c>
      <x:c r="F60" s="91" t="str">
        <x:v>情景</x:v>
      </x:c>
      <x:c r="G60" s="91" t="str">
        <x:v>累计未税价差</x:v>
      </x:c>
      <x:c r="H60" s="91" t="str">
        <x:v>累计总成本</x:v>
      </x:c>
      <x:c r="I60" s="91" t="str">
        <x:v>累计定价残余</x:v>
      </x:c>
      <x:c r="J60" s="91" t="str">
        <x:v>累计覆盖率</x:v>
      </x:c>
      <x:c r="K60" s="91" t="str">
        <x:v>累计贡献空间</x:v>
      </x:c>
    </x:row>
    <x:row r="61" ht="30" customHeight="1">
      <x:c r="A61" s="19" t="str">
        <x:f>'12_价差总览'!$B$20</x:f>
        <x:v>标准版</x:v>
      </x:c>
      <x:c r="B61" s="21" t="n">
        <x:f>'12_价差总览'!$D$20</x:f>
        <x:v>233500</x:v>
      </x:c>
      <x:c r="C61" s="21" t="n">
        <x:f>ROUND('12_价差总览'!$E$20,2)</x:f>
        <x:v>206637.17</x:v>
      </x:c>
      <x:c r="D61" s="21" t="n">
        <x:f>B61-$B$61</x:f>
        <x:v>0</x:v>
      </x:c>
      <x:c r="F61" s="19" t="str">
        <x:v>Low</x:v>
      </x:c>
      <x:c r="G61" s="21" t="n">
        <x:f>'15_情景敏感性'!$C$31</x:f>
        <x:v>85309.74</x:v>
      </x:c>
      <x:c r="H61" s="21" t="n">
        <x:f>'15_情景敏感性'!$D$31</x:f>
        <x:v>52085.74</x:v>
      </x:c>
      <x:c r="I61" s="21" t="n">
        <x:f>'15_情景敏感性'!$E$31</x:f>
        <x:v>33224</x:v>
      </x:c>
      <x:c r="J61" s="94" t="n">
        <x:f>'15_情景敏感性'!$F$31</x:f>
        <x:v>0.6105485727655482</x:v>
      </x:c>
      <x:c r="K61" s="94" t="n">
        <x:f>'15_情景敏感性'!$G$31</x:f>
        <x:v>0.38945142723445175</x:v>
      </x:c>
    </x:row>
    <x:row r="62" ht="30" customHeight="1">
      <x:c r="A62" s="92" t="str">
        <x:f>'12_价差总览'!$B$21</x:f>
        <x:v>长续航版</x:v>
      </x:c>
      <x:c r="B62" s="93" t="n">
        <x:f>'12_价差总览'!$D$21</x:f>
        <x:v>253500</x:v>
      </x:c>
      <x:c r="C62" s="93" t="n">
        <x:f>ROUND('12_价差总览'!$E$21,2)</x:f>
        <x:v>224336.28</x:v>
      </x:c>
      <x:c r="D62" s="93" t="n">
        <x:f>B62-$B$61</x:f>
        <x:v>20000</x:v>
      </x:c>
      <x:c r="E62" s="102"/>
      <x:c r="F62" s="103" t="str">
        <x:v>Mid</x:v>
      </x:c>
      <x:c r="G62" s="99" t="n">
        <x:f>'15_情景敏感性'!$C$32</x:f>
        <x:v>85309.74</x:v>
      </x:c>
      <x:c r="H62" s="99" t="n">
        <x:f>'15_情景敏感性'!$D$32</x:f>
        <x:v>67937.4</x:v>
      </x:c>
      <x:c r="I62" s="99" t="n">
        <x:f>'15_情景敏感性'!$E$32</x:f>
        <x:v>17372.34</x:v>
      </x:c>
      <x:c r="J62" s="98" t="n">
        <x:f>'15_情景敏感性'!$F$32</x:f>
        <x:v>0.7963615877858728</x:v>
      </x:c>
      <x:c r="K62" s="98" t="n">
        <x:f>'15_情景敏感性'!$G$32</x:f>
        <x:v>0.203638412214127</x:v>
      </x:c>
    </x:row>
    <x:row r="63" ht="30" customHeight="1">
      <x:c r="A63" s="19" t="str">
        <x:f>'12_价差总览'!$B$22</x:f>
        <x:v>Pro</x:v>
      </x:c>
      <x:c r="B63" s="21" t="n">
        <x:f>'12_价差总览'!$D$22</x:f>
        <x:v>279900</x:v>
      </x:c>
      <x:c r="C63" s="21" t="n">
        <x:f>ROUND('12_价差总览'!$E$22,2)</x:f>
        <x:v>247699.12</x:v>
      </x:c>
      <x:c r="D63" s="21" t="n">
        <x:f>B63-$B$61</x:f>
        <x:v>46400</x:v>
      </x:c>
      <x:c r="F63" s="19" t="str">
        <x:v>High</x:v>
      </x:c>
      <x:c r="G63" s="21" t="n">
        <x:f>'15_情景敏感性'!$C$33</x:f>
        <x:v>85309.74</x:v>
      </x:c>
      <x:c r="H63" s="21" t="n">
        <x:f>'15_情景敏感性'!$D$33</x:f>
        <x:v>87516.37</x:v>
      </x:c>
      <x:c r="I63" s="21" t="n">
        <x:f>'15_情景敏感性'!$E$33</x:f>
        <x:v>-2206.63</x:v>
      </x:c>
      <x:c r="J63" s="94" t="n">
        <x:f>'15_情景敏感性'!$F$33</x:f>
        <x:v>1.0258660968841307</x:v>
      </x:c>
      <x:c r="K63" s="94" t="n">
        <x:f>'15_情景敏感性'!$G$33</x:f>
        <x:v>-0.025866096884130697</x:v>
      </x:c>
    </x:row>
    <x:row r="64" ht="30" customHeight="1">
      <x:c r="A64" s="92" t="str">
        <x:f>'12_价差总览'!$B$23</x:f>
        <x:v>Max</x:v>
      </x:c>
      <x:c r="B64" s="93" t="n">
        <x:f>'12_价差总览'!$D$23</x:f>
        <x:v>329900</x:v>
      </x:c>
      <x:c r="C64" s="93" t="n">
        <x:f>ROUND('12_价差总览'!$E$23,2)</x:f>
        <x:v>291946.9</x:v>
      </x:c>
      <x:c r="D64" s="93" t="n">
        <x:f>B64-$B$61</x:f>
        <x:v>96400</x:v>
      </x:c>
    </x:row>
    <x:row r="67" ht="30" customHeight="1">
      <x:c r="A67" s="86" t="str">
        <x:v>YU7中情景：标准→长续航和Pro→Max的成本覆盖率分别约97.15%和90.12%；长续航→Pro仅约46.52%，保留12,495.33元未分配增量价差，是最强的版本梯度信号。</x:v>
      </x:c>
      <x:c r="B67" s="86"/>
      <x:c r="C67" s="86"/>
      <x:c r="D67" s="86"/>
      <x:c r="E67" s="86"/>
      <x:c r="F67" s="86"/>
      <x:c r="G67" s="86"/>
      <x:c r="H67" s="86"/>
      <x:c r="I67" s="86"/>
      <x:c r="J67" s="86"/>
      <x:c r="K67" s="86"/>
      <x:c r="L67" s="86"/>
      <x:c r="M67" s="86"/>
      <x:c r="N67" s="86"/>
      <x:c r="O67" s="86"/>
      <x:c r="P67" s="86"/>
      <x:c r="Q67" s="86"/>
      <x:c r="R67" s="86"/>
      <x:c r="S67" s="86"/>
      <x:c r="T67" s="86"/>
    </x:row>
    <x:row r="68" ht="30" customHeight="1">
      <x:c r="A68" s="86"/>
      <x:c r="B68" s="86"/>
      <x:c r="C68" s="86"/>
      <x:c r="D68" s="86"/>
      <x:c r="E68" s="86"/>
      <x:c r="F68" s="86"/>
      <x:c r="G68" s="86"/>
      <x:c r="H68" s="86"/>
      <x:c r="I68" s="86"/>
      <x:c r="J68" s="86"/>
      <x:c r="K68" s="86"/>
      <x:c r="L68" s="86"/>
      <x:c r="M68" s="86"/>
      <x:c r="N68" s="86"/>
      <x:c r="O68" s="86"/>
      <x:c r="P68" s="86"/>
      <x:c r="Q68" s="86"/>
      <x:c r="R68" s="86"/>
      <x:c r="S68" s="86"/>
      <x:c r="T68" s="86"/>
    </x:row>
  </x:sheetData>
  <x:mergeCells>
    <x:mergeCell ref="A1:T1"/>
    <x:mergeCell ref="A2:T2"/>
    <x:mergeCell ref="A3:T3"/>
    <x:mergeCell ref="A5:K5"/>
    <x:mergeCell ref="A23:K23"/>
    <x:mergeCell ref="A41:K41"/>
    <x:mergeCell ref="A59:K59"/>
    <x:mergeCell ref="A67:T68"/>
  </x:mergeCells>
  <x:conditionalFormatting sqref="I7:I9">
    <x:cfRule type="cellIs" dxfId="64" priority="1" operator="lessThan">
      <x:formula>0</x:formula>
    </x:cfRule>
  </x:conditionalFormatting>
  <x:conditionalFormatting sqref="I25:I27">
    <x:cfRule type="cellIs" dxfId="65" priority="2" operator="lessThan">
      <x:formula>0</x:formula>
    </x:cfRule>
  </x:conditionalFormatting>
  <x:conditionalFormatting sqref="I43:I45">
    <x:cfRule type="cellIs" dxfId="66" priority="3" operator="lessThan">
      <x:formula>0</x:formula>
    </x:cfRule>
  </x:conditionalFormatting>
  <x:conditionalFormatting sqref="I61:I63">
    <x:cfRule type="cellIs" dxfId="67" priority="4" operator="lessThan">
      <x:formula>0</x:formula>
    </x:cfRule>
  </x:conditionalFormatting>
  <x:pageMargins left="0.7" right="0.7" top="0.75" bottom="0.75" header="0.3" footer="0.3"/>
  <x:drawing xmlns:r="http://schemas.openxmlformats.org/officeDocument/2006/relationships" r:id="Rba6504aa023749d8"/>
</x:worksheet>
</file>

<file path=xl/worksheets/sheet1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4" hidden="0" customWidth="1"/>
    <x:col min="3" max="3" width="24" hidden="0" customWidth="1"/>
    <x:col min="4" max="4" width="11" hidden="0" customWidth="1"/>
    <x:col min="5" max="5" width="16" hidden="0" customWidth="1"/>
    <x:col min="6" max="6" width="15" hidden="0" customWidth="1"/>
    <x:col min="7" max="7" width="14" hidden="0" customWidth="1"/>
    <x:col min="8" max="8" width="14" hidden="0" customWidth="1"/>
    <x:col min="9" max="9" width="17" hidden="0" customWidth="1"/>
    <x:col min="10" max="10" width="16" hidden="0" customWidth="1"/>
    <x:col min="11" max="11" width="15" hidden="0" customWidth="1"/>
    <x:col min="12" max="12" width="17" hidden="0" customWidth="1"/>
    <x:col min="13" max="13" width="23" hidden="0" customWidth="1"/>
    <x:col min="14" max="14" width="15" hidden="0" customWidth="1"/>
  </x:cols>
  <x:sheetData>
    <x:row r="1" ht="30" customHeight="1">
      <x:c r="A1" s="75" t="str">
        <x:v>15｜五座桥 Low / Mid / High 情景敏感性</x:v>
      </x:c>
      <x:c r="B1" s="75"/>
      <x:c r="C1" s="75"/>
      <x:c r="D1" s="75"/>
      <x:c r="E1" s="75"/>
      <x:c r="F1" s="75"/>
      <x:c r="G1" s="75"/>
      <x:c r="H1" s="75"/>
      <x:c r="I1" s="75"/>
      <x:c r="J1" s="75"/>
      <x:c r="K1" s="75"/>
      <x:c r="L1" s="75"/>
      <x:c r="M1" s="75"/>
      <x:c r="N1" s="75"/>
    </x:row>
    <x:row r="2" ht="22" customHeight="1">
      <x:c r="A2" s="78" t="str">
        <x:v>15组完整回勾｜所有金额均由Phase 2.1C物理模块与覆盖项公式重新汇总</x:v>
      </x:c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</x:row>
    <x:row r="3" ht="40" customHeight="1">
      <x:c r="A3" s="82" t="str">
        <x:v>High负残余不得截断、取绝对值或隐藏；它表示估值上界穿透未税售价差，属于压力测试结果。</x:v>
      </x:c>
      <x:c r="B3" s="82"/>
      <x:c r="C3" s="82"/>
      <x:c r="D3" s="82"/>
      <x:c r="E3" s="82"/>
      <x:c r="F3" s="82"/>
      <x:c r="G3" s="82"/>
      <x:c r="H3" s="82"/>
      <x:c r="I3" s="82"/>
      <x:c r="J3" s="82"/>
      <x:c r="K3" s="82"/>
      <x:c r="L3" s="82"/>
      <x:c r="M3" s="82"/>
      <x:c r="N3" s="82"/>
    </x:row>
    <x:row r="5" ht="36" customHeight="1">
      <x:c r="A5" s="122" t="str">
        <x:v>三情景的唯一变化来自物理BOM区间和已锁定覆盖率：制造1%/2%/4%，质保0.5%/1.5%/3%。价格与增值税口径不随情景变化。</x:v>
      </x:c>
      <x:c r="B5" s="122"/>
      <x:c r="C5" s="122"/>
      <x:c r="D5" s="122"/>
      <x:c r="E5" s="122"/>
      <x:c r="F5" s="122"/>
      <x:c r="G5" s="122"/>
      <x:c r="H5" s="122"/>
      <x:c r="I5" s="122"/>
      <x:c r="J5" s="122"/>
      <x:c r="K5" s="122"/>
      <x:c r="L5" s="122"/>
      <x:c r="M5" s="122"/>
      <x:c r="N5" s="122"/>
    </x:row>
    <x:row r="7" ht="38" customHeight="1">
      <x:c r="A7" s="91" t="str">
        <x:v>车系</x:v>
      </x:c>
      <x:c r="B7" s="91" t="str">
        <x:v>bridge_id</x:v>
      </x:c>
      <x:c r="C7" s="91" t="str">
        <x:v>相邻升级</x:v>
      </x:c>
      <x:c r="D7" s="91" t="str">
        <x:v>情景</x:v>
      </x:c>
      <x:c r="E7" s="91" t="str">
        <x:v>未税售价差</x:v>
      </x:c>
      <x:c r="F7" s="91" t="str">
        <x:v>物理BOM</x:v>
      </x:c>
      <x:c r="G7" s="91" t="str">
        <x:v>制造覆盖</x:v>
      </x:c>
      <x:c r="H7" s="91" t="str">
        <x:v>质保覆盖</x:v>
      </x:c>
      <x:c r="I7" s="91" t="str">
        <x:v>总增量成本</x:v>
      </x:c>
      <x:c r="J7" s="91" t="str">
        <x:v>定价残余</x:v>
      </x:c>
      <x:c r="K7" s="91" t="str">
        <x:v>成本覆盖率</x:v>
      </x:c>
      <x:c r="L7" s="91" t="str">
        <x:v>贡献空间占比</x:v>
      </x:c>
      <x:c r="M7" s="91" t="str">
        <x:v>压力信号</x:v>
      </x:c>
      <x:c r="N7" s="91" t="str">
        <x:v>售价差/总成本</x:v>
      </x:c>
    </x:row>
    <x:row r="8" ht="32" customHeight="1">
      <x:c r="A8" s="19" t="str">
        <x:v>SU7</x:v>
      </x:c>
      <x:c r="B8" s="19" t="str">
        <x:v>BR-SU7-STD-PRO</x:v>
      </x:c>
      <x:c r="C8" s="19" t="str">
        <x:v>标准版 → Pro</x:v>
      </x:c>
      <x:c r="D8" s="19" t="str">
        <x:v>Low</x:v>
      </x:c>
      <x:c r="E8" s="21" t="n">
        <x:f>'04_售价成本校准'!$G$7</x:f>
        <x:v>26548.67</x:v>
      </x:c>
      <x:c r="F8" s="21" t="n">
        <x:f>'04_售价成本校准'!$H$7</x:f>
        <x:v>17250</x:v>
      </x:c>
      <x:c r="G8" s="21" t="n">
        <x:f>SUMIFS('03_模块汇总'!$D$7:$D$56,'03_模块汇总'!$A$7:$A$56,$B8,'03_模块汇总'!$C$7:$C$56,"M09_MANUFACTURING")</x:f>
        <x:v>172.5</x:v>
      </x:c>
      <x:c r="H8" s="21" t="n">
        <x:f>SUMIFS('03_模块汇总'!$D$7:$D$56,'03_模块汇总'!$A$7:$A$56,$B8,'03_模块汇总'!$C$7:$C$56,"M10_WARRANTY")</x:f>
        <x:v>86.25</x:v>
      </x:c>
      <x:c r="I8" s="21" t="n">
        <x:f>ROUND(SUM(F8:H8),2)</x:f>
        <x:v>17508.75</x:v>
      </x:c>
      <x:c r="J8" s="21" t="n">
        <x:f>ROUND(E8-I8,2)</x:f>
        <x:v>9039.92</x:v>
      </x:c>
      <x:c r="K8" s="94" t="n">
        <x:f>IF(E8=0,0,I8/E8)</x:f>
        <x:v>0.6594963137513103</x:v>
      </x:c>
      <x:c r="L8" s="94" t="n">
        <x:f>IF(E8=0,0,J8/E8)</x:f>
        <x:v>0.3405036862486897</x:v>
      </x:c>
      <x:c r="M8" s="19" t="str">
        <x:f>IF(J8&lt;0,"UPPER_BOUND_BREAK","WITHIN_GAP")</x:f>
        <x:v>WITHIN_GAP</x:v>
      </x:c>
      <x:c r="N8" s="123" t="n">
        <x:f>IF(I8=0,0,E8/I8)</x:f>
        <x:v>1.5163087027914612</x:v>
      </x:c>
    </x:row>
    <x:row r="9" ht="32" customHeight="1">
      <x:c r="A9" s="103" t="str">
        <x:v>SU7</x:v>
      </x:c>
      <x:c r="B9" s="103" t="str">
        <x:v>BR-SU7-STD-PRO</x:v>
      </x:c>
      <x:c r="C9" s="103" t="str">
        <x:v>标准版 → Pro</x:v>
      </x:c>
      <x:c r="D9" s="103" t="str">
        <x:v>Mid</x:v>
      </x:c>
      <x:c r="E9" s="99" t="n">
        <x:f>'04_售价成本校准'!$G$7</x:f>
        <x:v>26548.67</x:v>
      </x:c>
      <x:c r="F9" s="99" t="n">
        <x:f>'04_售价成本校准'!$I$7</x:f>
        <x:v>21014</x:v>
      </x:c>
      <x:c r="G9" s="99" t="n">
        <x:f>SUMIFS('03_模块汇总'!$E$7:$E$56,'03_模块汇总'!$A$7:$A$56,$B9,'03_模块汇总'!$C$7:$C$56,"M09_MANUFACTURING")</x:f>
        <x:v>420.28</x:v>
      </x:c>
      <x:c r="H9" s="99" t="n">
        <x:f>SUMIFS('03_模块汇总'!$E$7:$E$56,'03_模块汇总'!$A$7:$A$56,$B9,'03_模块汇总'!$C$7:$C$56,"M10_WARRANTY")</x:f>
        <x:v>315.21</x:v>
      </x:c>
      <x:c r="I9" s="99" t="n">
        <x:f>ROUND(SUM(F9:H9),2)</x:f>
        <x:v>21749.49</x:v>
      </x:c>
      <x:c r="J9" s="99" t="n">
        <x:f>ROUND(E9-I9,2)</x:f>
        <x:v>4799.18</x:v>
      </x:c>
      <x:c r="K9" s="98" t="n">
        <x:f>IF(E9=0,0,I9/E9)</x:f>
        <x:v>0.8192308691923175</x:v>
      </x:c>
      <x:c r="L9" s="98" t="n">
        <x:f>IF(E9=0,0,J9/E9)</x:f>
        <x:v>0.18076913080768267</x:v>
      </x:c>
      <x:c r="M9" s="103" t="str">
        <x:f>IF(J9&lt;0,"UPPER_BOUND_BREAK","WITHIN_GAP")</x:f>
        <x:v>WITHIN_GAP</x:v>
      </x:c>
      <x:c r="N9" s="125" t="n">
        <x:f>IF(I9=0,0,E9/I9)</x:f>
        <x:v>1.2206571280521978</x:v>
      </x:c>
    </x:row>
    <x:row r="10" ht="32" customHeight="1">
      <x:c r="A10" s="19" t="str">
        <x:v>SU7</x:v>
      </x:c>
      <x:c r="B10" s="19" t="str">
        <x:v>BR-SU7-STD-PRO</x:v>
      </x:c>
      <x:c r="C10" s="19" t="str">
        <x:v>标准版 → Pro</x:v>
      </x:c>
      <x:c r="D10" s="19" t="str">
        <x:v>High</x:v>
      </x:c>
      <x:c r="E10" s="21" t="n">
        <x:f>'04_售价成本校准'!$G$7</x:f>
        <x:v>26548.67</x:v>
      </x:c>
      <x:c r="F10" s="21" t="n">
        <x:f>'04_售价成本校准'!$J$7</x:f>
        <x:v>25344</x:v>
      </x:c>
      <x:c r="G10" s="21" t="n">
        <x:f>SUMIFS('03_模块汇总'!$F$7:$F$56,'03_模块汇总'!$A$7:$A$56,$B10,'03_模块汇总'!$C$7:$C$56,"M09_MANUFACTURING")</x:f>
        <x:v>1013.76</x:v>
      </x:c>
      <x:c r="H10" s="21" t="n">
        <x:f>SUMIFS('03_模块汇总'!$F$7:$F$56,'03_模块汇总'!$A$7:$A$56,$B10,'03_模块汇总'!$C$7:$C$56,"M10_WARRANTY")</x:f>
        <x:v>760.32</x:v>
      </x:c>
      <x:c r="I10" s="21" t="n">
        <x:f>ROUND(SUM(F10:H10),2)</x:f>
        <x:v>27118.08</x:v>
      </x:c>
      <x:c r="J10" s="21" t="n">
        <x:f>ROUND(E10-I10,2)</x:f>
        <x:v>-569.41</x:v>
      </x:c>
      <x:c r="K10" s="94" t="n">
        <x:f>IF(E10=0,0,I10/E10)</x:f>
        <x:v>1.021447778739952</x:v>
      </x:c>
      <x:c r="L10" s="94" t="n">
        <x:f>IF(E10=0,0,J10/E10)</x:f>
        <x:v>-0.021447778739951944</x:v>
      </x:c>
      <x:c r="M10" s="19" t="str">
        <x:f>IF(J10&lt;0,"UPPER_BOUND_BREAK","WITHIN_GAP")</x:f>
        <x:v>UPPER_BOUND_BREAK</x:v>
      </x:c>
      <x:c r="N10" s="123" t="n">
        <x:f>IF(I10=0,0,E10/I10)</x:f>
        <x:v>0.9790025695034456</x:v>
      </x:c>
    </x:row>
    <x:row r="11" ht="32" customHeight="1">
      <x:c r="A11" s="92" t="str">
        <x:v>SU7</x:v>
      </x:c>
      <x:c r="B11" s="92" t="str">
        <x:v>BR-SU7-PRO-MAX</x:v>
      </x:c>
      <x:c r="C11" s="92" t="str">
        <x:v>Pro → Max</x:v>
      </x:c>
      <x:c r="D11" s="92" t="str">
        <x:v>Low</x:v>
      </x:c>
      <x:c r="E11" s="93" t="n">
        <x:f>'04_售价成本校准'!$G$8</x:f>
        <x:v>47787.61</x:v>
      </x:c>
      <x:c r="F11" s="93" t="n">
        <x:f>'04_售价成本校准'!$H$8</x:f>
        <x:v>34516</x:v>
      </x:c>
      <x:c r="G11" s="93" t="n">
        <x:f>SUMIFS('03_模块汇总'!$D$7:$D$56,'03_模块汇总'!$A$7:$A$56,$B11,'03_模块汇总'!$C$7:$C$56,"M09_MANUFACTURING")</x:f>
        <x:v>345.16</x:v>
      </x:c>
      <x:c r="H11" s="93" t="n">
        <x:f>SUMIFS('03_模块汇总'!$D$7:$D$56,'03_模块汇总'!$A$7:$A$56,$B11,'03_模块汇总'!$C$7:$C$56,"M10_WARRANTY")</x:f>
        <x:v>172.58</x:v>
      </x:c>
      <x:c r="I11" s="93" t="n">
        <x:f>ROUND(SUM(F11:H11),2)</x:f>
        <x:v>35033.74</x:v>
      </x:c>
      <x:c r="J11" s="93" t="n">
        <x:f>ROUND(E11-I11,2)</x:f>
        <x:v>12753.87</x:v>
      </x:c>
      <x:c r="K11" s="95" t="n">
        <x:f>IF(E11=0,0,I11/E11)</x:f>
        <x:v>0.7331134576514707</x:v>
      </x:c>
      <x:c r="L11" s="95" t="n">
        <x:f>IF(E11=0,0,J11/E11)</x:f>
        <x:v>0.26688654234852927</x:v>
      </x:c>
      <x:c r="M11" s="92" t="str">
        <x:f>IF(J11&lt;0,"UPPER_BOUND_BREAK","WITHIN_GAP")</x:f>
        <x:v>WITHIN_GAP</x:v>
      </x:c>
      <x:c r="N11" s="124" t="n">
        <x:f>IF(I11=0,0,E11/I11)</x:f>
        <x:v>1.3640453460007411</x:v>
      </x:c>
    </x:row>
    <x:row r="12" ht="32" customHeight="1">
      <x:c r="A12" s="103" t="str">
        <x:v>SU7</x:v>
      </x:c>
      <x:c r="B12" s="103" t="str">
        <x:v>BR-SU7-PRO-MAX</x:v>
      </x:c>
      <x:c r="C12" s="103" t="str">
        <x:v>Pro → Max</x:v>
      </x:c>
      <x:c r="D12" s="103" t="str">
        <x:v>Mid</x:v>
      </x:c>
      <x:c r="E12" s="99" t="n">
        <x:f>'04_售价成本校准'!$G$8</x:f>
        <x:v>47787.61</x:v>
      </x:c>
      <x:c r="F12" s="99" t="n">
        <x:f>'04_售价成本校准'!$I$8</x:f>
        <x:v>45026</x:v>
      </x:c>
      <x:c r="G12" s="99" t="n">
        <x:f>SUMIFS('03_模块汇总'!$E$7:$E$56,'03_模块汇总'!$A$7:$A$56,$B12,'03_模块汇总'!$C$7:$C$56,"M09_MANUFACTURING")</x:f>
        <x:v>900.52</x:v>
      </x:c>
      <x:c r="H12" s="99" t="n">
        <x:f>SUMIFS('03_模块汇总'!$E$7:$E$56,'03_模块汇总'!$A$7:$A$56,$B12,'03_模块汇总'!$C$7:$C$56,"M10_WARRANTY")</x:f>
        <x:v>675.39</x:v>
      </x:c>
      <x:c r="I12" s="99" t="n">
        <x:f>ROUND(SUM(F12:H12),2)</x:f>
        <x:v>46601.91</x:v>
      </x:c>
      <x:c r="J12" s="99" t="n">
        <x:f>ROUND(E12-I12,2)</x:f>
        <x:v>1185.7</x:v>
      </x:c>
      <x:c r="K12" s="98" t="n">
        <x:f>IF(E12=0,0,I12/E12)</x:f>
        <x:v>0.9751881293079944</x:v>
      </x:c>
      <x:c r="L12" s="98" t="n">
        <x:f>IF(E12=0,0,J12/E12)</x:f>
        <x:v>0.02481187069200573</x:v>
      </x:c>
      <x:c r="M12" s="103" t="str">
        <x:f>IF(J12&lt;0,"UPPER_BOUND_BREAK","WITHIN_GAP")</x:f>
        <x:v>WITHIN_GAP</x:v>
      </x:c>
      <x:c r="N12" s="125" t="n">
        <x:f>IF(I12=0,0,E12/I12)</x:f>
        <x:v>1.0254431631664882</x:v>
      </x:c>
    </x:row>
    <x:row r="13" ht="32" customHeight="1">
      <x:c r="A13" s="92" t="str">
        <x:v>SU7</x:v>
      </x:c>
      <x:c r="B13" s="92" t="str">
        <x:v>BR-SU7-PRO-MAX</x:v>
      </x:c>
      <x:c r="C13" s="92" t="str">
        <x:v>Pro → Max</x:v>
      </x:c>
      <x:c r="D13" s="92" t="str">
        <x:v>High</x:v>
      </x:c>
      <x:c r="E13" s="93" t="n">
        <x:f>'04_售价成本校准'!$G$8</x:f>
        <x:v>47787.61</x:v>
      </x:c>
      <x:c r="F13" s="93" t="n">
        <x:f>'04_售价成本校准'!$J$8</x:f>
        <x:v>56737</x:v>
      </x:c>
      <x:c r="G13" s="93" t="n">
        <x:f>SUMIFS('03_模块汇总'!$F$7:$F$56,'03_模块汇总'!$A$7:$A$56,$B13,'03_模块汇总'!$C$7:$C$56,"M09_MANUFACTURING")</x:f>
        <x:v>2269.48</x:v>
      </x:c>
      <x:c r="H13" s="93" t="n">
        <x:f>SUMIFS('03_模块汇总'!$F$7:$F$56,'03_模块汇总'!$A$7:$A$56,$B13,'03_模块汇总'!$C$7:$C$56,"M10_WARRANTY")</x:f>
        <x:v>1702.11</x:v>
      </x:c>
      <x:c r="I13" s="93" t="n">
        <x:f>ROUND(SUM(F13:H13),2)</x:f>
        <x:v>60708.59</x:v>
      </x:c>
      <x:c r="J13" s="93" t="n">
        <x:f>ROUND(E13-I13,2)</x:f>
        <x:v>-12920.98</x:v>
      </x:c>
      <x:c r="K13" s="95" t="n">
        <x:f>IF(E13=0,0,I13/E13)</x:f>
        <x:v>1.2703834738753412</x:v>
      </x:c>
      <x:c r="L13" s="95" t="n">
        <x:f>IF(E13=0,0,J13/E13)</x:f>
        <x:v>-0.27038347387534134</x:v>
      </x:c>
      <x:c r="M13" s="92" t="str">
        <x:f>IF(J13&lt;0,"UPPER_BOUND_BREAK","WITHIN_GAP")</x:f>
        <x:v>UPPER_BOUND_BREAK</x:v>
      </x:c>
      <x:c r="N13" s="124" t="n">
        <x:f>IF(I13=0,0,E13/I13)</x:f>
        <x:v>0.7871638922926724</x:v>
      </x:c>
    </x:row>
    <x:row r="14" ht="32" customHeight="1">
      <x:c r="A14" s="19" t="str">
        <x:v>YU7</x:v>
      </x:c>
      <x:c r="B14" s="19" t="str">
        <x:v>BR-YU7-STD-LR</x:v>
      </x:c>
      <x:c r="C14" s="19" t="str">
        <x:v>标准版 → 长续航版</x:v>
      </x:c>
      <x:c r="D14" s="19" t="str">
        <x:v>Low</x:v>
      </x:c>
      <x:c r="E14" s="21" t="n">
        <x:f>'04_售价成本校准'!$G$9</x:f>
        <x:v>17699.12</x:v>
      </x:c>
      <x:c r="F14" s="21" t="n">
        <x:f>'04_售价成本校准'!$H$9</x:f>
        <x:v>13850</x:v>
      </x:c>
      <x:c r="G14" s="21" t="n">
        <x:f>SUMIFS('03_模块汇总'!$D$7:$D$56,'03_模块汇总'!$A$7:$A$56,$B14,'03_模块汇总'!$C$7:$C$56,"M09_MANUFACTURING")</x:f>
        <x:v>138.5</x:v>
      </x:c>
      <x:c r="H14" s="21" t="n">
        <x:f>SUMIFS('03_模块汇总'!$D$7:$D$56,'03_模块汇总'!$A$7:$A$56,$B14,'03_模块汇总'!$C$7:$C$56,"M10_WARRANTY")</x:f>
        <x:v>69.25</x:v>
      </x:c>
      <x:c r="I14" s="21" t="n">
        <x:f>ROUND(SUM(F14:H14),2)</x:f>
        <x:v>14057.75</x:v>
      </x:c>
      <x:c r="J14" s="21" t="n">
        <x:f>ROUND(E14-I14,2)</x:f>
        <x:v>3641.37</x:v>
      </x:c>
      <x:c r="K14" s="94" t="n">
        <x:f>IF(E14=0,0,I14/E14)</x:f>
        <x:v>0.7942626526064573</x:v>
      </x:c>
      <x:c r="L14" s="94" t="n">
        <x:f>IF(E14=0,0,J14/E14)</x:f>
        <x:v>0.20573734739354274</x:v>
      </x:c>
      <x:c r="M14" s="19" t="str">
        <x:f>IF(J14&lt;0,"UPPER_BOUND_BREAK","WITHIN_GAP")</x:f>
        <x:v>WITHIN_GAP</x:v>
      </x:c>
      <x:c r="N14" s="123" t="n">
        <x:f>IF(I14=0,0,E14/I14)</x:f>
        <x:v>1.259029361028614</x:v>
      </x:c>
    </x:row>
    <x:row r="15" ht="32" customHeight="1">
      <x:c r="A15" s="103" t="str">
        <x:v>YU7</x:v>
      </x:c>
      <x:c r="B15" s="103" t="str">
        <x:v>BR-YU7-STD-LR</x:v>
      </x:c>
      <x:c r="C15" s="103" t="str">
        <x:v>标准版 → 长续航版</x:v>
      </x:c>
      <x:c r="D15" s="103" t="str">
        <x:v>Mid</x:v>
      </x:c>
      <x:c r="E15" s="99" t="n">
        <x:f>'04_售价成本校准'!$G$9</x:f>
        <x:v>17699.12</x:v>
      </x:c>
      <x:c r="F15" s="99" t="n">
        <x:f>'04_售价成本校准'!$I$9</x:f>
        <x:v>16614</x:v>
      </x:c>
      <x:c r="G15" s="99" t="n">
        <x:f>SUMIFS('03_模块汇总'!$E$7:$E$56,'03_模块汇总'!$A$7:$A$56,$B15,'03_模块汇总'!$C$7:$C$56,"M09_MANUFACTURING")</x:f>
        <x:v>332.28</x:v>
      </x:c>
      <x:c r="H15" s="99" t="n">
        <x:f>SUMIFS('03_模块汇总'!$E$7:$E$56,'03_模块汇总'!$A$7:$A$56,$B15,'03_模块汇总'!$C$7:$C$56,"M10_WARRANTY")</x:f>
        <x:v>249.21</x:v>
      </x:c>
      <x:c r="I15" s="99" t="n">
        <x:f>ROUND(SUM(F15:H15),2)</x:f>
        <x:v>17195.49</x:v>
      </x:c>
      <x:c r="J15" s="99" t="n">
        <x:f>ROUND(E15-I15,2)</x:f>
        <x:v>503.63</x:v>
      </x:c>
      <x:c r="K15" s="98" t="n">
        <x:f>IF(E15=0,0,I15/E15)</x:f>
        <x:v>0.9715449129674245</x:v>
      </x:c>
      <x:c r="L15" s="98" t="n">
        <x:f>IF(E15=0,0,J15/E15)</x:f>
        <x:v>0.028455087032575634</x:v>
      </x:c>
      <x:c r="M15" s="103" t="str">
        <x:f>IF(J15&lt;0,"UPPER_BOUND_BREAK","WITHIN_GAP")</x:f>
        <x:v>WITHIN_GAP</x:v>
      </x:c>
      <x:c r="N15" s="125" t="n">
        <x:f>IF(I15=0,0,E15/I15)</x:f>
        <x:v>1.0292884936689792</x:v>
      </x:c>
    </x:row>
    <x:row r="16" ht="32" customHeight="1">
      <x:c r="A16" s="19" t="str">
        <x:v>YU7</x:v>
      </x:c>
      <x:c r="B16" s="19" t="str">
        <x:v>BR-YU7-STD-LR</x:v>
      </x:c>
      <x:c r="C16" s="19" t="str">
        <x:v>标准版 → 长续航版</x:v>
      </x:c>
      <x:c r="D16" s="19" t="str">
        <x:v>High</x:v>
      </x:c>
      <x:c r="E16" s="21" t="n">
        <x:f>'04_售价成本校准'!$G$9</x:f>
        <x:v>17699.12</x:v>
      </x:c>
      <x:c r="F16" s="21" t="n">
        <x:f>'04_售价成本校准'!$J$9</x:f>
        <x:v>19894</x:v>
      </x:c>
      <x:c r="G16" s="21" t="n">
        <x:f>SUMIFS('03_模块汇总'!$F$7:$F$56,'03_模块汇总'!$A$7:$A$56,$B16,'03_模块汇总'!$C$7:$C$56,"M09_MANUFACTURING")</x:f>
        <x:v>795.76</x:v>
      </x:c>
      <x:c r="H16" s="21" t="n">
        <x:f>SUMIFS('03_模块汇总'!$F$7:$F$56,'03_模块汇总'!$A$7:$A$56,$B16,'03_模块汇总'!$C$7:$C$56,"M10_WARRANTY")</x:f>
        <x:v>596.82</x:v>
      </x:c>
      <x:c r="I16" s="21" t="n">
        <x:f>ROUND(SUM(F16:H16),2)</x:f>
        <x:v>21286.58</x:v>
      </x:c>
      <x:c r="J16" s="21" t="n">
        <x:f>ROUND(E16-I16,2)</x:f>
        <x:v>-3587.46</x:v>
      </x:c>
      <x:c r="K16" s="94" t="n">
        <x:f>IF(E16=0,0,I16/E16)</x:f>
        <x:v>1.202691433246399</x:v>
      </x:c>
      <x:c r="L16" s="94" t="n">
        <x:f>IF(E16=0,0,J16/E16)</x:f>
        <x:v>-0.2026914332463987</x:v>
      </x:c>
      <x:c r="M16" s="19" t="str">
        <x:f>IF(J16&lt;0,"UPPER_BOUND_BREAK","WITHIN_GAP")</x:f>
        <x:v>UPPER_BOUND_BREAK</x:v>
      </x:c>
      <x:c r="N16" s="123" t="n">
        <x:f>IF(I16=0,0,E16/I16)</x:f>
        <x:v>0.8314684651080633</x:v>
      </x:c>
    </x:row>
    <x:row r="17" ht="32" customHeight="1">
      <x:c r="A17" s="92" t="str">
        <x:v>YU7</x:v>
      </x:c>
      <x:c r="B17" s="92" t="str">
        <x:v>BR-YU7-LR-PRO</x:v>
      </x:c>
      <x:c r="C17" s="92" t="str">
        <x:v>长续航版 → Pro</x:v>
      </x:c>
      <x:c r="D17" s="92" t="str">
        <x:v>Low</x:v>
      </x:c>
      <x:c r="E17" s="93" t="n">
        <x:f>'04_售价成本校准'!$G$10</x:f>
        <x:v>23362.83</x:v>
      </x:c>
      <x:c r="F17" s="93" t="n">
        <x:f>'04_售价成本校准'!$H$10</x:f>
        <x:v>7800</x:v>
      </x:c>
      <x:c r="G17" s="93" t="n">
        <x:f>SUMIFS('03_模块汇总'!$D$7:$D$56,'03_模块汇总'!$A$7:$A$56,$B17,'03_模块汇总'!$C$7:$C$56,"M09_MANUFACTURING")</x:f>
        <x:v>78</x:v>
      </x:c>
      <x:c r="H17" s="93" t="n">
        <x:f>SUMIFS('03_模块汇总'!$D$7:$D$56,'03_模块汇总'!$A$7:$A$56,$B17,'03_模块汇总'!$C$7:$C$56,"M10_WARRANTY")</x:f>
        <x:v>39</x:v>
      </x:c>
      <x:c r="I17" s="93" t="n">
        <x:f>ROUND(SUM(F17:H17),2)</x:f>
        <x:v>7917</x:v>
      </x:c>
      <x:c r="J17" s="93" t="n">
        <x:f>ROUND(E17-I17,2)</x:f>
        <x:v>15445.83</x:v>
      </x:c>
      <x:c r="K17" s="95" t="n">
        <x:f>IF(E17=0,0,I17/E17)</x:f>
        <x:v>0.33887161786478776</x:v>
      </x:c>
      <x:c r="L17" s="95" t="n">
        <x:f>IF(E17=0,0,J17/E17)</x:f>
        <x:v>0.6611283821352122</x:v>
      </x:c>
      <x:c r="M17" s="92" t="str">
        <x:f>IF(J17&lt;0,"UPPER_BOUND_BREAK","WITHIN_GAP")</x:f>
        <x:v>WITHIN_GAP</x:v>
      </x:c>
      <x:c r="N17" s="124" t="n">
        <x:f>IF(I17=0,0,E17/I17)</x:f>
        <x:v>2.9509700644183403</x:v>
      </x:c>
    </x:row>
    <x:row r="18" ht="32" customHeight="1">
      <x:c r="A18" s="103" t="str">
        <x:v>YU7</x:v>
      </x:c>
      <x:c r="B18" s="103" t="str">
        <x:v>BR-YU7-LR-PRO</x:v>
      </x:c>
      <x:c r="C18" s="103" t="str">
        <x:v>长续航版 → Pro</x:v>
      </x:c>
      <x:c r="D18" s="103" t="str">
        <x:v>Mid</x:v>
      </x:c>
      <x:c r="E18" s="99" t="n">
        <x:f>'04_售价成本校准'!$G$10</x:f>
        <x:v>23362.83</x:v>
      </x:c>
      <x:c r="F18" s="99" t="n">
        <x:f>'04_售价成本校准'!$I$10</x:f>
        <x:v>10500</x:v>
      </x:c>
      <x:c r="G18" s="99" t="n">
        <x:f>SUMIFS('03_模块汇总'!$E$7:$E$56,'03_模块汇总'!$A$7:$A$56,$B18,'03_模块汇总'!$C$7:$C$56,"M09_MANUFACTURING")</x:f>
        <x:v>210</x:v>
      </x:c>
      <x:c r="H18" s="99" t="n">
        <x:f>SUMIFS('03_模块汇总'!$E$7:$E$56,'03_模块汇总'!$A$7:$A$56,$B18,'03_模块汇总'!$C$7:$C$56,"M10_WARRANTY")</x:f>
        <x:v>157.5</x:v>
      </x:c>
      <x:c r="I18" s="99" t="n">
        <x:f>ROUND(SUM(F18:H18),2)</x:f>
        <x:v>10867.5</x:v>
      </x:c>
      <x:c r="J18" s="99" t="n">
        <x:f>ROUND(E18-I18,2)</x:f>
        <x:v>12495.33</x:v>
      </x:c>
      <x:c r="K18" s="98" t="n">
        <x:f>IF(E18=0,0,I18/E18)</x:f>
        <x:v>0.465161968819702</x:v>
      </x:c>
      <x:c r="L18" s="98" t="n">
        <x:f>IF(E18=0,0,J18/E18)</x:f>
        <x:v>0.5348380311802979</x:v>
      </x:c>
      <x:c r="M18" s="103" t="str">
        <x:f>IF(J18&lt;0,"UPPER_BOUND_BREAK","WITHIN_GAP")</x:f>
        <x:v>WITHIN_GAP</x:v>
      </x:c>
      <x:c r="N18" s="125" t="n">
        <x:f>IF(I18=0,0,E18/I18)</x:f>
        <x:v>2.1497888198757766</x:v>
      </x:c>
    </x:row>
    <x:row r="19" ht="32" customHeight="1">
      <x:c r="A19" s="92" t="str">
        <x:v>YU7</x:v>
      </x:c>
      <x:c r="B19" s="92" t="str">
        <x:v>BR-YU7-LR-PRO</x:v>
      </x:c>
      <x:c r="C19" s="92" t="str">
        <x:v>长续航版 → Pro</x:v>
      </x:c>
      <x:c r="D19" s="92" t="str">
        <x:v>High</x:v>
      </x:c>
      <x:c r="E19" s="93" t="n">
        <x:f>'04_售价成本校准'!$G$10</x:f>
        <x:v>23362.83</x:v>
      </x:c>
      <x:c r="F19" s="93" t="n">
        <x:f>'04_售价成本校准'!$J$10</x:f>
        <x:v>13800</x:v>
      </x:c>
      <x:c r="G19" s="93" t="n">
        <x:f>SUMIFS('03_模块汇总'!$F$7:$F$56,'03_模块汇总'!$A$7:$A$56,$B19,'03_模块汇总'!$C$7:$C$56,"M09_MANUFACTURING")</x:f>
        <x:v>552</x:v>
      </x:c>
      <x:c r="H19" s="93" t="n">
        <x:f>SUMIFS('03_模块汇总'!$F$7:$F$56,'03_模块汇总'!$A$7:$A$56,$B19,'03_模块汇总'!$C$7:$C$56,"M10_WARRANTY")</x:f>
        <x:v>414</x:v>
      </x:c>
      <x:c r="I19" s="93" t="n">
        <x:f>ROUND(SUM(F19:H19),2)</x:f>
        <x:v>14766</x:v>
      </x:c>
      <x:c r="J19" s="93" t="n">
        <x:f>ROUND(E19-I19,2)</x:f>
        <x:v>8596.83</x:v>
      </x:c>
      <x:c r="K19" s="95" t="n">
        <x:f>IF(E19=0,0,I19/E19)</x:f>
        <x:v>0.6320295957296269</x:v>
      </x:c>
      <x:c r="L19" s="95" t="n">
        <x:f>IF(E19=0,0,J19/E19)</x:f>
        <x:v>0.36797040427037303</x:v>
      </x:c>
      <x:c r="M19" s="92" t="str">
        <x:f>IF(J19&lt;0,"UPPER_BOUND_BREAK","WITHIN_GAP")</x:f>
        <x:v>WITHIN_GAP</x:v>
      </x:c>
      <x:c r="N19" s="124" t="n">
        <x:f>IF(I19=0,0,E19/I19)</x:f>
        <x:v>1.5822043884599757</x:v>
      </x:c>
    </x:row>
    <x:row r="20" ht="32" customHeight="1">
      <x:c r="A20" s="19" t="str">
        <x:v>YU7</x:v>
      </x:c>
      <x:c r="B20" s="19" t="str">
        <x:v>BR-YU7-PRO-MAX</x:v>
      </x:c>
      <x:c r="C20" s="19" t="str">
        <x:v>Pro → Max</x:v>
      </x:c>
      <x:c r="D20" s="19" t="str">
        <x:v>Low</x:v>
      </x:c>
      <x:c r="E20" s="21" t="n">
        <x:f>'04_售价成本校准'!$G$11</x:f>
        <x:v>44247.79</x:v>
      </x:c>
      <x:c r="F20" s="21" t="n">
        <x:f>'04_售价成本校准'!$H$11</x:f>
        <x:v>29666</x:v>
      </x:c>
      <x:c r="G20" s="21" t="n">
        <x:f>SUMIFS('03_模块汇总'!$D$7:$D$56,'03_模块汇总'!$A$7:$A$56,$B20,'03_模块汇总'!$C$7:$C$56,"M09_MANUFACTURING")</x:f>
        <x:v>296.66</x:v>
      </x:c>
      <x:c r="H20" s="21" t="n">
        <x:f>SUMIFS('03_模块汇总'!$D$7:$D$56,'03_模块汇总'!$A$7:$A$56,$B20,'03_模块汇总'!$C$7:$C$56,"M10_WARRANTY")</x:f>
        <x:v>148.33</x:v>
      </x:c>
      <x:c r="I20" s="21" t="n">
        <x:f>ROUND(SUM(F20:H20),2)</x:f>
        <x:v>30110.99</x:v>
      </x:c>
      <x:c r="J20" s="21" t="n">
        <x:f>ROUND(E20-I20,2)</x:f>
        <x:v>14136.8</x:v>
      </x:c>
      <x:c r="K20" s="94" t="n">
        <x:f>IF(E20=0,0,I20/E20)</x:f>
        <x:v>0.6805083372525498</x:v>
      </x:c>
      <x:c r="L20" s="94" t="n">
        <x:f>IF(E20=0,0,J20/E20)</x:f>
        <x:v>0.31949166274745017</x:v>
      </x:c>
      <x:c r="M20" s="19" t="str">
        <x:f>IF(J20&lt;0,"UPPER_BOUND_BREAK","WITHIN_GAP")</x:f>
        <x:v>WITHIN_GAP</x:v>
      </x:c>
      <x:c r="N20" s="123" t="n">
        <x:f>IF(I20=0,0,E20/I20)</x:f>
        <x:v>1.4694897112316798</x:v>
      </x:c>
    </x:row>
    <x:row r="21" ht="32" customHeight="1">
      <x:c r="A21" s="103" t="str">
        <x:v>YU7</x:v>
      </x:c>
      <x:c r="B21" s="103" t="str">
        <x:v>BR-YU7-PRO-MAX</x:v>
      </x:c>
      <x:c r="C21" s="103" t="str">
        <x:v>Pro → Max</x:v>
      </x:c>
      <x:c r="D21" s="103" t="str">
        <x:v>Mid</x:v>
      </x:c>
      <x:c r="E21" s="99" t="n">
        <x:f>'04_售价成本校准'!$G$11</x:f>
        <x:v>44247.79</x:v>
      </x:c>
      <x:c r="F21" s="99" t="n">
        <x:f>'04_售价成本校准'!$I$11</x:f>
        <x:v>38526</x:v>
      </x:c>
      <x:c r="G21" s="99" t="n">
        <x:f>SUMIFS('03_模块汇总'!$E$7:$E$56,'03_模块汇总'!$A$7:$A$56,$B21,'03_模块汇总'!$C$7:$C$56,"M09_MANUFACTURING")</x:f>
        <x:v>770.52</x:v>
      </x:c>
      <x:c r="H21" s="99" t="n">
        <x:f>SUMIFS('03_模块汇总'!$E$7:$E$56,'03_模块汇总'!$A$7:$A$56,$B21,'03_模块汇总'!$C$7:$C$56,"M10_WARRANTY")</x:f>
        <x:v>577.89</x:v>
      </x:c>
      <x:c r="I21" s="99" t="n">
        <x:f>ROUND(SUM(F21:H21),2)</x:f>
        <x:v>39874.41</x:v>
      </x:c>
      <x:c r="J21" s="99" t="n">
        <x:f>ROUND(E21-I21,2)</x:f>
        <x:v>4373.38</x:v>
      </x:c>
      <x:c r="K21" s="98" t="n">
        <x:f>IF(E21=0,0,I21/E21)</x:f>
        <x:v>0.9011616173372727</x:v>
      </x:c>
      <x:c r="L21" s="98" t="n">
        <x:f>IF(E21=0,0,J21/E21)</x:f>
        <x:v>0.09883838266272733</x:v>
      </x:c>
      <x:c r="M21" s="103" t="str">
        <x:f>IF(J21&lt;0,"UPPER_BOUND_BREAK","WITHIN_GAP")</x:f>
        <x:v>WITHIN_GAP</x:v>
      </x:c>
      <x:c r="N21" s="125" t="n">
        <x:f>IF(I21=0,0,E21/I21)</x:f>
        <x:v>1.1096788642139155</x:v>
      </x:c>
    </x:row>
    <x:row r="22" ht="32" customHeight="1">
      <x:c r="A22" s="19" t="str">
        <x:v>YU7</x:v>
      </x:c>
      <x:c r="B22" s="19" t="str">
        <x:v>BR-YU7-PRO-MAX</x:v>
      </x:c>
      <x:c r="C22" s="19" t="str">
        <x:v>Pro → Max</x:v>
      </x:c>
      <x:c r="D22" s="19" t="str">
        <x:v>High</x:v>
      </x:c>
      <x:c r="E22" s="21" t="n">
        <x:f>'04_售价成本校准'!$G$11</x:f>
        <x:v>44247.79</x:v>
      </x:c>
      <x:c r="F22" s="21" t="n">
        <x:f>'04_售价成本校准'!$J$11</x:f>
        <x:v>48097</x:v>
      </x:c>
      <x:c r="G22" s="21" t="n">
        <x:f>SUMIFS('03_模块汇总'!$F$7:$F$56,'03_模块汇总'!$A$7:$A$56,$B22,'03_模块汇总'!$C$7:$C$56,"M09_MANUFACTURING")</x:f>
        <x:v>1923.88</x:v>
      </x:c>
      <x:c r="H22" s="21" t="n">
        <x:f>SUMIFS('03_模块汇总'!$F$7:$F$56,'03_模块汇总'!$A$7:$A$56,$B22,'03_模块汇总'!$C$7:$C$56,"M10_WARRANTY")</x:f>
        <x:v>1442.91</x:v>
      </x:c>
      <x:c r="I22" s="21" t="n">
        <x:f>ROUND(SUM(F22:H22),2)</x:f>
        <x:v>51463.79</x:v>
      </x:c>
      <x:c r="J22" s="21" t="n">
        <x:f>ROUND(E22-I22,2)</x:f>
        <x:v>-7216</x:v>
      </x:c>
      <x:c r="K22" s="94" t="n">
        <x:f>IF(E22=0,0,I22/E22)</x:f>
        <x:v>1.163081591193594</x:v>
      </x:c>
      <x:c r="L22" s="94" t="n">
        <x:f>IF(E22=0,0,J22/E22)</x:f>
        <x:v>-0.16308159119359408</x:v>
      </x:c>
      <x:c r="M22" s="19" t="str">
        <x:f>IF(J22&lt;0,"UPPER_BOUND_BREAK","WITHIN_GAP")</x:f>
        <x:v>UPPER_BOUND_BREAK</x:v>
      </x:c>
      <x:c r="N22" s="123" t="n">
        <x:f>IF(I22=0,0,E22/I22)</x:f>
        <x:v>0.8597849089622043</x:v>
      </x:c>
    </x:row>
    <x:row r="27" ht="38" customHeight="1">
      <x:c r="A27" s="91" t="str">
        <x:v>车系</x:v>
      </x:c>
      <x:c r="B27" s="91" t="str">
        <x:v>情景</x:v>
      </x:c>
      <x:c r="C27" s="91" t="str">
        <x:v>累计未税价差</x:v>
      </x:c>
      <x:c r="D27" s="91" t="str">
        <x:v>累计总成本</x:v>
      </x:c>
      <x:c r="E27" s="91" t="str">
        <x:v>累计定价残余</x:v>
      </x:c>
      <x:c r="F27" s="91" t="str">
        <x:v>累计覆盖率</x:v>
      </x:c>
      <x:c r="G27" s="91" t="str">
        <x:v>累计贡献空间</x:v>
      </x:c>
      <x:c r="I27" s="126" t="str">
        <x:v>压力测试摘要</x:v>
      </x:c>
      <x:c r="J27" s="126"/>
      <x:c r="K27" s="126"/>
      <x:c r="L27" s="126"/>
      <x:c r="M27" s="126"/>
      <x:c r="N27" s="126"/>
    </x:row>
    <x:row r="28" ht="34" customHeight="1">
      <x:c r="A28" s="19" t="str">
        <x:v>SU7</x:v>
      </x:c>
      <x:c r="B28" s="19" t="str">
        <x:v>Low</x:v>
      </x:c>
      <x:c r="C28" s="21" t="n">
        <x:f>ROUND(SUMIFS($E$8:$E$22,$A$8:$A$22,A28,$D$8:$D$22,B28),2)</x:f>
        <x:v>74336.28</x:v>
      </x:c>
      <x:c r="D28" s="21" t="n">
        <x:f>ROUND(SUMIFS($I$8:$I$22,$A$8:$A$22,A28,$D$8:$D$22,B28),2)</x:f>
        <x:v>52542.49</x:v>
      </x:c>
      <x:c r="E28" s="21" t="n">
        <x:f>ROUND(C28-D28,2)</x:f>
        <x:v>21793.79</x:v>
      </x:c>
      <x:c r="F28" s="94" t="n">
        <x:f>IF(C28=0,0,D28/C28)</x:f>
        <x:v>0.7068216219590219</x:v>
      </x:c>
      <x:c r="G28" s="94" t="n">
        <x:f>IF(C28=0,0,E28/C28)</x:f>
        <x:v>0.2931783780409781</x:v>
      </x:c>
      <x:c r="I28" s="19" t="str">
        <x:v>Low负残余桥数</x:v>
      </x:c>
      <x:c r="J28" s="19" t="n">
        <x:f>COUNTIFS($D$8:$D$22,"Low",$J$8:$J$22,"&lt;0")</x:f>
        <x:v>0</x:v>
      </x:c>
    </x:row>
    <x:row r="29" ht="34" customHeight="1">
      <x:c r="A29" s="92" t="str">
        <x:v>SU7</x:v>
      </x:c>
      <x:c r="B29" s="92" t="str">
        <x:v>Mid</x:v>
      </x:c>
      <x:c r="C29" s="93" t="n">
        <x:f>ROUND(SUMIFS($E$8:$E$22,$A$8:$A$22,A29,$D$8:$D$22,B29),2)</x:f>
        <x:v>74336.28</x:v>
      </x:c>
      <x:c r="D29" s="93" t="n">
        <x:f>ROUND(SUMIFS($I$8:$I$22,$A$8:$A$22,A29,$D$8:$D$22,B29),2)</x:f>
        <x:v>68351.4</x:v>
      </x:c>
      <x:c r="E29" s="93" t="n">
        <x:f>ROUND(C29-D29,2)</x:f>
        <x:v>5984.88</x:v>
      </x:c>
      <x:c r="F29" s="95" t="n">
        <x:f>IF(C29=0,0,D29/C29)</x:f>
        <x:v>0.9194891108352475</x:v>
      </x:c>
      <x:c r="G29" s="95" t="n">
        <x:f>IF(C29=0,0,E29/C29)</x:f>
        <x:v>0.0805108891647524</x:v>
      </x:c>
      <x:c r="H29" s="102"/>
      <x:c r="I29" s="92" t="str">
        <x:v>Mid负残余桥数</x:v>
      </x:c>
      <x:c r="J29" s="92" t="n">
        <x:f>COUNTIFS($D$8:$D$22,"Mid",$J$8:$J$22,"&lt;0")</x:f>
        <x:v>0</x:v>
      </x:c>
    </x:row>
    <x:row r="30" ht="34" customHeight="1">
      <x:c r="A30" s="19" t="str">
        <x:v>SU7</x:v>
      </x:c>
      <x:c r="B30" s="19" t="str">
        <x:v>High</x:v>
      </x:c>
      <x:c r="C30" s="21" t="n">
        <x:f>ROUND(SUMIFS($E$8:$E$22,$A$8:$A$22,A30,$D$8:$D$22,B30),2)</x:f>
        <x:v>74336.28</x:v>
      </x:c>
      <x:c r="D30" s="21" t="n">
        <x:f>ROUND(SUMIFS($I$8:$I$22,$A$8:$A$22,A30,$D$8:$D$22,B30),2)</x:f>
        <x:v>87826.67</x:v>
      </x:c>
      <x:c r="E30" s="21" t="n">
        <x:f>ROUND(C30-D30,2)</x:f>
        <x:v>-13490.39</x:v>
      </x:c>
      <x:c r="F30" s="94" t="n">
        <x:f>IF(C30=0,0,D30/C30)</x:f>
        <x:v>1.1814778732538136</x:v>
      </x:c>
      <x:c r="G30" s="94" t="n">
        <x:f>IF(C30=0,0,E30/C30)</x:f>
        <x:v>-0.18147787325381362</x:v>
      </x:c>
      <x:c r="I30" s="19" t="str">
        <x:v>High负残余桥数</x:v>
      </x:c>
      <x:c r="J30" s="19" t="n">
        <x:f>COUNTIFS($D$8:$D$22,"High",$J$8:$J$22,"&lt;0")</x:f>
        <x:v>4</x:v>
      </x:c>
    </x:row>
    <x:row r="31" ht="34" customHeight="1">
      <x:c r="A31" s="92" t="str">
        <x:v>YU7</x:v>
      </x:c>
      <x:c r="B31" s="92" t="str">
        <x:v>Low</x:v>
      </x:c>
      <x:c r="C31" s="93" t="n">
        <x:f>ROUND(SUMIFS($E$8:$E$22,$A$8:$A$22,A31,$D$8:$D$22,B31),2)</x:f>
        <x:v>85309.74</x:v>
      </x:c>
      <x:c r="D31" s="93" t="n">
        <x:f>ROUND(SUMIFS($I$8:$I$22,$A$8:$A$22,A31,$D$8:$D$22,B31),2)</x:f>
        <x:v>52085.74</x:v>
      </x:c>
      <x:c r="E31" s="93" t="n">
        <x:f>ROUND(C31-D31,2)</x:f>
        <x:v>33224</x:v>
      </x:c>
      <x:c r="F31" s="95" t="n">
        <x:f>IF(C31=0,0,D31/C31)</x:f>
        <x:v>0.6105485727655482</x:v>
      </x:c>
      <x:c r="G31" s="95" t="n">
        <x:f>IF(C31=0,0,E31/C31)</x:f>
        <x:v>0.38945142723445175</x:v>
      </x:c>
      <x:c r="H31" s="102"/>
      <x:c r="I31" s="92" t="str">
        <x:v>High仍为正的桥</x:v>
      </x:c>
      <x:c r="J31" s="92" t="str">
        <x:v>YU7 长续航→Pro</x:v>
      </x:c>
    </x:row>
    <x:row r="32" ht="32" customHeight="1">
      <x:c r="A32" s="103" t="str">
        <x:v>YU7</x:v>
      </x:c>
      <x:c r="B32" s="103" t="str">
        <x:v>Mid</x:v>
      </x:c>
      <x:c r="C32" s="99" t="n">
        <x:f>ROUND(SUMIFS($E$8:$E$22,$A$8:$A$22,A32,$D$8:$D$22,B32),2)</x:f>
        <x:v>85309.74</x:v>
      </x:c>
      <x:c r="D32" s="99" t="n">
        <x:f>ROUND(SUMIFS($I$8:$I$22,$A$8:$A$22,A32,$D$8:$D$22,B32),2)</x:f>
        <x:v>67937.4</x:v>
      </x:c>
      <x:c r="E32" s="99" t="n">
        <x:f>ROUND(C32-D32,2)</x:f>
        <x:v>17372.34</x:v>
      </x:c>
      <x:c r="F32" s="98" t="n">
        <x:f>IF(C32=0,0,D32/C32)</x:f>
        <x:v>0.7963615877858728</x:v>
      </x:c>
      <x:c r="G32" s="98" t="n">
        <x:f>IF(C32=0,0,E32/C32)</x:f>
        <x:v>0.203638412214127</x:v>
      </x:c>
    </x:row>
    <x:row r="33" ht="32" customHeight="1">
      <x:c r="A33" s="92" t="str">
        <x:v>YU7</x:v>
      </x:c>
      <x:c r="B33" s="92" t="str">
        <x:v>High</x:v>
      </x:c>
      <x:c r="C33" s="93" t="n">
        <x:f>ROUND(SUMIFS($E$8:$E$22,$A$8:$A$22,A33,$D$8:$D$22,B33),2)</x:f>
        <x:v>85309.74</x:v>
      </x:c>
      <x:c r="D33" s="93" t="n">
        <x:f>ROUND(SUMIFS($I$8:$I$22,$A$8:$A$22,A33,$D$8:$D$22,B33),2)</x:f>
        <x:v>87516.37</x:v>
      </x:c>
      <x:c r="E33" s="93" t="n">
        <x:f>ROUND(C33-D33,2)</x:f>
        <x:v>-2206.63</x:v>
      </x:c>
      <x:c r="F33" s="95" t="n">
        <x:f>IF(C33=0,0,D33/C33)</x:f>
        <x:v>1.0258660968841307</x:v>
      </x:c>
      <x:c r="G33" s="95" t="n">
        <x:f>IF(C33=0,0,E33/C33)</x:f>
        <x:v>-0.025866096884130697</x:v>
      </x:c>
      <x:c r="I33" s="129" t="str">
        <x:v>结论：Low/Mid情景没有负残余；High情景4桥为负，仅YU7长续航→Pro仍保留8,596.83元。该分布说明高情景是成本上界，而不是应被拿来反推真实亏损的点估计。</x:v>
      </x:c>
      <x:c r="J33" s="129"/>
      <x:c r="K33" s="129"/>
      <x:c r="L33" s="129"/>
      <x:c r="M33" s="129"/>
      <x:c r="N33" s="129"/>
    </x:row>
    <x:row r="34">
      <x:c r="I34" s="129"/>
      <x:c r="J34" s="129"/>
      <x:c r="K34" s="129"/>
      <x:c r="L34" s="129"/>
      <x:c r="M34" s="129"/>
      <x:c r="N34" s="129"/>
    </x:row>
    <x:row r="35">
      <x:c r="I35" s="129"/>
      <x:c r="J35" s="129"/>
      <x:c r="K35" s="129"/>
      <x:c r="L35" s="129"/>
      <x:c r="M35" s="129"/>
      <x:c r="N35" s="129"/>
    </x:row>
  </x:sheetData>
  <x:mergeCells>
    <x:mergeCell ref="A1:N1"/>
    <x:mergeCell ref="A2:N2"/>
    <x:mergeCell ref="A3:N3"/>
    <x:mergeCell ref="A5:N5"/>
    <x:mergeCell ref="I27:N27"/>
    <x:mergeCell ref="I33:N35"/>
  </x:mergeCells>
  <x:conditionalFormatting sqref="J8:J22">
    <x:cfRule type="cellIs" dxfId="68" priority="1" operator="lessThan">
      <x:formula>0</x:formula>
    </x:cfRule>
  </x:conditionalFormatting>
  <x:conditionalFormatting sqref="M8:M22">
    <x:cfRule type="containsText" dxfId="69" priority="2" operator="containsText" text="PASS"/>
    <x:cfRule type="containsText" dxfId="70" priority="3" operator="containsText" text="READY"/>
    <x:cfRule type="containsText" dxfId="71" priority="4" operator="containsText" text="WITHIN"/>
    <x:cfRule type="containsText" dxfId="72" priority="5" operator="containsText" text="FAIL"/>
    <x:cfRule type="containsText" dxfId="73" priority="6" operator="containsText" text="UPPER_BOUND_BREAK"/>
    <x:cfRule type="containsText" dxfId="74" priority="7" operator="containsText" text="REVIEW"/>
  </x:conditionalFormatting>
  <x:conditionalFormatting sqref="E28:E33">
    <x:cfRule type="cellIs" dxfId="75" priority="8" operator="lessThan">
      <x:formula>0</x:formula>
    </x:cfRule>
  </x:conditionalFormatting>
  <x:pageMargins left="0.7" right="0.7" top="0.75" bottom="0.75" header="0.3" footer="0.3"/>
</x:worksheet>
</file>

<file path=xl/worksheets/sheet1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24" hidden="0" customWidth="1"/>
    <x:col min="3" max="3" width="25" hidden="0" customWidth="1"/>
    <x:col min="4" max="4" width="17" hidden="0" customWidth="1"/>
    <x:col min="5" max="5" width="18" hidden="0" customWidth="1"/>
    <x:col min="6" max="6" width="17" hidden="0" customWidth="1"/>
    <x:col min="7" max="7" width="18" hidden="0" customWidth="1"/>
    <x:col min="8" max="8" width="48" hidden="0" customWidth="1"/>
    <x:col min="9" max="9" width="3" hidden="0" customWidth="1"/>
    <x:col min="10" max="10" width="24" hidden="0" customWidth="1"/>
    <x:col min="11" max="11" width="18" hidden="0" customWidth="1"/>
    <x:col min="12" max="12" width="3" hidden="0" customWidth="1"/>
    <x:col min="13" max="13" width="12" hidden="0" customWidth="1"/>
    <x:col min="14" max="14" width="12" hidden="0" customWidth="1"/>
    <x:col min="15" max="15" width="12" hidden="0" customWidth="1"/>
    <x:col min="16" max="16" width="12" hidden="0" customWidth="1"/>
    <x:col min="17" max="17" width="12" hidden="0" customWidth="1"/>
    <x:col min="18" max="18" width="12" hidden="0" customWidth="1"/>
    <x:col min="19" max="19" width="12" hidden="0" customWidth="1"/>
    <x:col min="20" max="20" width="12" hidden="0" customWidth="1"/>
  </x:cols>
  <x:sheetData>
    <x:row r="1" ht="30" customHeight="1">
      <x:c r="A1" s="75" t="str">
        <x:v>16｜中情景定价残余排序与解释边界</x:v>
      </x:c>
      <x:c r="B1" s="75"/>
      <x:c r="C1" s="75"/>
      <x:c r="D1" s="75"/>
      <x:c r="E1" s="75"/>
      <x:c r="F1" s="75"/>
      <x:c r="G1" s="75"/>
      <x:c r="H1" s="75"/>
      <x:c r="I1" s="75"/>
      <x:c r="J1" s="75"/>
      <x:c r="K1" s="75"/>
      <x:c r="L1" s="75"/>
      <x:c r="M1" s="75"/>
      <x:c r="N1" s="75"/>
      <x:c r="O1" s="75"/>
      <x:c r="P1" s="75"/>
      <x:c r="Q1" s="75"/>
      <x:c r="R1" s="75"/>
      <x:c r="S1" s="75"/>
      <x:c r="T1" s="75"/>
    </x:row>
    <x:row r="2" ht="22" customHeight="1">
      <x:c r="A2" s="78" t="str">
        <x:v>排序只基于已签核的相邻版本桥｜不把未观察到的费用或利润强行分摊回硬件成本</x:v>
      </x:c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  <x:c r="S2" s="78"/>
      <x:c r="T2" s="78"/>
    </x:row>
    <x:row r="3" ht="40" customHeight="1">
      <x:c r="A3" s="82" t="str">
        <x:v>“定价残余”是未计固定成本及期间费用前的未分配增量价差；它不是厂家披露成本，也不能直接解释为真实利润。</x:v>
      </x:c>
      <x:c r="B3" s="82"/>
      <x:c r="C3" s="82"/>
      <x:c r="D3" s="82"/>
      <x:c r="E3" s="82"/>
      <x:c r="F3" s="82"/>
      <x:c r="G3" s="82"/>
      <x:c r="H3" s="82"/>
      <x:c r="I3" s="82"/>
      <x:c r="J3" s="82"/>
      <x:c r="K3" s="82"/>
      <x:c r="L3" s="82"/>
      <x:c r="M3" s="82"/>
      <x:c r="N3" s="82"/>
      <x:c r="O3" s="82"/>
      <x:c r="P3" s="82"/>
      <x:c r="Q3" s="82"/>
      <x:c r="R3" s="82"/>
      <x:c r="S3" s="82"/>
      <x:c r="T3" s="82"/>
    </x:row>
    <x:row r="5">
      <x:c r="A5" s="111" t="str">
        <x:v>中情景排序</x:v>
      </x:c>
      <x:c r="B5" s="111"/>
      <x:c r="C5" s="111"/>
      <x:c r="D5" s="111"/>
      <x:c r="E5" s="111"/>
      <x:c r="F5" s="111"/>
      <x:c r="G5" s="111"/>
      <x:c r="H5" s="111"/>
    </x:row>
    <x:row r="6" ht="38" customHeight="1">
      <x:c r="A6" s="91" t="str">
        <x:v>排名</x:v>
      </x:c>
      <x:c r="B6" s="91" t="str">
        <x:v>bridge_id</x:v>
      </x:c>
      <x:c r="C6" s="91" t="str">
        <x:v>相邻升级</x:v>
      </x:c>
      <x:c r="D6" s="91" t="str">
        <x:v>未税售价差</x:v>
      </x:c>
      <x:c r="E6" s="91" t="str">
        <x:v>总增量成本_中</x:v>
      </x:c>
      <x:c r="F6" s="91" t="str">
        <x:v>定价残余_中</x:v>
      </x:c>
      <x:c r="G6" s="91" t="str">
        <x:v>贡献空间占比</x:v>
      </x:c>
      <x:c r="H6" s="91" t="str">
        <x:v>谨慎解释</x:v>
      </x:c>
      <x:c r="J6" s="91" t="str">
        <x:v>桥接</x:v>
      </x:c>
      <x:c r="K6" s="91" t="str">
        <x:v>中情景定价残余</x:v>
      </x:c>
    </x:row>
    <x:row r="7" ht="30" customHeight="1">
      <x:c r="A7" s="115" t="n">
        <x:v>1</x:v>
      </x:c>
      <x:c r="B7" s="115" t="str">
        <x:v>BR-YU7-LR-PRO</x:v>
      </x:c>
      <x:c r="C7" s="115" t="str">
        <x:v>长续航版 → Pro</x:v>
      </x:c>
      <x:c r="D7" s="97" t="n">
        <x:f>'12_价差总览'!$E$11</x:f>
        <x:v>23362.83</x:v>
      </x:c>
      <x:c r="E7" s="97" t="n">
        <x:f>'12_价差总览'!$I$11</x:f>
        <x:v>10867.5</x:v>
      </x:c>
      <x:c r="F7" s="97" t="n">
        <x:f>'12_价差总览'!$J$11</x:f>
        <x:v>12495.33</x:v>
      </x:c>
      <x:c r="G7" s="130" t="n">
        <x:f>'12_价差总览'!$L$11</x:f>
        <x:v>0.5348380311802979</x:v>
      </x:c>
      <x:c r="H7" s="115" t="str">
        <x:v>现有硬件差异只能解释约46.52%的未税价差；是版本定位/组合策略的强信号，但不是利润结论。</x:v>
      </x:c>
      <x:c r="J7" s="19" t="str">
        <x:f>C7</x:f>
        <x:v>长续航版 → Pro</x:v>
      </x:c>
      <x:c r="K7" s="21" t="n">
        <x:f>F7</x:f>
        <x:v>12495.33</x:v>
      </x:c>
    </x:row>
    <x:row r="8" ht="30" customHeight="1">
      <x:c r="A8" s="92" t="n">
        <x:v>2</x:v>
      </x:c>
      <x:c r="B8" s="92" t="str">
        <x:v>BR-SU7-STD-PRO</x:v>
      </x:c>
      <x:c r="C8" s="92" t="str">
        <x:v>标准版 → Pro</x:v>
      </x:c>
      <x:c r="D8" s="93" t="n">
        <x:f>'12_价差总览'!$E$8</x:f>
        <x:v>26548.67</x:v>
      </x:c>
      <x:c r="E8" s="93" t="n">
        <x:f>'12_价差总览'!$I$8</x:f>
        <x:v>21749.49</x:v>
      </x:c>
      <x:c r="F8" s="93" t="n">
        <x:f>'12_价差总览'!$J$8</x:f>
        <x:v>4799.18</x:v>
      </x:c>
      <x:c r="G8" s="95" t="n">
        <x:f>'12_价差总览'!$L$8</x:f>
        <x:v>0.18076913080768267</x:v>
      </x:c>
      <x:c r="H8" s="92" t="str">
        <x:v>已观察硬件与覆盖项解释度较高；剩余部分仍保持未分配，不做无证据归因。</x:v>
      </x:c>
      <x:c r="I8" s="102"/>
      <x:c r="J8" s="92" t="str">
        <x:f>C8</x:f>
        <x:v>标准版 → Pro</x:v>
      </x:c>
      <x:c r="K8" s="93" t="n">
        <x:f>F8</x:f>
        <x:v>4799.18</x:v>
      </x:c>
    </x:row>
    <x:row r="9" ht="30" customHeight="1">
      <x:c r="A9" s="19" t="n">
        <x:v>3</x:v>
      </x:c>
      <x:c r="B9" s="19" t="str">
        <x:v>BR-YU7-PRO-MAX</x:v>
      </x:c>
      <x:c r="C9" s="19" t="str">
        <x:v>Pro → Max</x:v>
      </x:c>
      <x:c r="D9" s="21" t="n">
        <x:f>'12_价差总览'!$E$12</x:f>
        <x:v>44247.79</x:v>
      </x:c>
      <x:c r="E9" s="21" t="n">
        <x:f>'12_价差总览'!$I$12</x:f>
        <x:v>39874.41</x:v>
      </x:c>
      <x:c r="F9" s="21" t="n">
        <x:f>'12_价差总览'!$J$12</x:f>
        <x:v>4373.38</x:v>
      </x:c>
      <x:c r="G9" s="94" t="n">
        <x:f>'12_价差总览'!$L$12</x:f>
        <x:v>0.09883838266272733</x:v>
      </x:c>
      <x:c r="H9" s="19" t="str">
        <x:v>已观察硬件与覆盖项解释度较高；剩余部分仍保持未分配，不做无证据归因。</x:v>
      </x:c>
      <x:c r="J9" s="19" t="str">
        <x:f>C9</x:f>
        <x:v>Pro → Max</x:v>
      </x:c>
      <x:c r="K9" s="21" t="n">
        <x:f>F9</x:f>
        <x:v>4373.38</x:v>
      </x:c>
    </x:row>
    <x:row r="10" ht="30" customHeight="1">
      <x:c r="A10" s="92" t="n">
        <x:v>4</x:v>
      </x:c>
      <x:c r="B10" s="92" t="str">
        <x:v>BR-SU7-PRO-MAX</x:v>
      </x:c>
      <x:c r="C10" s="92" t="str">
        <x:v>Pro → Max</x:v>
      </x:c>
      <x:c r="D10" s="93" t="n">
        <x:f>'12_价差总览'!$E$9</x:f>
        <x:v>47787.61</x:v>
      </x:c>
      <x:c r="E10" s="93" t="n">
        <x:f>'12_价差总览'!$I$9</x:f>
        <x:v>46601.91</x:v>
      </x:c>
      <x:c r="F10" s="93" t="n">
        <x:f>'12_价差总览'!$J$9</x:f>
        <x:v>1185.7</x:v>
      </x:c>
      <x:c r="G10" s="95" t="n">
        <x:f>'12_价差总览'!$L$9</x:f>
        <x:v>0.02481187069200573</x:v>
      </x:c>
      <x:c r="H10" s="92" t="str">
        <x:v>已观察硬件与覆盖项解释度较高；剩余部分仍保持未分配，不做无证据归因。</x:v>
      </x:c>
      <x:c r="I10" s="102"/>
      <x:c r="J10" s="92" t="str">
        <x:f>C10</x:f>
        <x:v>Pro → Max</x:v>
      </x:c>
      <x:c r="K10" s="93" t="n">
        <x:f>F10</x:f>
        <x:v>1185.7</x:v>
      </x:c>
    </x:row>
    <x:row r="11" ht="30" customHeight="1">
      <x:c r="A11" s="19" t="n">
        <x:v>5</x:v>
      </x:c>
      <x:c r="B11" s="19" t="str">
        <x:v>BR-YU7-STD-LR</x:v>
      </x:c>
      <x:c r="C11" s="19" t="str">
        <x:v>标准版 → 长续航版</x:v>
      </x:c>
      <x:c r="D11" s="21" t="n">
        <x:f>'12_价差总览'!$E$10</x:f>
        <x:v>17699.12</x:v>
      </x:c>
      <x:c r="E11" s="21" t="n">
        <x:f>'12_价差总览'!$I$10</x:f>
        <x:v>17195.49</x:v>
      </x:c>
      <x:c r="F11" s="21" t="n">
        <x:f>'12_价差总览'!$J$10</x:f>
        <x:v>503.63</x:v>
      </x:c>
      <x:c r="G11" s="94" t="n">
        <x:f>'12_价差总览'!$L$10</x:f>
        <x:v>0.028455087032575634</x:v>
      </x:c>
      <x:c r="H11" s="19" t="str">
        <x:v>已观察硬件与覆盖项解释度较高；剩余部分仍保持未分配，不做无证据归因。</x:v>
      </x:c>
      <x:c r="J11" s="19" t="str">
        <x:f>C11</x:f>
        <x:v>标准版 → 长续航版</x:v>
      </x:c>
      <x:c r="K11" s="21" t="n">
        <x:f>F11</x:f>
        <x:v>503.63</x:v>
      </x:c>
    </x:row>
    <x:row r="15">
      <x:c r="A15" s="111" t="str">
        <x:v>残余中可能包含什么——仅作解释框架，不作金额分摊</x:v>
      </x:c>
      <x:c r="B15" s="111"/>
      <x:c r="C15" s="111"/>
      <x:c r="D15" s="111"/>
      <x:c r="E15" s="111"/>
      <x:c r="F15" s="111"/>
      <x:c r="G15" s="111"/>
      <x:c r="H15" s="111"/>
    </x:row>
    <x:row r="16" ht="38" customHeight="1">
      <x:c r="A16" s="91" t="str">
        <x:v>解释桶</x:v>
      </x:c>
      <x:c r="B16" s="91" t="str">
        <x:v>可能内容</x:v>
      </x:c>
      <x:c r="C16" s="91" t="str">
        <x:v>当前可观察性</x:v>
      </x:c>
      <x:c r="D16" s="91" t="str">
        <x:v>为何不能直接量化</x:v>
      </x:c>
      <x:c r="E16" s="91" t="str">
        <x:v>是否进入物理BOM</x:v>
      </x:c>
      <x:c r="F16" s="91" t="str">
        <x:v>是否进入覆盖项</x:v>
      </x:c>
      <x:c r="G16" s="91" t="str">
        <x:v>本阶段处理</x:v>
      </x:c>
      <x:c r="H16" s="91" t="str">
        <x:v>误读风险</x:v>
      </x:c>
    </x:row>
    <x:row r="17" ht="54" customHeight="1">
      <x:c r="A17" s="19" t="str">
        <x:v>固定工程与认证</x:v>
      </x:c>
      <x:c r="B17" s="19" t="str">
        <x:v>研发、模具、验证、认证的版本分摊</x:v>
      </x:c>
      <x:c r="C17" s="19" t="str">
        <x:v>不可观察</x:v>
      </x:c>
      <x:c r="D17" s="19" t="str">
        <x:v>缺少产量、寿命周期与摊销口径</x:v>
      </x:c>
      <x:c r="E17" s="19" t="str">
        <x:v>否</x:v>
      </x:c>
      <x:c r="F17" s="19" t="str">
        <x:v>否</x:v>
      </x:c>
      <x:c r="G17" s="113" t="str">
        <x:v>保留在残余</x:v>
      </x:c>
      <x:c r="H17" s="19" t="str">
        <x:v>不能反推为单车固定成本</x:v>
      </x:c>
    </x:row>
    <x:row r="18" ht="54" customHeight="1">
      <x:c r="A18" s="92" t="str">
        <x:v>销售与管理费用</x:v>
      </x:c>
      <x:c r="B18" s="92" t="str">
        <x:v>直营渠道、市场、交付和总部费用</x:v>
      </x:c>
      <x:c r="C18" s="92" t="str">
        <x:v>不可观察</x:v>
      </x:c>
      <x:c r="D18" s="92" t="str">
        <x:v>缺少车型级期间费用分配</x:v>
      </x:c>
      <x:c r="E18" s="92" t="str">
        <x:v>否</x:v>
      </x:c>
      <x:c r="F18" s="92" t="str">
        <x:v>否</x:v>
      </x:c>
      <x:c r="G18" s="113" t="str">
        <x:v>保留在残余</x:v>
      </x:c>
      <x:c r="H18" s="92" t="str">
        <x:v>不能与整车真实利润混同</x:v>
      </x:c>
    </x:row>
    <x:row r="19" ht="54" customHeight="1">
      <x:c r="A19" s="19" t="str">
        <x:v>版本定位与组合管理</x:v>
      </x:c>
      <x:c r="B19" s="19" t="str">
        <x:v>价格锚点、升级诱导、产品组合与需求弹性</x:v>
      </x:c>
      <x:c r="C19" s="19" t="str">
        <x:v>方向可推断</x:v>
      </x:c>
      <x:c r="D19" s="19" t="str">
        <x:v>无可审计的内部定价函数</x:v>
      </x:c>
      <x:c r="E19" s="19" t="str">
        <x:v>否</x:v>
      </x:c>
      <x:c r="F19" s="19" t="str">
        <x:v>否</x:v>
      </x:c>
      <x:c r="G19" s="113" t="str">
        <x:v>只作定性解释</x:v>
      </x:c>
      <x:c r="H19" s="19" t="str">
        <x:v>不能填成“未知硬件”</x:v>
      </x:c>
    </x:row>
    <x:row r="20" ht="54" customHeight="1">
      <x:c r="A20" s="92" t="str">
        <x:v>未观察的小额配置</x:v>
      </x:c>
      <x:c r="B20" s="92" t="str">
        <x:v>尚未披露或未能确认的线束、支架、软件适配等</x:v>
      </x:c>
      <x:c r="C20" s="92" t="str">
        <x:v>有限</x:v>
      </x:c>
      <x:c r="D20" s="92" t="str">
        <x:v>缺乏原子级配置差异与供应商报价</x:v>
      </x:c>
      <x:c r="E20" s="92" t="str">
        <x:v>证据满足后才可</x:v>
      </x:c>
      <x:c r="F20" s="92" t="str">
        <x:v>否</x:v>
      </x:c>
      <x:c r="G20" s="113" t="str">
        <x:v>留待补证</x:v>
      </x:c>
      <x:c r="H20" s="92" t="str">
        <x:v>不能为配平售价而虚构</x:v>
      </x:c>
    </x:row>
    <x:row r="21" ht="54" customHeight="1">
      <x:c r="A21" s="19" t="str">
        <x:v>利润与风险缓冲</x:v>
      </x:c>
      <x:c r="B21" s="19" t="str">
        <x:v>企业期望回报、价格波动与售后不确定性</x:v>
      </x:c>
      <x:c r="C21" s="19" t="str">
        <x:v>不可观察</x:v>
      </x:c>
      <x:c r="D21" s="19" t="str">
        <x:v>没有车型级会计成本和销量结构</x:v>
      </x:c>
      <x:c r="E21" s="19" t="str">
        <x:v>否</x:v>
      </x:c>
      <x:c r="F21" s="19" t="str">
        <x:v>仅已锁定M10</x:v>
      </x:c>
      <x:c r="G21" s="113" t="str">
        <x:v>不分摊</x:v>
      </x:c>
      <x:c r="H21" s="19" t="str">
        <x:v>残余不等于实际利润</x:v>
      </x:c>
    </x:row>
    <x:row r="24">
      <x:c r="A24" s="86" t="str">
        <x:v>可操作结论：将YU7长续航版→Pro的12,495.33元视为“未分配定价空间”，而不是补填新的硬件成本。只有在后续出现可验证的新配置、供应链成本或厂家分项信息时，才从残余转入相应成本层，并重新执行防重复计数签核。</x:v>
      </x:c>
      <x:c r="B24" s="86"/>
      <x:c r="C24" s="86"/>
      <x:c r="D24" s="86"/>
      <x:c r="E24" s="86"/>
      <x:c r="F24" s="86"/>
      <x:c r="G24" s="86"/>
      <x:c r="H24" s="86"/>
      <x:c r="I24" s="86"/>
      <x:c r="J24" s="86"/>
      <x:c r="K24" s="86"/>
      <x:c r="L24" s="86"/>
      <x:c r="M24" s="86"/>
      <x:c r="N24" s="86"/>
      <x:c r="O24" s="86"/>
      <x:c r="P24" s="86"/>
      <x:c r="Q24" s="86"/>
      <x:c r="R24" s="86"/>
      <x:c r="S24" s="86"/>
      <x:c r="T24" s="86"/>
    </x:row>
    <x:row r="25">
      <x:c r="A25" s="86"/>
      <x:c r="B25" s="86"/>
      <x:c r="C25" s="86"/>
      <x:c r="D25" s="86"/>
      <x:c r="E25" s="86"/>
      <x:c r="F25" s="86"/>
      <x:c r="G25" s="86"/>
      <x:c r="H25" s="86"/>
      <x:c r="I25" s="86"/>
      <x:c r="J25" s="86"/>
      <x:c r="K25" s="86"/>
      <x:c r="L25" s="86"/>
      <x:c r="M25" s="86"/>
      <x:c r="N25" s="86"/>
      <x:c r="O25" s="86"/>
      <x:c r="P25" s="86"/>
      <x:c r="Q25" s="86"/>
      <x:c r="R25" s="86"/>
      <x:c r="S25" s="86"/>
      <x:c r="T25" s="86"/>
    </x:row>
    <x:row r="26">
      <x:c r="A26" s="86"/>
      <x:c r="B26" s="86"/>
      <x:c r="C26" s="86"/>
      <x:c r="D26" s="86"/>
      <x:c r="E26" s="86"/>
      <x:c r="F26" s="86"/>
      <x:c r="G26" s="86"/>
      <x:c r="H26" s="86"/>
      <x:c r="I26" s="86"/>
      <x:c r="J26" s="86"/>
      <x:c r="K26" s="86"/>
      <x:c r="L26" s="86"/>
      <x:c r="M26" s="86"/>
      <x:c r="N26" s="86"/>
      <x:c r="O26" s="86"/>
      <x:c r="P26" s="86"/>
      <x:c r="Q26" s="86"/>
      <x:c r="R26" s="86"/>
      <x:c r="S26" s="86"/>
      <x:c r="T26" s="86"/>
    </x:row>
  </x:sheetData>
  <x:mergeCells>
    <x:mergeCell ref="A1:T1"/>
    <x:mergeCell ref="A2:T2"/>
    <x:mergeCell ref="A3:T3"/>
    <x:mergeCell ref="A5:H5"/>
    <x:mergeCell ref="A15:H15"/>
    <x:mergeCell ref="A24:T26"/>
  </x:mergeCells>
  <x:pageMargins left="0.7" right="0.7" top="0.75" bottom="0.75" header="0.3" footer="0.3"/>
  <x:drawing xmlns:r="http://schemas.openxmlformats.org/officeDocument/2006/relationships" r:id="R6cbe1d7756b046f8"/>
</x:worksheet>
</file>

<file path=xl/worksheets/sheet1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48" hidden="0" customWidth="1"/>
    <x:col min="3" max="3" width="20" hidden="0" customWidth="1"/>
    <x:col min="4" max="4" width="20" hidden="0" customWidth="1"/>
    <x:col min="5" max="5" width="14" hidden="0" customWidth="1"/>
    <x:col min="6" max="6" width="62" hidden="0" customWidth="1"/>
  </x:cols>
  <x:sheetData>
    <x:row r="1" ht="30" customHeight="1">
      <x:c r="A1" s="75" t="str">
        <x:v>17｜Phase 2.2 模型校验</x:v>
      </x:c>
      <x:c r="B1" s="75"/>
      <x:c r="C1" s="75"/>
      <x:c r="D1" s="75"/>
      <x:c r="E1" s="75"/>
      <x:c r="F1" s="75"/>
    </x:row>
    <x:row r="2" ht="22" customHeight="1">
      <x:c r="A2" s="78" t="str">
        <x:v>价格、VAT、成本层、残余、情景单调性、车系累计与术语边界的公式化验收</x:v>
      </x:c>
      <x:c r="B2" s="78"/>
      <x:c r="C2" s="78"/>
      <x:c r="D2" s="78"/>
      <x:c r="E2" s="78"/>
      <x:c r="F2" s="78"/>
    </x:row>
    <x:row r="3" ht="40" customHeight="1">
      <x:c r="A3" s="82" t="str">
        <x:v>金额容差0.01元；比率校验采用同一数值容差。负残余是允许的压力测试输出，不视为公式错误。</x:v>
      </x:c>
      <x:c r="B3" s="82"/>
      <x:c r="C3" s="82"/>
      <x:c r="D3" s="82"/>
      <x:c r="E3" s="82"/>
      <x:c r="F3" s="82"/>
    </x:row>
    <x:row r="6" ht="38" customHeight="1">
      <x:c r="A6" s="91" t="str">
        <x:v>check_id</x:v>
      </x:c>
      <x:c r="B6" s="91" t="str">
        <x:v>校验内容</x:v>
      </x:c>
      <x:c r="C6" s="91" t="str">
        <x:v>Expected</x:v>
      </x:c>
      <x:c r="D6" s="91" t="str">
        <x:v>Actual</x:v>
      </x:c>
      <x:c r="E6" s="91" t="str">
        <x:v>Status</x:v>
      </x:c>
      <x:c r="F6" s="91" t="str">
        <x:v>说明</x:v>
      </x:c>
    </x:row>
    <x:row r="7" ht="34" customHeight="1">
      <x:c r="A7" s="19" t="str">
        <x:v>C01_UPSTREAM_FAIL</x:v>
      </x:c>
      <x:c r="B7" s="19" t="str">
        <x:v>Phase 2.1C上游失败项</x:v>
      </x:c>
      <x:c r="C7" s="131" t="n">
        <x:v>0</x:v>
      </x:c>
      <x:c r="D7" s="133" t="n">
        <x:f>COUNTIF('11_校验'!$E$7:$E$30,"FAIL")</x:f>
        <x:v>0</x:v>
      </x:c>
      <x:c r="E7" s="19" t="str">
        <x:f>IF(ABS(D7-C7)&lt;0.01,"PASS","FAIL")</x:f>
        <x:v>PASS</x:v>
      </x:c>
      <x:c r="F7" s="19" t="str">
        <x:v>上游24项校验必须全过。</x:v>
      </x:c>
    </x:row>
    <x:row r="8" ht="34" customHeight="1">
      <x:c r="A8" s="92" t="str">
        <x:v>C02_BRIDGE_COUNT</x:v>
      </x:c>
      <x:c r="B8" s="92" t="str">
        <x:v>普通梯度桥数量</x:v>
      </x:c>
      <x:c r="C8" s="131" t="n">
        <x:v>5</x:v>
      </x:c>
      <x:c r="D8" s="134" t="n">
        <x:f>COUNTA('12_价差总览'!$A$8:$A$12)</x:f>
        <x:v>5</x:v>
      </x:c>
      <x:c r="E8" s="92" t="str">
        <x:f>IF(ABS(D8-C8)&lt;0.01,"PASS","FAIL")</x:f>
        <x:v>PASS</x:v>
      </x:c>
      <x:c r="F8" s="92" t="str">
        <x:v>恰好五座相邻桥。</x:v>
      </x:c>
    </x:row>
    <x:row r="9" ht="34" customHeight="1">
      <x:c r="A9" s="19" t="str">
        <x:v>C03_SU7_BRIDGES</x:v>
      </x:c>
      <x:c r="B9" s="19" t="str">
        <x:v>SU7桥数量</x:v>
      </x:c>
      <x:c r="C9" s="131" t="n">
        <x:v>2</x:v>
      </x:c>
      <x:c r="D9" s="133" t="n">
        <x:f>COUNTIF('12_价差总览'!$B$8:$B$12,"SU7")</x:f>
        <x:v>2</x:v>
      </x:c>
      <x:c r="E9" s="19" t="str">
        <x:f>IF(ABS(D9-C9)&lt;0.01,"PASS","FAIL")</x:f>
        <x:v>PASS</x:v>
      </x:c>
      <x:c r="F9" s="19" t="str">
        <x:v>标准→Pro、Pro→Max。</x:v>
      </x:c>
    </x:row>
    <x:row r="10" ht="34" customHeight="1">
      <x:c r="A10" s="92" t="str">
        <x:v>C04_YU7_BRIDGES</x:v>
      </x:c>
      <x:c r="B10" s="92" t="str">
        <x:v>YU7桥数量</x:v>
      </x:c>
      <x:c r="C10" s="131" t="n">
        <x:v>3</x:v>
      </x:c>
      <x:c r="D10" s="134" t="n">
        <x:f>COUNTIF('12_价差总览'!$B$8:$B$12,"YU7")</x:f>
        <x:v>3</x:v>
      </x:c>
      <x:c r="E10" s="92" t="str">
        <x:f>IF(ABS(D10-C10)&lt;0.01,"PASS","FAIL")</x:f>
        <x:v>PASS</x:v>
      </x:c>
      <x:c r="F10" s="92" t="str">
        <x:v>标准→长续航、长续航→Pro、Pro→Max。</x:v>
      </x:c>
    </x:row>
    <x:row r="11" ht="34" customHeight="1">
      <x:c r="A11" s="19" t="str">
        <x:v>C05_GT_EXCLUDED</x:v>
      </x:c>
      <x:c r="B11" s="19" t="str">
        <x:v>普通梯度价格输入中的GT数量</x:v>
      </x:c>
      <x:c r="C11" s="131" t="n">
        <x:v>0</x:v>
      </x:c>
      <x:c r="D11" s="133" t="n">
        <x:f>COUNTIF('12_价差总览'!$A$17:$C$23,"*GT*")</x:f>
        <x:v>0</x:v>
      </x:c>
      <x:c r="E11" s="19" t="str">
        <x:f>IF(ABS(D11-C11)&lt;0.01,"PASS","FAIL")</x:f>
        <x:v>PASS</x:v>
      </x:c>
      <x:c r="F11" s="19" t="str">
        <x:v>GT不进入Phase 2.2普通版本回归。</x:v>
      </x:c>
    </x:row>
    <x:row r="12" ht="34" customHeight="1">
      <x:c r="A12" s="92" t="str">
        <x:v>C06_SU7_STD_PRO_PRICE</x:v>
      </x:c>
      <x:c r="B12" s="92" t="str">
        <x:v>SU7标准→Pro含税价差</x:v>
      </x:c>
      <x:c r="C12" s="131" t="n">
        <x:v>30000</x:v>
      </x:c>
      <x:c r="D12" s="134" t="n">
        <x:f>'12_价差总览'!$D$18-'12_价差总览'!$D$17</x:f>
        <x:v>30000</x:v>
      </x:c>
      <x:c r="E12" s="92" t="str">
        <x:f>IF(ABS(D12-C12)&lt;0.01,"PASS","FAIL")</x:f>
        <x:v>PASS</x:v>
      </x:c>
      <x:c r="F12" s="92" t="str">
        <x:v>当前官方价格24.99-21.99万元。</x:v>
      </x:c>
    </x:row>
    <x:row r="13" ht="34" customHeight="1">
      <x:c r="A13" s="19" t="str">
        <x:v>C07_SU7_PRO_MAX_PRICE</x:v>
      </x:c>
      <x:c r="B13" s="19" t="str">
        <x:v>SU7 Pro→Max含税价差</x:v>
      </x:c>
      <x:c r="C13" s="131" t="n">
        <x:v>54000</x:v>
      </x:c>
      <x:c r="D13" s="133" t="n">
        <x:f>'12_价差总览'!$D$19-'12_价差总览'!$D$18</x:f>
        <x:v>54000</x:v>
      </x:c>
      <x:c r="E13" s="19" t="str">
        <x:f>IF(ABS(D13-C13)&lt;0.01,"PASS","FAIL")</x:f>
        <x:v>PASS</x:v>
      </x:c>
      <x:c r="F13" s="19" t="str">
        <x:v>当前官方价格30.39-24.99万元。</x:v>
      </x:c>
    </x:row>
    <x:row r="14" ht="34" customHeight="1">
      <x:c r="A14" s="92" t="str">
        <x:v>C08_YU7_STD_LR_PRICE</x:v>
      </x:c>
      <x:c r="B14" s="92" t="str">
        <x:v>YU7标准→长续航含税价差</x:v>
      </x:c>
      <x:c r="C14" s="131" t="n">
        <x:v>20000</x:v>
      </x:c>
      <x:c r="D14" s="134" t="n">
        <x:f>'12_价差总览'!$D$21-'12_价差总览'!$D$20</x:f>
        <x:v>20000</x:v>
      </x:c>
      <x:c r="E14" s="92" t="str">
        <x:f>IF(ABS(D14-C14)&lt;0.01,"PASS","FAIL")</x:f>
        <x:v>PASS</x:v>
      </x:c>
      <x:c r="F14" s="92" t="str">
        <x:v>当前官方价格25.35-23.35万元。</x:v>
      </x:c>
    </x:row>
    <x:row r="15" ht="34" customHeight="1">
      <x:c r="A15" s="19" t="str">
        <x:v>C09_YU7_LR_PRO_PRICE</x:v>
      </x:c>
      <x:c r="B15" s="19" t="str">
        <x:v>YU7长续航→Pro含税价差</x:v>
      </x:c>
      <x:c r="C15" s="131" t="n">
        <x:v>26400</x:v>
      </x:c>
      <x:c r="D15" s="133" t="n">
        <x:f>'12_价差总览'!$D$22-'12_价差总览'!$D$21</x:f>
        <x:v>26400</x:v>
      </x:c>
      <x:c r="E15" s="19" t="str">
        <x:f>IF(ABS(D15-C15)&lt;0.01,"PASS","FAIL")</x:f>
        <x:v>PASS</x:v>
      </x:c>
      <x:c r="F15" s="19" t="str">
        <x:v>当前官方价格27.99-25.35万元。</x:v>
      </x:c>
    </x:row>
    <x:row r="16" ht="34" customHeight="1">
      <x:c r="A16" s="92" t="str">
        <x:v>C10_YU7_PRO_MAX_PRICE</x:v>
      </x:c>
      <x:c r="B16" s="92" t="str">
        <x:v>YU7 Pro→Max含税价差</x:v>
      </x:c>
      <x:c r="C16" s="131" t="n">
        <x:v>50000</x:v>
      </x:c>
      <x:c r="D16" s="134" t="n">
        <x:f>'12_价差总览'!$D$23-'12_价差总览'!$D$22</x:f>
        <x:v>50000</x:v>
      </x:c>
      <x:c r="E16" s="92" t="str">
        <x:f>IF(ABS(D16-C16)&lt;0.01,"PASS","FAIL")</x:f>
        <x:v>PASS</x:v>
      </x:c>
      <x:c r="F16" s="92" t="str">
        <x:v>当前官方价格32.99-27.99万元。</x:v>
      </x:c>
    </x:row>
    <x:row r="17" ht="34" customHeight="1">
      <x:c r="A17" s="19" t="str">
        <x:v>C11_SINGLE_VAT</x:v>
      </x:c>
      <x:c r="B17" s="19" t="str">
        <x:v>五桥VAT差异最大值</x:v>
      </x:c>
      <x:c r="C17" s="131" t="n">
        <x:v>0</x:v>
      </x:c>
      <x:c r="D17" s="133" t="n">
        <x:f>MAX('04_售价成本校准'!$F$7:$F$11)-MIN('04_售价成本校准'!$F$7:$F$11)</x:f>
        <x:v>0</x:v>
      </x:c>
      <x:c r="E17" s="19" t="str">
        <x:f>IF(ABS(D17-C17)&lt;0.01,"PASS","FAIL")</x:f>
        <x:v>PASS</x:v>
      </x:c>
      <x:c r="F17" s="19" t="str">
        <x:v>统一13%。</x:v>
      </x:c>
    </x:row>
    <x:row r="18" ht="34" customHeight="1">
      <x:c r="A18" s="92" t="str">
        <x:v>C12_EXVAT_ROUNDING</x:v>
      </x:c>
      <x:c r="B18" s="92" t="str">
        <x:v>未税价差回勾最大差异</x:v>
      </x:c>
      <x:c r="C18" s="131" t="n">
        <x:v>0</x:v>
      </x:c>
      <x:c r="D18" s="134" t="n">
        <x:f>MAX(ABS('12_价差总览'!E8-ROUND('12_价差总览'!D8/(1+'12_价差总览'!$B$27),2)),ABS('12_价差总览'!E9-ROUND('12_价差总览'!D9/(1+'12_价差总览'!$B$27),2)),ABS('12_价差总览'!E10-ROUND('12_价差总览'!D10/(1+'12_价差总览'!$B$27),2)),ABS('12_价差总览'!E11-ROUND('12_价差总览'!D11/(1+'12_价差总览'!$B$27),2)),ABS('12_价差总览'!E12-ROUND('12_价差总览'!D12/(1+'12_价差总览'!$B$27),2)))</x:f>
        <x:v>0</x:v>
      </x:c>
      <x:c r="E18" s="92" t="str">
        <x:f>IF(ABS(D18-C18)&lt;0.01,"PASS","FAIL")</x:f>
        <x:v>PASS</x:v>
      </x:c>
      <x:c r="F18" s="92" t="str">
        <x:v>含税价差÷1.13并四舍五入到分。</x:v>
      </x:c>
    </x:row>
    <x:row r="19" ht="34" customHeight="1">
      <x:c r="A19" s="19" t="str">
        <x:v>C13_MID_TOTAL_IDENTITY</x:v>
      </x:c>
      <x:c r="B19" s="19" t="str">
        <x:v>中情景总成本恒等式最大差异</x:v>
      </x:c>
      <x:c r="C19" s="131" t="n">
        <x:v>0</x:v>
      </x:c>
      <x:c r="D19" s="133" t="n">
        <x:f>MAX(ABS('12_价差总览'!I8-SUM('12_价差总览'!F8:H8)),ABS('12_价差总览'!I9-SUM('12_价差总览'!F9:H9)),ABS('12_价差总览'!I10-SUM('12_价差总览'!F10:H10)),ABS('12_价差总览'!I11-SUM('12_价差总览'!F11:H11)),ABS('12_价差总览'!I12-SUM('12_价差总览'!F12:H12)))</x:f>
        <x:v>7.275957614183426e-12</x:v>
      </x:c>
      <x:c r="E19" s="19" t="str">
        <x:f>IF(ABS(D19-C19)&lt;0.01,"PASS","FAIL")</x:f>
        <x:v>PASS</x:v>
      </x:c>
      <x:c r="F19" s="19" t="str">
        <x:v>物理BOM+M09+M10。</x:v>
      </x:c>
    </x:row>
    <x:row r="20" ht="34" customHeight="1">
      <x:c r="A20" s="92" t="str">
        <x:v>C14_MID_RESIDUAL_IDENTITY</x:v>
      </x:c>
      <x:c r="B20" s="92" t="str">
        <x:v>中情景残余恒等式最大差异</x:v>
      </x:c>
      <x:c r="C20" s="131" t="n">
        <x:v>0</x:v>
      </x:c>
      <x:c r="D20" s="134" t="n">
        <x:f>MAX(ABS('12_价差总览'!J8-('12_价差总览'!E8-'12_价差总览'!I8)),ABS('12_价差总览'!J9-('12_价差总览'!E9-'12_价差总览'!I9)),ABS('12_价差总览'!J10-('12_价差总览'!E10-'12_价差总览'!I10)),ABS('12_价差总览'!J11-('12_价差总览'!E11-'12_价差总览'!I11)),ABS('12_价差总览'!J12-('12_价差总览'!E12-'12_价差总览'!I12)))</x:f>
        <x:v>3.637978807091713e-12</x:v>
      </x:c>
      <x:c r="E20" s="92" t="str">
        <x:f>IF(ABS(D20-C20)&lt;0.01,"PASS","FAIL")</x:f>
        <x:v>PASS</x:v>
      </x:c>
      <x:c r="F20" s="92" t="str">
        <x:v>未税售价差-总增量成本。</x:v>
      </x:c>
    </x:row>
    <x:row r="21" ht="34" customHeight="1">
      <x:c r="A21" s="19" t="str">
        <x:v>C15_RATIO_IDENTITY</x:v>
      </x:c>
      <x:c r="B21" s="19" t="str">
        <x:v>覆盖率+贡献空间最大偏差</x:v>
      </x:c>
      <x:c r="C21" s="131" t="n">
        <x:v>0</x:v>
      </x:c>
      <x:c r="D21" s="133" t="n">
        <x:f>MAX(ABS('12_价差总览'!K8+'12_价差总览'!L8-1),ABS('12_价差总览'!K9+'12_价差总览'!L9-1),ABS('12_价差总览'!K10+'12_价差总览'!L10-1),ABS('12_价差总览'!K11+'12_价差总览'!L11-1),ABS('12_价差总览'!K12+'12_价差总览'!L12-1))</x:f>
        <x:v>2.220446049250313e-16</x:v>
      </x:c>
      <x:c r="E21" s="19" t="str">
        <x:f>IF(ABS(D21-C21)&lt;0.01,"PASS","FAIL")</x:f>
        <x:v>PASS</x:v>
      </x:c>
      <x:c r="F21" s="19" t="str">
        <x:v>两者之和必须为100%。</x:v>
      </x:c>
    </x:row>
    <x:row r="22" ht="34" customHeight="1">
      <x:c r="A22" s="92" t="str">
        <x:v>C16_COVERAGE_FORMULA</x:v>
      </x:c>
      <x:c r="B22" s="92" t="str">
        <x:v>覆盖率公式最大差异</x:v>
      </x:c>
      <x:c r="C22" s="131" t="n">
        <x:v>0</x:v>
      </x:c>
      <x:c r="D22" s="134" t="n">
        <x:f>MAX(ABS('12_价差总览'!K8-'12_价差总览'!I8/'12_价差总览'!E8),ABS('12_价差总览'!K9-'12_价差总览'!I9/'12_价差总览'!E9),ABS('12_价差总览'!K10-'12_价差总览'!I10/'12_价差总览'!E10),ABS('12_价差总览'!K11-'12_价差总览'!I11/'12_价差总览'!E11),ABS('12_价差总览'!K12-'12_价差总览'!I12/'12_价差总览'!E12))</x:f>
        <x:v>0</x:v>
      </x:c>
      <x:c r="E22" s="92" t="str">
        <x:f>IF(ABS(D22-C22)&lt;0.01,"PASS","FAIL")</x:f>
        <x:v>PASS</x:v>
      </x:c>
      <x:c r="F22" s="92" t="str">
        <x:v>总成本÷未税售价差。</x:v>
      </x:c>
    </x:row>
    <x:row r="23" ht="34" customHeight="1">
      <x:c r="A23" s="19" t="str">
        <x:v>C17_PHYSICAL_MONO</x:v>
      </x:c>
      <x:c r="B23" s="19" t="str">
        <x:v>物理BOM单调性违反数</x:v>
      </x:c>
      <x:c r="C23" s="131" t="n">
        <x:v>0</x:v>
      </x:c>
      <x:c r="D23" s="133" t="n">
        <x:f>IF('04_售价成本校准'!H7&lt;='04_售价成本校准'!I7,0,1)+IF('04_售价成本校准'!I7&lt;='04_售价成本校准'!J7,0,1)+IF('04_售价成本校准'!H8&lt;='04_售价成本校准'!I8,0,1)+IF('04_售价成本校准'!I8&lt;='04_售价成本校准'!J8,0,1)+IF('04_售价成本校准'!H9&lt;='04_售价成本校准'!I9,0,1)+IF('04_售价成本校准'!I9&lt;='04_售价成本校准'!J9,0,1)+IF('04_售价成本校准'!H10&lt;='04_售价成本校准'!I10,0,1)+IF('04_售价成本校准'!I10&lt;='04_售价成本校准'!J10,0,1)+IF('04_售价成本校准'!H11&lt;='04_售价成本校准'!I11,0,1)+IF('04_售价成本校准'!I11&lt;='04_售价成本校准'!J11,0,1)</x:f>
        <x:v>0</x:v>
      </x:c>
      <x:c r="E23" s="19" t="str">
        <x:f>IF(ABS(D23-C23)&lt;0.01,"PASS","FAIL")</x:f>
        <x:v>PASS</x:v>
      </x:c>
      <x:c r="F23" s="19" t="str">
        <x:v>Low≤Mid≤High。</x:v>
      </x:c>
    </x:row>
    <x:row r="24" ht="34" customHeight="1">
      <x:c r="A24" s="92" t="str">
        <x:v>C18_TOTAL_MONO</x:v>
      </x:c>
      <x:c r="B24" s="92" t="str">
        <x:v>总成本单调性违反数</x:v>
      </x:c>
      <x:c r="C24" s="131" t="n">
        <x:v>0</x:v>
      </x:c>
      <x:c r="D24" s="134" t="n">
        <x:f>IF('04_售价成本校准'!K7&lt;='04_售价成本校准'!L7,0,1)+IF('04_售价成本校准'!L7&lt;='04_售价成本校准'!M7,0,1)+IF('04_售价成本校准'!K8&lt;='04_售价成本校准'!L8,0,1)+IF('04_售价成本校准'!L8&lt;='04_售价成本校准'!M8,0,1)+IF('04_售价成本校准'!K9&lt;='04_售价成本校准'!L9,0,1)+IF('04_售价成本校准'!L9&lt;='04_售价成本校准'!M9,0,1)+IF('04_售价成本校准'!K10&lt;='04_售价成本校准'!L10,0,1)+IF('04_售价成本校准'!L10&lt;='04_售价成本校准'!M10,0,1)+IF('04_售价成本校准'!K11&lt;='04_售价成本校准'!L11,0,1)+IF('04_售价成本校准'!L11&lt;='04_售价成本校准'!M11,0,1)</x:f>
        <x:v>0</x:v>
      </x:c>
      <x:c r="E24" s="92" t="str">
        <x:f>IF(ABS(D24-C24)&lt;0.01,"PASS","FAIL")</x:f>
        <x:v>PASS</x:v>
      </x:c>
      <x:c r="F24" s="92" t="str">
        <x:v>Low≤Mid≤High。</x:v>
      </x:c>
    </x:row>
    <x:row r="25" ht="34" customHeight="1">
      <x:c r="A25" s="19" t="str">
        <x:v>C19_RESIDUAL_REVERSE_MONO</x:v>
      </x:c>
      <x:c r="B25" s="19" t="str">
        <x:v>残余反向单调性违反数</x:v>
      </x:c>
      <x:c r="C25" s="131" t="n">
        <x:v>0</x:v>
      </x:c>
      <x:c r="D25" s="133" t="n">
        <x:f>IF('04_售价成本校准'!Q7&gt;='04_售价成本校准'!R7,0,1)+IF('04_售价成本校准'!R7&gt;='04_售价成本校准'!S7,0,1)+IF('04_售价成本校准'!Q8&gt;='04_售价成本校准'!R8,0,1)+IF('04_售价成本校准'!R8&gt;='04_售价成本校准'!S8,0,1)+IF('04_售价成本校准'!Q9&gt;='04_售价成本校准'!R9,0,1)+IF('04_售价成本校准'!R9&gt;='04_售价成本校准'!S9,0,1)+IF('04_售价成本校准'!Q10&gt;='04_售价成本校准'!R10,0,1)+IF('04_售价成本校准'!R10&gt;='04_售价成本校准'!S10,0,1)+IF('04_售价成本校准'!Q11&gt;='04_售价成本校准'!R11,0,1)+IF('04_售价成本校准'!R11&gt;='04_售价成本校准'!S11,0,1)</x:f>
        <x:v>0</x:v>
      </x:c>
      <x:c r="E25" s="19" t="str">
        <x:f>IF(ABS(D25-C25)&lt;0.01,"PASS","FAIL")</x:f>
        <x:v>PASS</x:v>
      </x:c>
      <x:c r="F25" s="19" t="str">
        <x:v>Low≥Mid≥High。</x:v>
      </x:c>
    </x:row>
    <x:row r="26" ht="34" customHeight="1">
      <x:c r="A26" s="92" t="str">
        <x:v>C20_COVERAGE_MONO</x:v>
      </x:c>
      <x:c r="B26" s="92" t="str">
        <x:v>覆盖率单调性违反数</x:v>
      </x:c>
      <x:c r="C26" s="131" t="n">
        <x:v>0</x:v>
      </x:c>
      <x:c r="D26" s="134" t="n">
        <x:f>IF('04_售价成本校准'!N7&lt;='04_售价成本校准'!O7,0,1)+IF('04_售价成本校准'!O7&lt;='04_售价成本校准'!P7,0,1)+IF('04_售价成本校准'!N8&lt;='04_售价成本校准'!O8,0,1)+IF('04_售价成本校准'!O8&lt;='04_售价成本校准'!P8,0,1)+IF('04_售价成本校准'!N9&lt;='04_售价成本校准'!O9,0,1)+IF('04_售价成本校准'!O9&lt;='04_售价成本校准'!P9,0,1)+IF('04_售价成本校准'!N10&lt;='04_售价成本校准'!O10,0,1)+IF('04_售价成本校准'!O10&lt;='04_售价成本校准'!P10,0,1)+IF('04_售价成本校准'!N11&lt;='04_售价成本校准'!O11,0,1)+IF('04_售价成本校准'!O11&lt;='04_售价成本校准'!P11,0,1)</x:f>
        <x:v>0</x:v>
      </x:c>
      <x:c r="E26" s="92" t="str">
        <x:f>IF(ABS(D26-C26)&lt;0.01,"PASS","FAIL")</x:f>
        <x:v>PASS</x:v>
      </x:c>
      <x:c r="F26" s="92" t="str">
        <x:v>Low≤Mid≤High。</x:v>
      </x:c>
    </x:row>
    <x:row r="27" ht="34" customHeight="1">
      <x:c r="A27" s="19" t="str">
        <x:v>C21_M09_LOW_RATE</x:v>
      </x:c>
      <x:c r="B27" s="19" t="str">
        <x:v>M09 Low费率最大差异</x:v>
      </x:c>
      <x:c r="C27" s="131" t="n">
        <x:v>0</x:v>
      </x:c>
      <x:c r="D27" s="133" t="n">
        <x:f>MAX(ABS('15_情景敏感性'!G8-'15_情景敏感性'!F8*1%),ABS('15_情景敏感性'!G11-'15_情景敏感性'!F11*1%),ABS('15_情景敏感性'!G14-'15_情景敏感性'!F14*1%),ABS('15_情景敏感性'!G17-'15_情景敏感性'!F17*1%),ABS('15_情景敏感性'!G20-'15_情景敏感性'!F20*1%))</x:f>
        <x:v>0</x:v>
      </x:c>
      <x:c r="E27" s="19" t="str">
        <x:f>IF(ABS(D27-C27)&lt;0.01,"PASS","FAIL")</x:f>
        <x:v>PASS</x:v>
      </x:c>
      <x:c r="F27" s="19" t="str">
        <x:v>制造覆盖Low=物理BOM×1%。</x:v>
      </x:c>
    </x:row>
    <x:row r="28" ht="34" customHeight="1">
      <x:c r="A28" s="92" t="str">
        <x:v>C22_M09_MID_RATE</x:v>
      </x:c>
      <x:c r="B28" s="92" t="str">
        <x:v>M09 Mid费率最大差异</x:v>
      </x:c>
      <x:c r="C28" s="131" t="n">
        <x:v>0</x:v>
      </x:c>
      <x:c r="D28" s="134" t="n">
        <x:f>MAX(ABS('15_情景敏感性'!G9-'15_情景敏感性'!F9*2%),ABS('15_情景敏感性'!G12-'15_情景敏感性'!F12*2%),ABS('15_情景敏感性'!G15-'15_情景敏感性'!F15*2%),ABS('15_情景敏感性'!G18-'15_情景敏感性'!F18*2%),ABS('15_情景敏感性'!G21-'15_情景敏感性'!F21*2%))</x:f>
        <x:v>5.684341886080802e-14</x:v>
      </x:c>
      <x:c r="E28" s="92" t="str">
        <x:f>IF(ABS(D28-C28)&lt;0.01,"PASS","FAIL")</x:f>
        <x:v>PASS</x:v>
      </x:c>
      <x:c r="F28" s="92" t="str">
        <x:v>制造覆盖Mid=物理BOM×2%。</x:v>
      </x:c>
    </x:row>
    <x:row r="29" ht="34" customHeight="1">
      <x:c r="A29" s="19" t="str">
        <x:v>C23_M09_HIGH_RATE</x:v>
      </x:c>
      <x:c r="B29" s="19" t="str">
        <x:v>M09 High费率最大差异</x:v>
      </x:c>
      <x:c r="C29" s="131" t="n">
        <x:v>0</x:v>
      </x:c>
      <x:c r="D29" s="133" t="n">
        <x:f>MAX(ABS('15_情景敏感性'!G10-'15_情景敏感性'!F10*4%),ABS('15_情景敏感性'!G13-'15_情景敏感性'!F13*4%),ABS('15_情景敏感性'!G16-'15_情景敏感性'!F16*4%),ABS('15_情景敏感性'!G19-'15_情景敏感性'!F19*4%),ABS('15_情景敏感性'!G22-'15_情景敏感性'!F22*4%))</x:f>
        <x:v>0</x:v>
      </x:c>
      <x:c r="E29" s="19" t="str">
        <x:f>IF(ABS(D29-C29)&lt;0.01,"PASS","FAIL")</x:f>
        <x:v>PASS</x:v>
      </x:c>
      <x:c r="F29" s="19" t="str">
        <x:v>制造覆盖High=物理BOM×4%。</x:v>
      </x:c>
    </x:row>
    <x:row r="30" ht="34" customHeight="1">
      <x:c r="A30" s="92" t="str">
        <x:v>C24_M10_LOW_RATE</x:v>
      </x:c>
      <x:c r="B30" s="92" t="str">
        <x:v>M10 Low费率最大差异</x:v>
      </x:c>
      <x:c r="C30" s="131" t="n">
        <x:v>0</x:v>
      </x:c>
      <x:c r="D30" s="134" t="n">
        <x:f>MAX(ABS('15_情景敏感性'!H8-'15_情景敏感性'!F8*0.5%),ABS('15_情景敏感性'!H11-'15_情景敏感性'!F11*0.5%),ABS('15_情景敏感性'!H14-'15_情景敏感性'!F14*0.5%),ABS('15_情景敏感性'!H17-'15_情景敏感性'!F17*0.5%),ABS('15_情景敏感性'!H20-'15_情景敏感性'!F20*0.5%))</x:f>
        <x:v>0</x:v>
      </x:c>
      <x:c r="E30" s="92" t="str">
        <x:f>IF(ABS(D30-C30)&lt;0.01,"PASS","FAIL")</x:f>
        <x:v>PASS</x:v>
      </x:c>
      <x:c r="F30" s="92" t="str">
        <x:v>质保覆盖Low=物理BOM×0.5%。</x:v>
      </x:c>
    </x:row>
    <x:row r="31" ht="34" customHeight="1">
      <x:c r="A31" s="19" t="str">
        <x:v>C25_M10_MID_RATE</x:v>
      </x:c>
      <x:c r="B31" s="19" t="str">
        <x:v>M10 Mid费率最大差异</x:v>
      </x:c>
      <x:c r="C31" s="131" t="n">
        <x:v>0</x:v>
      </x:c>
      <x:c r="D31" s="133" t="n">
        <x:f>MAX(ABS('15_情景敏感性'!H9-'15_情景敏感性'!F9*1.5%),ABS('15_情景敏感性'!H12-'15_情景敏感性'!F12*1.5%),ABS('15_情景敏感性'!H15-'15_情景敏感性'!F15*1.5%),ABS('15_情景敏感性'!H18-'15_情景敏感性'!F18*1.5%),ABS('15_情景敏感性'!H21-'15_情景敏感性'!F21*1.5%))</x:f>
        <x:v>2.842170943040401e-14</x:v>
      </x:c>
      <x:c r="E31" s="19" t="str">
        <x:f>IF(ABS(D31-C31)&lt;0.01,"PASS","FAIL")</x:f>
        <x:v>PASS</x:v>
      </x:c>
      <x:c r="F31" s="19" t="str">
        <x:v>质保覆盖Mid=物理BOM×1.5%。</x:v>
      </x:c>
    </x:row>
    <x:row r="32" ht="34" customHeight="1">
      <x:c r="A32" s="92" t="str">
        <x:v>C26_M10_HIGH_RATE</x:v>
      </x:c>
      <x:c r="B32" s="92" t="str">
        <x:v>M10 High费率最大差异</x:v>
      </x:c>
      <x:c r="C32" s="131" t="n">
        <x:v>0</x:v>
      </x:c>
      <x:c r="D32" s="134" t="n">
        <x:f>MAX(ABS('15_情景敏感性'!H10-'15_情景敏感性'!F10*3%),ABS('15_情景敏感性'!H13-'15_情景敏感性'!F13*3%),ABS('15_情景敏感性'!H16-'15_情景敏感性'!F16*3%),ABS('15_情景敏感性'!H19-'15_情景敏感性'!F19*3%),ABS('15_情景敏感性'!H22-'15_情景敏感性'!F22*3%))</x:f>
        <x:v>2.2737367544323206e-13</x:v>
      </x:c>
      <x:c r="E32" s="92" t="str">
        <x:f>IF(ABS(D32-C32)&lt;0.01,"PASS","FAIL")</x:f>
        <x:v>PASS</x:v>
      </x:c>
      <x:c r="F32" s="92" t="str">
        <x:v>质保覆盖High=物理BOM×3%。</x:v>
      </x:c>
    </x:row>
    <x:row r="33" ht="34" customHeight="1">
      <x:c r="A33" s="19" t="str">
        <x:v>C27_LRPRO_ROWS</x:v>
      </x:c>
      <x:c r="B33" s="19" t="str">
        <x:v>YU7长续航→Pro核心原子行数</x:v>
      </x:c>
      <x:c r="C33" s="131" t="n">
        <x:v>2</x:v>
      </x:c>
      <x:c r="D33" s="133" t="n">
        <x:f>COUNTIF('02_桥接拆项'!$A$7:$A$43,"BR-YU7-LR-PRO")</x:f>
        <x:v>2</x:v>
      </x:c>
      <x:c r="E33" s="19" t="str">
        <x:f>IF(ABS(D33-C33)&lt;0.01,"PASS","FAIL")</x:f>
        <x:v>PASS</x:v>
      </x:c>
      <x:c r="F33" s="19" t="str">
        <x:v>仅前桥电驱和不含CDC的双腔空悬。</x:v>
      </x:c>
    </x:row>
    <x:row r="34" ht="34" customHeight="1">
      <x:c r="A34" s="92" t="str">
        <x:v>C28_LRPRO_BATTERY</x:v>
      </x:c>
      <x:c r="B34" s="92" t="str">
        <x:v>YU7长续航→Pro电池行数</x:v>
      </x:c>
      <x:c r="C34" s="131" t="n">
        <x:v>0</x:v>
      </x:c>
      <x:c r="D34" s="134" t="n">
        <x:f>COUNTIFS('02_桥接拆项'!$A$7:$A$43,"BR-YU7-LR-PRO",'02_桥接拆项'!$F$7:$F$43,"M01_BATTERY")</x:f>
        <x:v>0</x:v>
      </x:c>
      <x:c r="E34" s="92" t="str">
        <x:f>IF(ABS(D34-C34)&lt;0.01,"PASS","FAIL")</x:f>
        <x:v>PASS</x:v>
      </x:c>
      <x:c r="F34" s="92" t="str">
        <x:v>同96.3kWh LFP。</x:v>
      </x:c>
    </x:row>
    <x:row r="35" ht="34" customHeight="1">
      <x:c r="A35" s="19" t="str">
        <x:v>C29_LRPRO_HV</x:v>
      </x:c>
      <x:c r="B35" s="19" t="str">
        <x:v>YU7长续航→Pro高压行数</x:v>
      </x:c>
      <x:c r="C35" s="131" t="n">
        <x:v>0</x:v>
      </x:c>
      <x:c r="D35" s="133" t="n">
        <x:f>COUNTIFS('02_桥接拆项'!$A$7:$A$43,"BR-YU7-LR-PRO",'02_桥接拆项'!$F$7:$F$43,"M03_HIGH_VOLTAGE")</x:f>
        <x:v>0</x:v>
      </x:c>
      <x:c r="E35" s="19" t="str">
        <x:f>IF(ABS(D35-C35)&lt;0.01,"PASS","FAIL")</x:f>
        <x:v>PASS</x:v>
      </x:c>
      <x:c r="F35" s="19" t="str">
        <x:v>同752V精确口径。</x:v>
      </x:c>
    </x:row>
    <x:row r="36" ht="34" customHeight="1">
      <x:c r="A36" s="92" t="str">
        <x:v>C30_LRPRO_CDC</x:v>
      </x:c>
      <x:c r="B36" s="92" t="str">
        <x:v>YU7长续航→Pro CDC行数</x:v>
      </x:c>
      <x:c r="C36" s="131" t="n">
        <x:v>0</x:v>
      </x:c>
      <x:c r="D36" s="134" t="n">
        <x:f>COUNTIFS('02_桥接拆项'!$A$7:$A$43,"BR-YU7-LR-PRO",'02_桥接拆项'!$E$7:$E$43,"INC_CDC")</x:f>
        <x:v>0</x:v>
      </x:c>
      <x:c r="E36" s="92" t="str">
        <x:f>IF(ABS(D36-C36)&lt;0.01,"PASS","FAIL")</x:f>
        <x:v>PASS</x:v>
      </x:c>
      <x:c r="F36" s="92" t="str">
        <x:v>CDC已在长续航版存在。</x:v>
      </x:c>
    </x:row>
    <x:row r="37" ht="34" customHeight="1">
      <x:c r="A37" s="19" t="str">
        <x:v>C31_LRPRO_PHYSICAL_MID</x:v>
      </x:c>
      <x:c r="B37" s="19" t="str">
        <x:v>YU7长续航→Pro物理BOM中情景</x:v>
      </x:c>
      <x:c r="C37" s="131" t="n">
        <x:v>10500</x:v>
      </x:c>
      <x:c r="D37" s="133" t="n">
        <x:f>'04_售价成本校准'!$I$10</x:f>
        <x:v>10500</x:v>
      </x:c>
      <x:c r="E37" s="19" t="str">
        <x:f>IF(ABS(D37-C37)&lt;0.01,"PASS","FAIL")</x:f>
        <x:v>PASS</x:v>
      </x:c>
      <x:c r="F37" s="19" t="str">
        <x:v>5,500+5,000。</x:v>
      </x:c>
    </x:row>
    <x:row r="38" ht="34" customHeight="1">
      <x:c r="A38" s="92" t="str">
        <x:v>C32_SU7_CUM_INCL</x:v>
      </x:c>
      <x:c r="B38" s="92" t="str">
        <x:v>SU7标准→Max累计含税价差</x:v>
      </x:c>
      <x:c r="C38" s="131" t="n">
        <x:v>84000</x:v>
      </x:c>
      <x:c r="D38" s="134" t="n">
        <x:f>'12_价差总览'!$D$19-'12_价差总览'!$D$17</x:f>
        <x:v>84000</x:v>
      </x:c>
      <x:c r="E38" s="92" t="str">
        <x:f>IF(ABS(D38-C38)&lt;0.01,"PASS","FAIL")</x:f>
        <x:v>PASS</x:v>
      </x:c>
      <x:c r="F38" s="92" t="str">
        <x:v>30,000+54,000。</x:v>
      </x:c>
    </x:row>
    <x:row r="39" ht="34" customHeight="1">
      <x:c r="A39" s="19" t="str">
        <x:v>C33_SU7_CUM_EXVAT</x:v>
      </x:c>
      <x:c r="B39" s="19" t="str">
        <x:v>SU7标准→Max累计未税价差</x:v>
      </x:c>
      <x:c r="C39" s="131" t="n">
        <x:v>74336.28</x:v>
      </x:c>
      <x:c r="D39" s="133" t="n">
        <x:f>ROUND(('12_价差总览'!$D$19-'12_价差总览'!$D$17)/(1+'12_价差总览'!$B$27),2)</x:f>
        <x:v>74336.28</x:v>
      </x:c>
      <x:c r="E39" s="19" t="str">
        <x:f>IF(ABS(D39-C39)&lt;0.01,"PASS","FAIL")</x:f>
        <x:v>PASS</x:v>
      </x:c>
      <x:c r="F39" s="19" t="str">
        <x:v>端点价格直接回勾。</x:v>
      </x:c>
    </x:row>
    <x:row r="40" ht="34" customHeight="1">
      <x:c r="A40" s="92" t="str">
        <x:v>C34_YU7_CUM_INCL</x:v>
      </x:c>
      <x:c r="B40" s="92" t="str">
        <x:v>YU7标准→Max累计含税价差</x:v>
      </x:c>
      <x:c r="C40" s="131" t="n">
        <x:v>96400</x:v>
      </x:c>
      <x:c r="D40" s="134" t="n">
        <x:f>'12_价差总览'!$D$23-'12_价差总览'!$D$20</x:f>
        <x:v>96400</x:v>
      </x:c>
      <x:c r="E40" s="92" t="str">
        <x:f>IF(ABS(D40-C40)&lt;0.01,"PASS","FAIL")</x:f>
        <x:v>PASS</x:v>
      </x:c>
      <x:c r="F40" s="92" t="str">
        <x:v>20,000+26,400+50,000。</x:v>
      </x:c>
    </x:row>
    <x:row r="41" ht="34" customHeight="1">
      <x:c r="A41" s="19" t="str">
        <x:v>C35_YU7_CUM_EXVAT</x:v>
      </x:c>
      <x:c r="B41" s="19" t="str">
        <x:v>YU7标准→Max累计未税价差</x:v>
      </x:c>
      <x:c r="C41" s="131" t="n">
        <x:v>85309.73</x:v>
      </x:c>
      <x:c r="D41" s="133" t="n">
        <x:f>ROUND(('12_价差总览'!$D$23-'12_价差总览'!$D$20)/(1+'12_价差总览'!$B$27),2)</x:f>
        <x:v>85309.73</x:v>
      </x:c>
      <x:c r="E41" s="19" t="str">
        <x:f>IF(ABS(D41-C41)&lt;0.01,"PASS","FAIL")</x:f>
        <x:v>PASS</x:v>
      </x:c>
      <x:c r="F41" s="19" t="str">
        <x:v>端点价格直接回勾。</x:v>
      </x:c>
    </x:row>
    <x:row r="42" ht="34" customHeight="1">
      <x:c r="A42" s="92" t="str">
        <x:v>C36_FAMILY_CUM_IDENTITY</x:v>
      </x:c>
      <x:c r="B42" s="92" t="str">
        <x:v>车系累计残余恒等式最大差异</x:v>
      </x:c>
      <x:c r="C42" s="131" t="n">
        <x:v>0</x:v>
      </x:c>
      <x:c r="D42" s="134" t="n">
        <x:f>MAX(ABS('15_情景敏感性'!E28-('15_情景敏感性'!C28-'15_情景敏感性'!D28)),ABS('15_情景敏感性'!E29-('15_情景敏感性'!C29-'15_情景敏感性'!D29)),ABS('15_情景敏感性'!E30-('15_情景敏感性'!C30-'15_情景敏感性'!D30)),ABS('15_情景敏感性'!E31-('15_情景敏感性'!C31-'15_情景敏感性'!D31)),ABS('15_情景敏感性'!E32-('15_情景敏感性'!C32-'15_情景敏感性'!D32)),ABS('15_情景敏感性'!E33-('15_情景敏感性'!C33-'15_情景敏感性'!D33)))</x:f>
        <x:v>1.0913936421275139e-11</x:v>
      </x:c>
      <x:c r="E42" s="92" t="str">
        <x:f>IF(ABS(D42-C42)&lt;0.01,"PASS","FAIL")</x:f>
        <x:v>PASS</x:v>
      </x:c>
      <x:c r="F42" s="92" t="str">
        <x:v>累计残余=累计未税价差-累计成本。</x:v>
      </x:c>
    </x:row>
    <x:row r="43" ht="34" customHeight="1">
      <x:c r="A43" s="19" t="str">
        <x:v>C37_LOW_NEGATIVE</x:v>
      </x:c>
      <x:c r="B43" s="19" t="str">
        <x:v>Low负残余桥数</x:v>
      </x:c>
      <x:c r="C43" s="131" t="n">
        <x:v>0</x:v>
      </x:c>
      <x:c r="D43" s="133" t="n">
        <x:f>COUNTIFS('15_情景敏感性'!$D$8:$D$22,"Low",'15_情景敏感性'!$J$8:$J$22,"&lt;0")</x:f>
        <x:v>0</x:v>
      </x:c>
      <x:c r="E43" s="19" t="str">
        <x:f>IF(ABS(D43-C43)&lt;0.01,"PASS","FAIL")</x:f>
        <x:v>PASS</x:v>
      </x:c>
      <x:c r="F43" s="19" t="str">
        <x:v>Low情景均在售价差内。</x:v>
      </x:c>
    </x:row>
    <x:row r="44" ht="34" customHeight="1">
      <x:c r="A44" s="92" t="str">
        <x:v>C38_MID_NEGATIVE</x:v>
      </x:c>
      <x:c r="B44" s="92" t="str">
        <x:v>Mid负残余桥数</x:v>
      </x:c>
      <x:c r="C44" s="131" t="n">
        <x:v>0</x:v>
      </x:c>
      <x:c r="D44" s="134" t="n">
        <x:f>COUNTIFS('15_情景敏感性'!$D$8:$D$22,"Mid",'15_情景敏感性'!$J$8:$J$22,"&lt;0")</x:f>
        <x:v>0</x:v>
      </x:c>
      <x:c r="E44" s="92" t="str">
        <x:f>IF(ABS(D44-C44)&lt;0.01,"PASS","FAIL")</x:f>
        <x:v>PASS</x:v>
      </x:c>
      <x:c r="F44" s="92" t="str">
        <x:v>Mid情景均为正。</x:v>
      </x:c>
    </x:row>
    <x:row r="45" ht="34" customHeight="1">
      <x:c r="A45" s="19" t="str">
        <x:v>C39_HIGH_NEGATIVE</x:v>
      </x:c>
      <x:c r="B45" s="19" t="str">
        <x:v>High负残余桥数</x:v>
      </x:c>
      <x:c r="C45" s="131" t="n">
        <x:v>4</x:v>
      </x:c>
      <x:c r="D45" s="133" t="n">
        <x:f>COUNTIFS('15_情景敏感性'!$D$8:$D$22,"High",'15_情景敏感性'!$J$8:$J$22,"&lt;0")</x:f>
        <x:v>4</x:v>
      </x:c>
      <x:c r="E45" s="19" t="str">
        <x:f>IF(ABS(D45-C45)&lt;0.01,"PASS","FAIL")</x:f>
        <x:v>PASS</x:v>
      </x:c>
      <x:c r="F45" s="19" t="str">
        <x:v>四桥成本上界穿透售价差。</x:v>
      </x:c>
    </x:row>
    <x:row r="46" ht="34" customHeight="1">
      <x:c r="A46" s="92" t="str">
        <x:v>C40_HIGH_POSITIVE</x:v>
      </x:c>
      <x:c r="B46" s="92" t="str">
        <x:v>High非负残余桥数</x:v>
      </x:c>
      <x:c r="C46" s="131" t="n">
        <x:v>1</x:v>
      </x:c>
      <x:c r="D46" s="134" t="n">
        <x:f>COUNTIFS('15_情景敏感性'!$D$8:$D$22,"High",'15_情景敏感性'!$J$8:$J$22,"&gt;=0")</x:f>
        <x:v>1</x:v>
      </x:c>
      <x:c r="E46" s="92" t="str">
        <x:f>IF(ABS(D46-C46)&lt;0.01,"PASS","FAIL")</x:f>
        <x:v>PASS</x:v>
      </x:c>
      <x:c r="F46" s="92" t="str">
        <x:v>仅YU7长续航→Pro。</x:v>
      </x:c>
    </x:row>
    <x:row r="47" ht="34" customHeight="1">
      <x:c r="A47" s="19" t="str">
        <x:v>C41_SIGNOFF_FAIL</x:v>
      </x:c>
      <x:c r="B47" s="19" t="str">
        <x:v>Phase 2.1C桥接签核失败数</x:v>
      </x:c>
      <x:c r="C47" s="131" t="n">
        <x:v>0</x:v>
      </x:c>
      <x:c r="D47" s="133" t="n">
        <x:f>COUNTIF('10_桥接签字表'!$I$7:$I$11,"FAIL")</x:f>
        <x:v>0</x:v>
      </x:c>
      <x:c r="E47" s="19" t="str">
        <x:f>IF(ABS(D47-C47)&lt;0.01,"PASS","FAIL")</x:f>
        <x:v>PASS</x:v>
      </x:c>
      <x:c r="F47" s="19" t="str">
        <x:v>5/5桥必须签核。</x:v>
      </x:c>
    </x:row>
    <x:row r="48" ht="34" customHeight="1">
      <x:c r="A48" s="92" t="str">
        <x:v>C42_LRPRO_TOP_RESIDUAL</x:v>
      </x:c>
      <x:c r="B48" s="92" t="str">
        <x:v>中情景最大残余是否为YU7长续航→Pro</x:v>
      </x:c>
      <x:c r="C48" s="131" t="n">
        <x:v>1</x:v>
      </x:c>
      <x:c r="D48" s="134" t="n">
        <x:f>IF('12_价差总览'!$J$11=MAX('12_价差总览'!$J$8:$J$12),1,0)</x:f>
        <x:v>1</x:v>
      </x:c>
      <x:c r="E48" s="92" t="str">
        <x:f>IF(ABS(D48-C48)&lt;0.01,"PASS","FAIL")</x:f>
        <x:v>PASS</x:v>
      </x:c>
      <x:c r="F48" s="92" t="str">
        <x:v>应为12,495.33元。</x:v>
      </x:c>
    </x:row>
    <x:row r="49" ht="34" customHeight="1">
      <x:c r="A49" s="19" t="str">
        <x:v>C43_CHART_SOURCE_TIE</x:v>
      </x:c>
      <x:c r="B49" s="19" t="str">
        <x:v>五张瀑布构成合计最大差异</x:v>
      </x:c>
      <x:c r="C49" s="131" t="n">
        <x:v>0</x:v>
      </x:c>
      <x:c r="D49" s="133" t="n">
        <x:f>MAX(ABS('13_SU7瀑布'!B13),ABS('13_SU7瀑布'!B31),ABS('14_YU7瀑布'!B13),ABS('14_YU7瀑布'!B31),ABS('14_YU7瀑布'!B49))</x:f>
        <x:v>0</x:v>
      </x:c>
      <x:c r="E49" s="19" t="str">
        <x:f>IF(ABS(D49-C49)&lt;0.01,"PASS","FAIL")</x:f>
        <x:v>PASS</x:v>
      </x:c>
      <x:c r="F49" s="19" t="str">
        <x:v>图表驱动区四项之和=未税价差。</x:v>
      </x:c>
    </x:row>
    <x:row r="50" ht="34" customHeight="1">
      <x:c r="A50" s="92" t="str">
        <x:v>C44_DISCLAIMER</x:v>
      </x:c>
      <x:c r="B50" s="92" t="str">
        <x:v>残余页是否包含固定成本/期间费用边界说明</x:v>
      </x:c>
      <x:c r="C50" s="131" t="n">
        <x:v>1</x:v>
      </x:c>
      <x:c r="D50" s="134" t="n">
        <x:f>IF('16_残余解释'!$A$3="“定价残余”是未计固定成本及期间费用前的未分配增量价差；它不是厂家披露成本，也不能直接解释为真实利润。",1,0)</x:f>
        <x:v>1</x:v>
      </x:c>
      <x:c r="E50" s="92" t="str">
        <x:f>IF(ABS(D50-C50)&lt;0.01,"PASS","FAIL")</x:f>
        <x:v>PASS</x:v>
      </x:c>
      <x:c r="F50" s="92" t="str">
        <x:v>避免把定价残余误读为利润。</x:v>
      </x:c>
    </x:row>
    <x:row r="51" ht="34" customHeight="1">
      <x:c r="A51" s="19" t="str">
        <x:v>C45_FORBIDDEN_TERM</x:v>
      </x:c>
      <x:c r="B51" s="19" t="str">
        <x:v>新增分析页出现“毛利”次数</x:v>
      </x:c>
      <x:c r="C51" s="131" t="n">
        <x:v>0</x:v>
      </x:c>
      <x:c r="D51" s="133" t="n">
        <x:f>COUNTIF('12_价差总览'!$A$1:$P$34,"*毛利*")+COUNTIF('13_SU7瀑布'!$A$1:$T$55,"*毛利*")+COUNTIF('14_YU7瀑布'!$A$1:$T$75,"*毛利*")+COUNTIF('15_情景敏感性'!$A$1:$N$38,"*毛利*")+COUNTIF('16_残余解释'!$A$1:$T$29,"*毛利*")</x:f>
        <x:v>0</x:v>
      </x:c>
      <x:c r="E51" s="19" t="str">
        <x:f>IF(ABS(D51-C51)&lt;0.01,"PASS","FAIL")</x:f>
        <x:v>PASS</x:v>
      </x:c>
      <x:c r="F51" s="19" t="str">
        <x:v>统一使用定价残余/贡献空间。</x:v>
      </x:c>
    </x:row>
    <x:row r="52" ht="34" customHeight="1">
      <x:c r="A52" s="92" t="str">
        <x:v>C46_RULE_PASS</x:v>
      </x:c>
      <x:c r="B52" s="92" t="str">
        <x:v>Phase 2.1C通过规则数</x:v>
      </x:c>
      <x:c r="C52" s="131" t="n">
        <x:v>16</x:v>
      </x:c>
      <x:c r="D52" s="134" t="n">
        <x:f>COUNTIF('08_防重规则'!$H$7:$H$22,"PASS")</x:f>
        <x:v>16</x:v>
      </x:c>
      <x:c r="E52" s="92" t="str">
        <x:f>IF(ABS(D52-C52)&lt;0.01,"PASS","FAIL")</x:f>
        <x:v>PASS</x:v>
      </x:c>
      <x:c r="F52" s="92" t="str">
        <x:v>16条防重复规则全过。</x:v>
      </x:c>
    </x:row>
    <x:row r="53" ht="34" customHeight="1">
      <x:c r="A53" s="19" t="str">
        <x:v>C47_SIGNOFF_PASS</x:v>
      </x:c>
      <x:c r="B53" s="19" t="str">
        <x:v>Phase 2.1C通过桥数</x:v>
      </x:c>
      <x:c r="C53" s="131" t="n">
        <x:v>5</x:v>
      </x:c>
      <x:c r="D53" s="133" t="n">
        <x:f>COUNTIF('10_桥接签字表'!$I$7:$I$11,"PASS")</x:f>
        <x:v>5</x:v>
      </x:c>
      <x:c r="E53" s="19" t="str">
        <x:f>IF(ABS(D53-C53)&lt;0.01,"PASS","FAIL")</x:f>
        <x:v>PASS</x:v>
      </x:c>
      <x:c r="F53" s="19" t="str">
        <x:v>五桥全部可进入Phase 2.2。</x:v>
      </x:c>
    </x:row>
    <x:row r="54" ht="34" customHeight="1">
      <x:c r="A54" s="92" t="str">
        <x:v>C48_MID_SOURCE_TIE</x:v>
      </x:c>
      <x:c r="B54" s="92" t="str">
        <x:v>Phase 2.2中情景总成本与上游最大差异</x:v>
      </x:c>
      <x:c r="C54" s="131" t="n">
        <x:v>0</x:v>
      </x:c>
      <x:c r="D54" s="134" t="n">
        <x:f>MAX(ABS('12_价差总览'!I8-'04_售价成本校准'!L7),ABS('12_价差总览'!I9-'04_售价成本校准'!L8),ABS('12_价差总览'!I10-'04_售价成本校准'!L9),ABS('12_价差总览'!I11-'04_售价成本校准'!L10),ABS('12_价差总览'!I12-'04_售价成本校准'!L11))</x:f>
        <x:v>0</x:v>
      </x:c>
      <x:c r="E54" s="92" t="str">
        <x:f>IF(ABS(D54-C54)&lt;0.01,"PASS","FAIL")</x:f>
        <x:v>PASS</x:v>
      </x:c>
      <x:c r="F54" s="92" t="str">
        <x:v>不得重新改动成本假设。</x:v>
      </x:c>
    </x:row>
  </x:sheetData>
  <x:mergeCells>
    <x:mergeCell ref="A1:F1"/>
    <x:mergeCell ref="A2:F2"/>
    <x:mergeCell ref="A3:F3"/>
  </x:mergeCells>
  <x:conditionalFormatting sqref="E7:E54">
    <x:cfRule type="containsText" dxfId="76" priority="1" operator="containsText" text="PASS"/>
    <x:cfRule type="containsText" dxfId="77" priority="2" operator="containsText" text="READY"/>
    <x:cfRule type="containsText" dxfId="78" priority="3" operator="containsText" text="WITHIN"/>
    <x:cfRule type="containsText" dxfId="79" priority="4" operator="containsText" text="FAIL"/>
    <x:cfRule type="containsText" dxfId="80" priority="5" operator="containsText" text="UPPER_BOUND_BREAK"/>
    <x:cfRule type="containsText" dxfId="81" priority="6" operator="containsText" text="REVIEW"/>
  </x:conditionalFormatting>
  <x:pageMargins left="0.7" right="0.7" top="0.75" bottom="0.75" header="0.3" footer="0.3"/>
</x:worksheet>
</file>

<file path=xl/worksheets/sheet1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9" hidden="0" customWidth="1"/>
    <x:col min="3" max="3" width="11" hidden="0" customWidth="1"/>
    <x:col min="4" max="4" width="24" hidden="0" customWidth="1"/>
    <x:col min="5" max="5" width="10" hidden="0" customWidth="1"/>
    <x:col min="6" max="6" width="15" hidden="0" customWidth="1"/>
    <x:col min="7" max="7" width="15" hidden="0" customWidth="1"/>
    <x:col min="8" max="8" width="10" hidden="0" customWidth="1"/>
    <x:col min="9" max="9" width="10" hidden="0" customWidth="1"/>
    <x:col min="10" max="10" width="10" hidden="0" customWidth="1"/>
    <x:col min="11" max="11" width="11" hidden="0" customWidth="1"/>
    <x:col min="12" max="12" width="14" hidden="0" customWidth="1"/>
    <x:col min="13" max="13" width="12" hidden="0" customWidth="1"/>
    <x:col min="14" max="14" width="13" hidden="0" customWidth="1"/>
    <x:col min="15" max="15" width="11" hidden="0" customWidth="1"/>
    <x:col min="16" max="16" width="12" hidden="0" customWidth="1"/>
    <x:col min="17" max="17" width="12" hidden="0" customWidth="1"/>
    <x:col min="18" max="18" width="14" hidden="0" customWidth="1"/>
    <x:col min="19" max="19" width="10" hidden="0" customWidth="1"/>
    <x:col min="20" max="20" width="13" hidden="0" customWidth="1"/>
    <x:col min="21" max="21" width="12" hidden="0" customWidth="1"/>
    <x:col min="22" max="22" width="17" hidden="0" customWidth="1"/>
    <x:col min="23" max="23" width="10" hidden="0" customWidth="1"/>
    <x:col min="24" max="24" width="11" hidden="0" customWidth="1"/>
    <x:col min="25" max="25" width="26" hidden="0" customWidth="1"/>
    <x:col min="26" max="26" width="18" hidden="0" customWidth="1"/>
    <x:col min="27" max="27" width="18" hidden="0" customWidth="1"/>
    <x:col min="28" max="28" width="17" hidden="0" customWidth="1"/>
    <x:col min="29" max="29" width="24" hidden="0" customWidth="1"/>
    <x:col min="30" max="30" width="42" hidden="0" customWidth="1"/>
    <x:col min="31" max="31" width="18" hidden="0" customWidth="1"/>
    <x:col min="32" max="32" width="16" hidden="0" customWidth="1"/>
    <x:col min="33" max="33" width="16" hidden="0" customWidth="1"/>
    <x:col min="34" max="34" width="19" hidden="0" customWidth="1"/>
    <x:col min="35" max="35" width="30" hidden="0" customWidth="1"/>
  </x:cols>
  <x:sheetData>
    <x:row r="1" ht="30" customHeight="1">
      <x:c r="A1" s="137" t="str">
        <x:v>18｜Phase 2.3A SU7 / YU7 跨车系匹配底表</x:v>
      </x:c>
      <x:c r="B1" s="137"/>
      <x:c r="C1" s="137"/>
      <x:c r="D1" s="137"/>
      <x:c r="E1" s="137"/>
      <x:c r="F1" s="137"/>
      <x:c r="G1" s="137"/>
      <x:c r="H1" s="137"/>
      <x:c r="I1" s="137"/>
      <x:c r="J1" s="137"/>
      <x:c r="K1" s="137"/>
      <x:c r="L1" s="137"/>
      <x:c r="M1" s="137"/>
      <x:c r="N1" s="137"/>
      <x:c r="O1" s="137"/>
      <x:c r="P1" s="137"/>
      <x:c r="Q1" s="137"/>
      <x:c r="R1" s="137"/>
      <x:c r="S1" s="137"/>
      <x:c r="T1" s="137"/>
      <x:c r="U1" s="137"/>
      <x:c r="V1" s="137"/>
      <x:c r="W1" s="137"/>
      <x:c r="X1" s="137"/>
      <x:c r="Y1" s="137"/>
      <x:c r="Z1" s="137"/>
      <x:c r="AA1" s="137"/>
      <x:c r="AB1" s="137"/>
      <x:c r="AC1" s="137"/>
      <x:c r="AD1" s="137"/>
      <x:c r="AE1" s="137"/>
      <x:c r="AF1" s="137"/>
      <x:c r="AG1" s="137"/>
      <x:c r="AH1" s="137"/>
      <x:c r="AI1" s="137"/>
    </x:row>
    <x:row r="2" ht="22" customHeight="1">
      <x:c r="A2" s="140" t="str">
        <x:v>七款普通梯度base样本｜方向统一为YU7 − SU7｜售价与配置截至2026-08-01官方App补证时点</x:v>
      </x:c>
      <x:c r="B2" s="140"/>
      <x:c r="C2" s="140"/>
      <x:c r="D2" s="140"/>
      <x:c r="E2" s="140"/>
      <x:c r="F2" s="140"/>
      <x:c r="G2" s="140"/>
      <x:c r="H2" s="140"/>
      <x:c r="I2" s="140"/>
      <x:c r="J2" s="140"/>
      <x:c r="K2" s="140"/>
      <x:c r="L2" s="140"/>
      <x:c r="M2" s="140"/>
      <x:c r="N2" s="140"/>
      <x:c r="O2" s="140"/>
      <x:c r="P2" s="140"/>
      <x:c r="Q2" s="140"/>
      <x:c r="R2" s="140"/>
      <x:c r="S2" s="140"/>
      <x:c r="T2" s="140"/>
      <x:c r="U2" s="140"/>
      <x:c r="V2" s="140"/>
      <x:c r="W2" s="140"/>
      <x:c r="X2" s="140"/>
      <x:c r="Y2" s="140"/>
      <x:c r="Z2" s="140"/>
      <x:c r="AA2" s="140"/>
      <x:c r="AB2" s="140"/>
      <x:c r="AC2" s="140"/>
      <x:c r="AD2" s="140"/>
      <x:c r="AE2" s="140"/>
      <x:c r="AF2" s="140"/>
      <x:c r="AG2" s="140"/>
      <x:c r="AH2" s="140"/>
      <x:c r="AI2" s="140"/>
    </x:row>
    <x:row r="3" ht="42" customHeight="1">
      <x:c r="A3" s="144" t="str">
        <x:v>本页只导入可核验的物理与base配置字段；匹配键是公式生成。选装、限时权益、GT、SU7 Ultra及未披露字段不进入匹配。</x:v>
      </x:c>
      <x:c r="B3" s="144"/>
      <x:c r="C3" s="144"/>
      <x:c r="D3" s="144"/>
      <x:c r="E3" s="144"/>
      <x:c r="F3" s="144"/>
      <x:c r="G3" s="144"/>
      <x:c r="H3" s="144"/>
      <x:c r="I3" s="144"/>
      <x:c r="J3" s="144"/>
      <x:c r="K3" s="144"/>
      <x:c r="L3" s="144"/>
      <x:c r="M3" s="144"/>
      <x:c r="N3" s="144"/>
      <x:c r="O3" s="144"/>
      <x:c r="P3" s="144"/>
      <x:c r="Q3" s="144"/>
      <x:c r="R3" s="144"/>
      <x:c r="S3" s="144"/>
      <x:c r="T3" s="144"/>
      <x:c r="U3" s="144"/>
      <x:c r="V3" s="144"/>
      <x:c r="W3" s="144"/>
      <x:c r="X3" s="144"/>
      <x:c r="Y3" s="144"/>
      <x:c r="Z3" s="144"/>
      <x:c r="AA3" s="144"/>
      <x:c r="AB3" s="144"/>
      <x:c r="AC3" s="144"/>
      <x:c r="AD3" s="144"/>
      <x:c r="AE3" s="144"/>
      <x:c r="AF3" s="144"/>
      <x:c r="AG3" s="144"/>
      <x:c r="AH3" s="144"/>
      <x:c r="AI3" s="144"/>
    </x:row>
    <x:row r="6" ht="50" customHeight="1">
      <x:c r="A6" s="149" t="str">
        <x:v>sample_id</x:v>
      </x:c>
      <x:c r="B6" s="149" t="str">
        <x:v>车系</x:v>
      </x:c>
      <x:c r="C6" s="149" t="str">
        <x:v>版本</x:v>
      </x:c>
      <x:c r="D6" s="149" t="str">
        <x:v>车型</x:v>
      </x:c>
      <x:c r="E6" s="149" t="str">
        <x:v>车身形式</x:v>
      </x:c>
      <x:c r="F6" s="149" t="str">
        <x:v>含税指导价</x:v>
      </x:c>
      <x:c r="G6" s="149" t="str">
        <x:v>未税基础售价</x:v>
      </x:c>
      <x:c r="H6" s="149" t="str">
        <x:v>长_mm</x:v>
      </x:c>
      <x:c r="I6" s="149" t="str">
        <x:v>宽_mm</x:v>
      </x:c>
      <x:c r="J6" s="149" t="str">
        <x:v>高_mm</x:v>
      </x:c>
      <x:c r="K6" s="149" t="str">
        <x:v>轴距_mm</x:v>
      </x:c>
      <x:c r="L6" s="149" t="str">
        <x:v>整备质量_kg</x:v>
      </x:c>
      <x:c r="M6" s="149" t="str">
        <x:v>电池_kWh</x:v>
      </x:c>
      <x:c r="N6" s="149" t="str">
        <x:v>化学体系</x:v>
      </x:c>
      <x:c r="O6" s="149" t="str">
        <x:v>驱动形式</x:v>
      </x:c>
      <x:c r="P6" s="149" t="str">
        <x:v>前电机_kW</x:v>
      </x:c>
      <x:c r="Q6" s="149" t="str">
        <x:v>后电机_kW</x:v>
      </x:c>
      <x:c r="R6" s="149" t="str">
        <x:v>系统功率_kW</x:v>
      </x:c>
      <x:c r="S6" s="149" t="str">
        <x:v>电压_V</x:v>
      </x:c>
      <x:c r="T6" s="149" t="str">
        <x:v>10-80%_min</x:v>
      </x:c>
      <x:c r="U6" s="149" t="str">
        <x:v>CDC_base</x:v>
      </x:c>
      <x:c r="V6" s="149" t="str">
        <x:v>空气悬架_base</x:v>
      </x:c>
      <x:c r="W6" s="149" t="str">
        <x:v>气室数</x:v>
      </x:c>
      <x:c r="X6" s="149" t="str">
        <x:v>扬声器数</x:v>
      </x:c>
      <x:c r="Y6" s="149" t="str">
        <x:v>前制动核心</x:v>
      </x:c>
      <x:c r="Z6" s="149" t="str">
        <x:v>后排控制屏_base</x:v>
      </x:c>
      <x:c r="AA6" s="149" t="str">
        <x:v>座椅面料_base</x:v>
      </x:c>
      <x:c r="AB6" s="149" t="str">
        <x:v>超静谧座舱_base</x:v>
      </x:c>
      <x:c r="AC6" s="149" t="str">
        <x:v>主显示架构</x:v>
      </x:c>
      <x:c r="AD6" s="149" t="str">
        <x:v>来源定位</x:v>
      </x:c>
      <x:c r="AE6" s="149" t="str">
        <x:v>电池键</x:v>
      </x:c>
      <x:c r="AF6" s="149" t="str">
        <x:v>电驱键</x:v>
      </x:c>
      <x:c r="AG6" s="149" t="str">
        <x:v>高压快充键</x:v>
      </x:c>
      <x:c r="AH6" s="149" t="str">
        <x:v>底盘键</x:v>
      </x:c>
      <x:c r="AI6" s="149" t="str">
        <x:v>执行层复核键</x:v>
      </x:c>
    </x:row>
    <x:row r="7" ht="42" customHeight="1">
      <x:c r="A7" s="19" t="str">
        <x:v>SU7-G2-STD</x:v>
      </x:c>
      <x:c r="B7" s="19" t="str">
        <x:v>SU7</x:v>
      </x:c>
      <x:c r="C7" s="19" t="str">
        <x:v>标准版</x:v>
      </x:c>
      <x:c r="D7" s="19" t="str">
        <x:v>新一代小米SU7 标准版</x:v>
      </x:c>
      <x:c r="E7" s="19" t="str">
        <x:v>轿车</x:v>
      </x:c>
      <x:c r="F7" s="21" t="n">
        <x:v>219900</x:v>
      </x:c>
      <x:c r="G7" s="154" t="n">
        <x:f>F7/(1+$B$18)</x:f>
        <x:v>194601.76991150444</x:v>
      </x:c>
      <x:c r="H7" s="152" t="n">
        <x:v>4997</x:v>
      </x:c>
      <x:c r="I7" s="152" t="n">
        <x:v>1963</x:v>
      </x:c>
      <x:c r="J7" s="152" t="n">
        <x:v>1460</x:v>
      </x:c>
      <x:c r="K7" s="152" t="n">
        <x:v>3000</x:v>
      </x:c>
      <x:c r="L7" s="152" t="n">
        <x:v>2055</x:v>
      </x:c>
      <x:c r="M7" s="152" t="n">
        <x:v>73</x:v>
      </x:c>
      <x:c r="N7" s="152" t="str">
        <x:v>LFP</x:v>
      </x:c>
      <x:c r="O7" s="152" t="str">
        <x:v>RWD</x:v>
      </x:c>
      <x:c r="P7" s="152" t="n">
        <x:v>0</x:v>
      </x:c>
      <x:c r="Q7" s="152" t="n">
        <x:v>235</x:v>
      </x:c>
      <x:c r="R7" s="152" t="n">
        <x:v>235</x:v>
      </x:c>
      <x:c r="S7" s="152" t="n">
        <x:v>752</x:v>
      </x:c>
      <x:c r="T7" s="152" t="n">
        <x:v>20</x:v>
      </x:c>
      <x:c r="U7" s="19" t="str">
        <x:v>NO</x:v>
      </x:c>
      <x:c r="V7" s="19" t="str">
        <x:v>NO</x:v>
      </x:c>
      <x:c r="W7" s="19" t="n">
        <x:v>0</x:v>
      </x:c>
      <x:c r="X7" s="19" t="n">
        <x:v>14</x:v>
      </x:c>
      <x:c r="Y7" s="19" t="str">
        <x:v>FIXED_4P</x:v>
      </x:c>
      <x:c r="Z7" s="19" t="str">
        <x:v>NO</x:v>
      </x:c>
      <x:c r="AA7" s="19" t="str">
        <x:v>ECO_COMPOSITE</x:v>
      </x:c>
      <x:c r="AB7" s="19" t="str">
        <x:v>NO</x:v>
      </x:c>
      <x:c r="AC7" s="19" t="str">
        <x:v>WHUD_OPTIONAL</x:v>
      </x:c>
      <x:c r="AD7" s="19" t="str">
        <x:v>Phase1.3C｜01_核心矩阵/02_配置模块｜SU7-G2-STD</x:v>
      </x:c>
      <x:c r="AE7" s="157" t="str">
        <x:f>M7&amp;"|"&amp;N7</x:f>
        <x:v>73|LFP</x:v>
      </x:c>
      <x:c r="AF7" s="157" t="str">
        <x:f>O7&amp;"|"&amp;R7</x:f>
        <x:v>RWD|235</x:v>
      </x:c>
      <x:c r="AG7" s="157" t="str">
        <x:f>S7&amp;"|"&amp;T7</x:f>
        <x:v>752|20</x:v>
      </x:c>
      <x:c r="AH7" s="157" t="str">
        <x:f>U7&amp;"|"&amp;V7</x:f>
        <x:v>NO|NO</x:v>
      </x:c>
      <x:c r="AI7" s="157" t="str">
        <x:f>X7&amp;"|"&amp;Y7</x:f>
        <x:v>14|FIXED_4P</x:v>
      </x:c>
    </x:row>
    <x:row r="8" ht="42" customHeight="1">
      <x:c r="A8" s="150" t="str">
        <x:v>SU7-G2-PRO</x:v>
      </x:c>
      <x:c r="B8" s="150" t="str">
        <x:v>SU7</x:v>
      </x:c>
      <x:c r="C8" s="150" t="str">
        <x:v>Pro</x:v>
      </x:c>
      <x:c r="D8" s="150" t="str">
        <x:v>新一代小米SU7 Pro</x:v>
      </x:c>
      <x:c r="E8" s="150" t="str">
        <x:v>轿车</x:v>
      </x:c>
      <x:c r="F8" s="151" t="n">
        <x:v>249900</x:v>
      </x:c>
      <x:c r="G8" s="155" t="n">
        <x:f>F8/(1+$B$18)</x:f>
        <x:v>221150.44247787612</x:v>
      </x:c>
      <x:c r="H8" s="153" t="n">
        <x:v>4997</x:v>
      </x:c>
      <x:c r="I8" s="153" t="n">
        <x:v>1963</x:v>
      </x:c>
      <x:c r="J8" s="153" t="n">
        <x:v>1445</x:v>
      </x:c>
      <x:c r="K8" s="153" t="n">
        <x:v>3000</x:v>
      </x:c>
      <x:c r="L8" s="153" t="n">
        <x:v>2180</x:v>
      </x:c>
      <x:c r="M8" s="153" t="n">
        <x:v>96.3</x:v>
      </x:c>
      <x:c r="N8" s="153" t="str">
        <x:v>LFP</x:v>
      </x:c>
      <x:c r="O8" s="153" t="str">
        <x:v>RWD</x:v>
      </x:c>
      <x:c r="P8" s="153" t="n">
        <x:v>0</x:v>
      </x:c>
      <x:c r="Q8" s="153" t="n">
        <x:v>235</x:v>
      </x:c>
      <x:c r="R8" s="153" t="n">
        <x:v>235</x:v>
      </x:c>
      <x:c r="S8" s="153" t="n">
        <x:v>752</x:v>
      </x:c>
      <x:c r="T8" s="153" t="n">
        <x:v>21</x:v>
      </x:c>
      <x:c r="U8" s="150" t="str">
        <x:v>YES</x:v>
      </x:c>
      <x:c r="V8" s="150" t="str">
        <x:v>YES_2C</x:v>
      </x:c>
      <x:c r="W8" s="150" t="n">
        <x:v>2</x:v>
      </x:c>
      <x:c r="X8" s="150" t="n">
        <x:v>14</x:v>
      </x:c>
      <x:c r="Y8" s="150" t="str">
        <x:v>FIXED_4P</x:v>
      </x:c>
      <x:c r="Z8" s="150" t="str">
        <x:v>NO</x:v>
      </x:c>
      <x:c r="AA8" s="150" t="str">
        <x:v>ECO_COMPOSITE</x:v>
      </x:c>
      <x:c r="AB8" s="150" t="str">
        <x:v>NO</x:v>
      </x:c>
      <x:c r="AC8" s="150" t="str">
        <x:v>WHUD_OPTIONAL</x:v>
      </x:c>
      <x:c r="AD8" s="150" t="str">
        <x:v>Phase1.3C｜01_核心矩阵/02_配置模块｜SU7-G2-PRO</x:v>
      </x:c>
      <x:c r="AE8" s="157" t="str">
        <x:f>M8&amp;"|"&amp;N8</x:f>
        <x:v>96.3|LFP</x:v>
      </x:c>
      <x:c r="AF8" s="157" t="str">
        <x:f>O8&amp;"|"&amp;R8</x:f>
        <x:v>RWD|235</x:v>
      </x:c>
      <x:c r="AG8" s="157" t="str">
        <x:f>S8&amp;"|"&amp;T8</x:f>
        <x:v>752|21</x:v>
      </x:c>
      <x:c r="AH8" s="157" t="str">
        <x:f>U8&amp;"|"&amp;V8</x:f>
        <x:v>YES|YES_2C</x:v>
      </x:c>
      <x:c r="AI8" s="157" t="str">
        <x:f>X8&amp;"|"&amp;Y8</x:f>
        <x:v>14|FIXED_4P</x:v>
      </x:c>
    </x:row>
    <x:row r="9" ht="42" customHeight="1">
      <x:c r="A9" s="19" t="str">
        <x:v>SU7-G2-MAX</x:v>
      </x:c>
      <x:c r="B9" s="19" t="str">
        <x:v>SU7</x:v>
      </x:c>
      <x:c r="C9" s="19" t="str">
        <x:v>Max</x:v>
      </x:c>
      <x:c r="D9" s="19" t="str">
        <x:v>新一代小米SU7 Max</x:v>
      </x:c>
      <x:c r="E9" s="19" t="str">
        <x:v>轿车</x:v>
      </x:c>
      <x:c r="F9" s="21" t="n">
        <x:v>303900</x:v>
      </x:c>
      <x:c r="G9" s="154" t="n">
        <x:f>F9/(1+$B$18)</x:f>
        <x:v>268938.05309734517</x:v>
      </x:c>
      <x:c r="H9" s="152" t="n">
        <x:v>4997</x:v>
      </x:c>
      <x:c r="I9" s="152" t="n">
        <x:v>1963</x:v>
      </x:c>
      <x:c r="J9" s="152" t="n">
        <x:v>1445</x:v>
      </x:c>
      <x:c r="K9" s="152" t="n">
        <x:v>3000</x:v>
      </x:c>
      <x:c r="L9" s="152" t="n">
        <x:v>2280</x:v>
      </x:c>
      <x:c r="M9" s="152" t="n">
        <x:v>101.7</x:v>
      </x:c>
      <x:c r="N9" s="152" t="str">
        <x:v>TERNARY</x:v>
      </x:c>
      <x:c r="O9" s="152" t="str">
        <x:v>AWD</x:v>
      </x:c>
      <x:c r="P9" s="152" t="n">
        <x:v>220</x:v>
      </x:c>
      <x:c r="Q9" s="152" t="n">
        <x:v>288</x:v>
      </x:c>
      <x:c r="R9" s="152" t="n">
        <x:v>508</x:v>
      </x:c>
      <x:c r="S9" s="152" t="n">
        <x:v>897</x:v>
      </x:c>
      <x:c r="T9" s="152" t="n">
        <x:v>12</x:v>
      </x:c>
      <x:c r="U9" s="19" t="str">
        <x:v>YES</x:v>
      </x:c>
      <x:c r="V9" s="19" t="str">
        <x:v>YES_2C</x:v>
      </x:c>
      <x:c r="W9" s="19" t="n">
        <x:v>2</x:v>
      </x:c>
      <x:c r="X9" s="19" t="n">
        <x:v>25</x:v>
      </x:c>
      <x:c r="Y9" s="19" t="str">
        <x:v>BREMBO_4P_FRONT_DRILLED</x:v>
      </x:c>
      <x:c r="Z9" s="19" t="str">
        <x:v>NO</x:v>
      </x:c>
      <x:c r="AA9" s="19" t="str">
        <x:v>NAPPA</x:v>
      </x:c>
      <x:c r="AB9" s="19" t="str">
        <x:v>NO_BASE</x:v>
      </x:c>
      <x:c r="AC9" s="19" t="str">
        <x:v>WHUD_STANDARD</x:v>
      </x:c>
      <x:c r="AD9" s="19" t="str">
        <x:v>Phase1.3C｜01_核心矩阵/02_配置模块｜SU7-G2-MAX</x:v>
      </x:c>
      <x:c r="AE9" s="157" t="str">
        <x:f>M9&amp;"|"&amp;N9</x:f>
        <x:v>101.7|TERNARY</x:v>
      </x:c>
      <x:c r="AF9" s="157" t="str">
        <x:f>O9&amp;"|"&amp;R9</x:f>
        <x:v>AWD|508</x:v>
      </x:c>
      <x:c r="AG9" s="157" t="str">
        <x:f>S9&amp;"|"&amp;T9</x:f>
        <x:v>897|12</x:v>
      </x:c>
      <x:c r="AH9" s="157" t="str">
        <x:f>U9&amp;"|"&amp;V9</x:f>
        <x:v>YES|YES_2C</x:v>
      </x:c>
      <x:c r="AI9" s="157" t="str">
        <x:f>X9&amp;"|"&amp;Y9</x:f>
        <x:v>25|BREMBO_4P_FRONT_DRILLED</x:v>
      </x:c>
    </x:row>
    <x:row r="10" ht="42" customHeight="1">
      <x:c r="A10" s="150" t="str">
        <x:v>YU7-G1-STD</x:v>
      </x:c>
      <x:c r="B10" s="150" t="str">
        <x:v>YU7</x:v>
      </x:c>
      <x:c r="C10" s="150" t="str">
        <x:v>标准版</x:v>
      </x:c>
      <x:c r="D10" s="150" t="str">
        <x:v>小米YU7 标准版</x:v>
      </x:c>
      <x:c r="E10" s="150" t="str">
        <x:v>SUV</x:v>
      </x:c>
      <x:c r="F10" s="151" t="n">
        <x:v>233500</x:v>
      </x:c>
      <x:c r="G10" s="155" t="n">
        <x:f>F10/(1+$B$18)</x:f>
        <x:v>206637.16814159293</x:v>
      </x:c>
      <x:c r="H10" s="153" t="n">
        <x:v>4999</x:v>
      </x:c>
      <x:c r="I10" s="153" t="n">
        <x:v>1996</x:v>
      </x:c>
      <x:c r="J10" s="153" t="n">
        <x:v>1608</x:v>
      </x:c>
      <x:c r="K10" s="153" t="n">
        <x:v>3000</x:v>
      </x:c>
      <x:c r="L10" s="153" t="n">
        <x:v>2200</x:v>
      </x:c>
      <x:c r="M10" s="153" t="n">
        <x:v>73</x:v>
      </x:c>
      <x:c r="N10" s="153" t="str">
        <x:v>LFP</x:v>
      </x:c>
      <x:c r="O10" s="153" t="str">
        <x:v>RWD</x:v>
      </x:c>
      <x:c r="P10" s="153" t="n">
        <x:v>0</x:v>
      </x:c>
      <x:c r="Q10" s="153" t="n">
        <x:v>235</x:v>
      </x:c>
      <x:c r="R10" s="153" t="n">
        <x:v>235</x:v>
      </x:c>
      <x:c r="S10" s="153" t="n">
        <x:v>752</x:v>
      </x:c>
      <x:c r="T10" s="153" t="n">
        <x:v>20</x:v>
      </x:c>
      <x:c r="U10" s="150" t="str">
        <x:v>NO</x:v>
      </x:c>
      <x:c r="V10" s="150" t="str">
        <x:v>NO</x:v>
      </x:c>
      <x:c r="W10" s="150" t="n">
        <x:v>0</x:v>
      </x:c>
      <x:c r="X10" s="150" t="n">
        <x:v>14</x:v>
      </x:c>
      <x:c r="Y10" s="150" t="str">
        <x:v>FIXED_4P</x:v>
      </x:c>
      <x:c r="Z10" s="150" t="str">
        <x:v>NO</x:v>
      </x:c>
      <x:c r="AA10" s="150" t="str">
        <x:v>ECO_COMPOSITE</x:v>
      </x:c>
      <x:c r="AB10" s="150" t="str">
        <x:v>NO</x:v>
      </x:c>
      <x:c r="AC10" s="150" t="str">
        <x:v>SKY_DISPLAY_STANDARD</x:v>
      </x:c>
      <x:c r="AD10" s="150" t="str">
        <x:v>Phase1.3C｜01_核心矩阵/02_配置模块｜YU7-G1-STD；CDC可选但base不含，匹配值归一为NO</x:v>
      </x:c>
      <x:c r="AE10" s="157" t="str">
        <x:f>M10&amp;"|"&amp;N10</x:f>
        <x:v>73|LFP</x:v>
      </x:c>
      <x:c r="AF10" s="157" t="str">
        <x:f>O10&amp;"|"&amp;R10</x:f>
        <x:v>RWD|235</x:v>
      </x:c>
      <x:c r="AG10" s="157" t="str">
        <x:f>S10&amp;"|"&amp;T10</x:f>
        <x:v>752|20</x:v>
      </x:c>
      <x:c r="AH10" s="157" t="str">
        <x:f>U10&amp;"|"&amp;V10</x:f>
        <x:v>NO|NO</x:v>
      </x:c>
      <x:c r="AI10" s="157" t="str">
        <x:f>X10&amp;"|"&amp;Y10</x:f>
        <x:v>14|FIXED_4P</x:v>
      </x:c>
    </x:row>
    <x:row r="11" ht="42" customHeight="1">
      <x:c r="A11" s="19" t="str">
        <x:v>YU7-G1-LR</x:v>
      </x:c>
      <x:c r="B11" s="19" t="str">
        <x:v>YU7</x:v>
      </x:c>
      <x:c r="C11" s="19" t="str">
        <x:v>长续航版</x:v>
      </x:c>
      <x:c r="D11" s="19" t="str">
        <x:v>小米YU7 长续航版</x:v>
      </x:c>
      <x:c r="E11" s="19" t="str">
        <x:v>SUV</x:v>
      </x:c>
      <x:c r="F11" s="21" t="n">
        <x:v>253500</x:v>
      </x:c>
      <x:c r="G11" s="154" t="n">
        <x:f>F11/(1+$B$18)</x:f>
        <x:v>224336.28318584073</x:v>
      </x:c>
      <x:c r="H11" s="152" t="n">
        <x:v>4999</x:v>
      </x:c>
      <x:c r="I11" s="152" t="n">
        <x:v>1996</x:v>
      </x:c>
      <x:c r="J11" s="152" t="n">
        <x:v>1608</x:v>
      </x:c>
      <x:c r="K11" s="152" t="n">
        <x:v>3000</x:v>
      </x:c>
      <x:c r="L11" s="152" t="n">
        <x:v>2315</x:v>
      </x:c>
      <x:c r="M11" s="152" t="n">
        <x:v>96.3</x:v>
      </x:c>
      <x:c r="N11" s="152" t="str">
        <x:v>LFP</x:v>
      </x:c>
      <x:c r="O11" s="152" t="str">
        <x:v>RWD</x:v>
      </x:c>
      <x:c r="P11" s="152" t="n">
        <x:v>0</x:v>
      </x:c>
      <x:c r="Q11" s="152" t="n">
        <x:v>235</x:v>
      </x:c>
      <x:c r="R11" s="152" t="n">
        <x:v>235</x:v>
      </x:c>
      <x:c r="S11" s="152" t="n">
        <x:v>752</x:v>
      </x:c>
      <x:c r="T11" s="152" t="n">
        <x:v>21</x:v>
      </x:c>
      <x:c r="U11" s="19" t="str">
        <x:v>YES</x:v>
      </x:c>
      <x:c r="V11" s="19" t="str">
        <x:v>NO</x:v>
      </x:c>
      <x:c r="W11" s="19" t="n">
        <x:v>0</x:v>
      </x:c>
      <x:c r="X11" s="19" t="n">
        <x:v>14</x:v>
      </x:c>
      <x:c r="Y11" s="19" t="str">
        <x:v>FIXED_4P</x:v>
      </x:c>
      <x:c r="Z11" s="19" t="str">
        <x:v>YES</x:v>
      </x:c>
      <x:c r="AA11" s="19" t="str">
        <x:v>ECO_COMPOSITE</x:v>
      </x:c>
      <x:c r="AB11" s="19" t="str">
        <x:v>NO</x:v>
      </x:c>
      <x:c r="AC11" s="19" t="str">
        <x:v>SKY_DISPLAY_STANDARD</x:v>
      </x:c>
      <x:c r="AD11" s="19" t="str">
        <x:v>Phase1.3C｜01_核心矩阵/02_配置模块｜YU7-G1-LR</x:v>
      </x:c>
      <x:c r="AE11" s="157" t="str">
        <x:f>M11&amp;"|"&amp;N11</x:f>
        <x:v>96.3|LFP</x:v>
      </x:c>
      <x:c r="AF11" s="157" t="str">
        <x:f>O11&amp;"|"&amp;R11</x:f>
        <x:v>RWD|235</x:v>
      </x:c>
      <x:c r="AG11" s="157" t="str">
        <x:f>S11&amp;"|"&amp;T11</x:f>
        <x:v>752|21</x:v>
      </x:c>
      <x:c r="AH11" s="157" t="str">
        <x:f>U11&amp;"|"&amp;V11</x:f>
        <x:v>YES|NO</x:v>
      </x:c>
      <x:c r="AI11" s="157" t="str">
        <x:f>X11&amp;"|"&amp;Y11</x:f>
        <x:v>14|FIXED_4P</x:v>
      </x:c>
    </x:row>
    <x:row r="12" ht="42" customHeight="1">
      <x:c r="A12" s="150" t="str">
        <x:v>YU7-G1-PRO</x:v>
      </x:c>
      <x:c r="B12" s="150" t="str">
        <x:v>YU7</x:v>
      </x:c>
      <x:c r="C12" s="150" t="str">
        <x:v>Pro</x:v>
      </x:c>
      <x:c r="D12" s="150" t="str">
        <x:v>小米YU7 Pro</x:v>
      </x:c>
      <x:c r="E12" s="150" t="str">
        <x:v>SUV</x:v>
      </x:c>
      <x:c r="F12" s="151" t="n">
        <x:v>279900</x:v>
      </x:c>
      <x:c r="G12" s="155" t="n">
        <x:f>F12/(1+$B$18)</x:f>
        <x:v>247699.11504424782</x:v>
      </x:c>
      <x:c r="H12" s="153" t="n">
        <x:v>4999</x:v>
      </x:c>
      <x:c r="I12" s="153" t="n">
        <x:v>1996</x:v>
      </x:c>
      <x:c r="J12" s="153" t="n">
        <x:v>1600</x:v>
      </x:c>
      <x:c r="K12" s="153" t="n">
        <x:v>3000</x:v>
      </x:c>
      <x:c r="L12" s="153" t="n">
        <x:v>2425</x:v>
      </x:c>
      <x:c r="M12" s="153" t="n">
        <x:v>96.3</x:v>
      </x:c>
      <x:c r="N12" s="153" t="str">
        <x:v>LFP</x:v>
      </x:c>
      <x:c r="O12" s="153" t="str">
        <x:v>AWD</x:v>
      </x:c>
      <x:c r="P12" s="153" t="n">
        <x:v>130</x:v>
      </x:c>
      <x:c r="Q12" s="153" t="n">
        <x:v>235</x:v>
      </x:c>
      <x:c r="R12" s="153" t="n">
        <x:v>365</x:v>
      </x:c>
      <x:c r="S12" s="153" t="n">
        <x:v>752</x:v>
      </x:c>
      <x:c r="T12" s="153" t="n">
        <x:v>21</x:v>
      </x:c>
      <x:c r="U12" s="150" t="str">
        <x:v>YES</x:v>
      </x:c>
      <x:c r="V12" s="150" t="str">
        <x:v>YES_2C</x:v>
      </x:c>
      <x:c r="W12" s="150" t="n">
        <x:v>2</x:v>
      </x:c>
      <x:c r="X12" s="150" t="n">
        <x:v>14</x:v>
      </x:c>
      <x:c r="Y12" s="150" t="str">
        <x:v>FIXED_4P</x:v>
      </x:c>
      <x:c r="Z12" s="150" t="str">
        <x:v>YES</x:v>
      </x:c>
      <x:c r="AA12" s="150" t="str">
        <x:v>ECO_COMPOSITE</x:v>
      </x:c>
      <x:c r="AB12" s="150" t="str">
        <x:v>NO</x:v>
      </x:c>
      <x:c r="AC12" s="150" t="str">
        <x:v>SKY_DISPLAY_STANDARD</x:v>
      </x:c>
      <x:c r="AD12" s="150" t="str">
        <x:v>Phase1.3C｜01_核心矩阵/02_配置模块｜YU7-G1-PRO</x:v>
      </x:c>
      <x:c r="AE12" s="157" t="str">
        <x:f>M12&amp;"|"&amp;N12</x:f>
        <x:v>96.3|LFP</x:v>
      </x:c>
      <x:c r="AF12" s="157" t="str">
        <x:f>O12&amp;"|"&amp;R12</x:f>
        <x:v>AWD|365</x:v>
      </x:c>
      <x:c r="AG12" s="157" t="str">
        <x:f>S12&amp;"|"&amp;T12</x:f>
        <x:v>752|21</x:v>
      </x:c>
      <x:c r="AH12" s="157" t="str">
        <x:f>U12&amp;"|"&amp;V12</x:f>
        <x:v>YES|YES_2C</x:v>
      </x:c>
      <x:c r="AI12" s="157" t="str">
        <x:f>X12&amp;"|"&amp;Y12</x:f>
        <x:v>14|FIXED_4P</x:v>
      </x:c>
    </x:row>
    <x:row r="13" ht="42" customHeight="1">
      <x:c r="A13" s="19" t="str">
        <x:v>YU7-G1-MAX</x:v>
      </x:c>
      <x:c r="B13" s="19" t="str">
        <x:v>YU7</x:v>
      </x:c>
      <x:c r="C13" s="19" t="str">
        <x:v>Max</x:v>
      </x:c>
      <x:c r="D13" s="19" t="str">
        <x:v>小米YU7 Max</x:v>
      </x:c>
      <x:c r="E13" s="19" t="str">
        <x:v>SUV</x:v>
      </x:c>
      <x:c r="F13" s="21" t="n">
        <x:v>329900</x:v>
      </x:c>
      <x:c r="G13" s="154" t="n">
        <x:f>F13/(1+$B$18)</x:f>
        <x:v>291946.90265486727</x:v>
      </x:c>
      <x:c r="H13" s="152" t="n">
        <x:v>4999</x:v>
      </x:c>
      <x:c r="I13" s="152" t="n">
        <x:v>1996</x:v>
      </x:c>
      <x:c r="J13" s="152" t="n">
        <x:v>1600</x:v>
      </x:c>
      <x:c r="K13" s="152" t="n">
        <x:v>3000</x:v>
      </x:c>
      <x:c r="L13" s="152" t="n">
        <x:v>2405</x:v>
      </x:c>
      <x:c r="M13" s="152" t="n">
        <x:v>101.7</x:v>
      </x:c>
      <x:c r="N13" s="152" t="str">
        <x:v>TERNARY</x:v>
      </x:c>
      <x:c r="O13" s="152" t="str">
        <x:v>AWD</x:v>
      </x:c>
      <x:c r="P13" s="152" t="n">
        <x:v>220</x:v>
      </x:c>
      <x:c r="Q13" s="152" t="n">
        <x:v>288</x:v>
      </x:c>
      <x:c r="R13" s="152" t="n">
        <x:v>508</x:v>
      </x:c>
      <x:c r="S13" s="152" t="n">
        <x:v>897</x:v>
      </x:c>
      <x:c r="T13" s="152" t="n">
        <x:v>12</x:v>
      </x:c>
      <x:c r="U13" s="19" t="str">
        <x:v>YES</x:v>
      </x:c>
      <x:c r="V13" s="19" t="str">
        <x:v>YES_2C</x:v>
      </x:c>
      <x:c r="W13" s="19" t="n">
        <x:v>2</x:v>
      </x:c>
      <x:c r="X13" s="19" t="n">
        <x:v>25</x:v>
      </x:c>
      <x:c r="Y13" s="19" t="str">
        <x:v>BREMBO_4P_FRONT_DRILLED</x:v>
      </x:c>
      <x:c r="Z13" s="19" t="str">
        <x:v>YES</x:v>
      </x:c>
      <x:c r="AA13" s="19" t="str">
        <x:v>ECO_COMPOSITE</x:v>
      </x:c>
      <x:c r="AB13" s="19" t="str">
        <x:v>YES</x:v>
      </x:c>
      <x:c r="AC13" s="19" t="str">
        <x:v>SKY_DISPLAY_STANDARD</x:v>
      </x:c>
      <x:c r="AD13" s="19" t="str">
        <x:v>Phase1.3C｜01_核心矩阵/02_配置模块｜YU7-G1-MAX</x:v>
      </x:c>
      <x:c r="AE13" s="157" t="str">
        <x:f>M13&amp;"|"&amp;N13</x:f>
        <x:v>101.7|TERNARY</x:v>
      </x:c>
      <x:c r="AF13" s="157" t="str">
        <x:f>O13&amp;"|"&amp;R13</x:f>
        <x:v>AWD|508</x:v>
      </x:c>
      <x:c r="AG13" s="157" t="str">
        <x:f>S13&amp;"|"&amp;T13</x:f>
        <x:v>897|12</x:v>
      </x:c>
      <x:c r="AH13" s="157" t="str">
        <x:f>U13&amp;"|"&amp;V13</x:f>
        <x:v>YES|YES_2C</x:v>
      </x:c>
      <x:c r="AI13" s="157" t="str">
        <x:f>X13&amp;"|"&amp;Y13</x:f>
        <x:v>25|BREMBO_4P_FRONT_DRILLED</x:v>
      </x:c>
    </x:row>
    <x:row r="17" ht="34" customHeight="1">
      <x:c r="A17" s="149" t="str">
        <x:v>模型参数</x:v>
      </x:c>
      <x:c r="B17" s="149" t="str">
        <x:v>值</x:v>
      </x:c>
      <x:c r="C17" s="149" t="str">
        <x:v>来源</x:v>
      </x:c>
      <x:c r="D17" s="149" t="str">
        <x:v>说明</x:v>
      </x:c>
    </x:row>
    <x:row r="18" ht="34" customHeight="1">
      <x:c r="A18" s="19" t="str">
        <x:v>VAT_RATE</x:v>
      </x:c>
      <x:c r="B18" s="160" t="n">
        <x:f>SUMIFS('01_原子成本假设'!$E$7:$E$49,'01_原子成本假设'!$A$7:$A$49,"RATE_VAT_CN")</x:f>
        <x:v>0.13</x:v>
      </x:c>
      <x:c r="C18" s="19" t="str">
        <x:v>01_原子成本假设｜RATE_VAT_CN</x:v>
      </x:c>
      <x:c r="D18" s="19" t="str">
        <x:v>未税基础售价=含税指导价÷(1+VAT)</x:v>
      </x:c>
    </x:row>
    <x:row r="19" ht="34" customHeight="1">
      <x:c r="A19" s="150" t="str">
        <x:v>M09_LOW</x:v>
      </x:c>
      <x:c r="B19" s="160" t="n">
        <x:f>SUMIFS('01_原子成本假设'!$E$7:$E$49,'01_原子成本假设'!$A$7:$A$49,"RATE_MANUFACTURING")</x:f>
        <x:v>0.01</x:v>
      </x:c>
      <x:c r="C19" s="150" t="str">
        <x:v>01_原子成本假设｜RATE_MANUFACTURING</x:v>
      </x:c>
      <x:c r="D19" s="150" t="str">
        <x:v>制造覆盖Low</x:v>
      </x:c>
    </x:row>
    <x:row r="20" ht="34" customHeight="1">
      <x:c r="A20" s="19" t="str">
        <x:v>M09_MID</x:v>
      </x:c>
      <x:c r="B20" s="160" t="n">
        <x:f>SUMIFS('01_原子成本假设'!$F$7:$F$49,'01_原子成本假设'!$A$7:$A$49,"RATE_MANUFACTURING")</x:f>
        <x:v>0.02</x:v>
      </x:c>
      <x:c r="C20" s="19" t="str">
        <x:v>01_原子成本假设｜RATE_MANUFACTURING</x:v>
      </x:c>
      <x:c r="D20" s="19" t="str">
        <x:v>制造覆盖Mid</x:v>
      </x:c>
    </x:row>
    <x:row r="21" ht="34" customHeight="1">
      <x:c r="A21" s="150" t="str">
        <x:v>M09_HIGH</x:v>
      </x:c>
      <x:c r="B21" s="160" t="n">
        <x:f>SUMIFS('01_原子成本假设'!$G$7:$G$49,'01_原子成本假设'!$A$7:$A$49,"RATE_MANUFACTURING")</x:f>
        <x:v>0.04</x:v>
      </x:c>
      <x:c r="C21" s="150" t="str">
        <x:v>01_原子成本假设｜RATE_MANUFACTURING</x:v>
      </x:c>
      <x:c r="D21" s="150" t="str">
        <x:v>制造覆盖High</x:v>
      </x:c>
    </x:row>
    <x:row r="22" ht="34" customHeight="1">
      <x:c r="A22" s="19" t="str">
        <x:v>M10_LOW</x:v>
      </x:c>
      <x:c r="B22" s="160" t="n">
        <x:f>SUMIFS('01_原子成本假设'!$E$7:$E$49,'01_原子成本假设'!$A$7:$A$49,"RATE_WARRANTY")</x:f>
        <x:v>0.005</x:v>
      </x:c>
      <x:c r="C22" s="19" t="str">
        <x:v>01_原子成本假设｜RATE_WARRANTY</x:v>
      </x:c>
      <x:c r="D22" s="19" t="str">
        <x:v>质保覆盖Low</x:v>
      </x:c>
    </x:row>
    <x:row r="23" ht="34" customHeight="1">
      <x:c r="A23" s="150" t="str">
        <x:v>M10_MID</x:v>
      </x:c>
      <x:c r="B23" s="160" t="n">
        <x:f>SUMIFS('01_原子成本假设'!$F$7:$F$49,'01_原子成本假设'!$A$7:$A$49,"RATE_WARRANTY")</x:f>
        <x:v>0.015</x:v>
      </x:c>
      <x:c r="C23" s="150" t="str">
        <x:v>01_原子成本假设｜RATE_WARRANTY</x:v>
      </x:c>
      <x:c r="D23" s="150" t="str">
        <x:v>质保覆盖Mid</x:v>
      </x:c>
    </x:row>
    <x:row r="24" ht="34" customHeight="1">
      <x:c r="A24" s="19" t="str">
        <x:v>M10_HIGH</x:v>
      </x:c>
      <x:c r="B24" s="160" t="n">
        <x:f>SUMIFS('01_原子成本假设'!$G$7:$G$49,'01_原子成本假设'!$A$7:$A$49,"RATE_WARRANTY")</x:f>
        <x:v>0.03</x:v>
      </x:c>
      <x:c r="C24" s="19" t="str">
        <x:v>01_原子成本假设｜RATE_WARRANTY</x:v>
      </x:c>
      <x:c r="D24" s="19" t="str">
        <x:v>质保覆盖High</x:v>
      </x:c>
    </x:row>
    <x:row r="25" ht="34" customHeight="1">
      <x:c r="A25" s="150" t="str">
        <x:v>AS_OF</x:v>
      </x:c>
      <x:c r="B25" s="150" t="str">
        <x:v>2026-08-01</x:v>
      </x:c>
      <x:c r="C25" s="150" t="str">
        <x:v>官方App补证冻结时点</x:v>
      </x:c>
      <x:c r="D25" s="150" t="str">
        <x:v>价格与base配置统一口径</x:v>
      </x:c>
    </x:row>
    <x:row r="27">
      <x:c r="A27" s="164" t="str">
        <x:v>重要边界：整备质量、车高、空间及显示架构用于识别未匹配项，不在Phase 2.3A中被直接换算为成本；否则会把未知车身BOM误写成已知成本。</x:v>
      </x:c>
      <x:c r="B27" s="164"/>
      <x:c r="C27" s="164"/>
      <x:c r="D27" s="164"/>
      <x:c r="E27" s="164"/>
      <x:c r="F27" s="164"/>
      <x:c r="G27" s="164"/>
      <x:c r="H27" s="164"/>
      <x:c r="I27" s="164"/>
      <x:c r="J27" s="164"/>
      <x:c r="K27" s="164"/>
      <x:c r="L27" s="164"/>
      <x:c r="M27" s="164"/>
      <x:c r="N27" s="164"/>
      <x:c r="O27" s="164"/>
      <x:c r="P27" s="164"/>
      <x:c r="Q27" s="164"/>
      <x:c r="R27" s="164"/>
      <x:c r="S27" s="164"/>
      <x:c r="T27" s="164"/>
      <x:c r="U27" s="164"/>
      <x:c r="V27" s="164"/>
      <x:c r="W27" s="164"/>
      <x:c r="X27" s="164"/>
      <x:c r="Y27" s="164"/>
      <x:c r="Z27" s="164"/>
      <x:c r="AA27" s="164"/>
      <x:c r="AB27" s="164"/>
      <x:c r="AC27" s="164"/>
      <x:c r="AD27" s="164"/>
      <x:c r="AE27" s="164"/>
      <x:c r="AF27" s="164"/>
      <x:c r="AG27" s="164"/>
      <x:c r="AH27" s="164"/>
      <x:c r="AI27" s="164"/>
    </x:row>
    <x:row r="28">
      <x:c r="A28" s="164"/>
      <x:c r="B28" s="164"/>
      <x:c r="C28" s="164"/>
      <x:c r="D28" s="164"/>
      <x:c r="E28" s="164"/>
      <x:c r="F28" s="164"/>
      <x:c r="G28" s="164"/>
      <x:c r="H28" s="164"/>
      <x:c r="I28" s="164"/>
      <x:c r="J28" s="164"/>
      <x:c r="K28" s="164"/>
      <x:c r="L28" s="164"/>
      <x:c r="M28" s="164"/>
      <x:c r="N28" s="164"/>
      <x:c r="O28" s="164"/>
      <x:c r="P28" s="164"/>
      <x:c r="Q28" s="164"/>
      <x:c r="R28" s="164"/>
      <x:c r="S28" s="164"/>
      <x:c r="T28" s="164"/>
      <x:c r="U28" s="164"/>
      <x:c r="V28" s="164"/>
      <x:c r="W28" s="164"/>
      <x:c r="X28" s="164"/>
      <x:c r="Y28" s="164"/>
      <x:c r="Z28" s="164"/>
      <x:c r="AA28" s="164"/>
      <x:c r="AB28" s="164"/>
      <x:c r="AC28" s="164"/>
      <x:c r="AD28" s="164"/>
      <x:c r="AE28" s="164"/>
      <x:c r="AF28" s="164"/>
      <x:c r="AG28" s="164"/>
      <x:c r="AH28" s="164"/>
      <x:c r="AI28" s="164"/>
    </x:row>
  </x:sheetData>
  <x:mergeCells>
    <x:mergeCell ref="A1:AI1"/>
    <x:mergeCell ref="A2:AI2"/>
    <x:mergeCell ref="A3:AI3"/>
    <x:mergeCell ref="A27:AI27"/>
    <x:mergeCell ref="A28:AI28"/>
  </x:mergeCells>
  <x:pageMargins left="0.7" right="0.7" top="0.75" bottom="0.75" header="0.3" footer="0.3"/>
</x:worksheet>
</file>

<file path=xl/worksheets/sheet2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7" hidden="0" customWidth="1"/>
    <x:col min="3" max="3" width="17" hidden="0" customWidth="1"/>
    <x:col min="4" max="4" width="11" hidden="0" customWidth="1"/>
    <x:col min="5" max="5" width="11" hidden="0" customWidth="1"/>
    <x:col min="6" max="6" width="14" hidden="0" customWidth="1"/>
    <x:col min="7" max="7" width="11" hidden="0" customWidth="1"/>
    <x:col min="8" max="8" width="15" hidden="0" customWidth="1"/>
    <x:col min="9" max="9" width="15" hidden="0" customWidth="1"/>
    <x:col min="10" max="10" width="19" hidden="0" customWidth="1"/>
    <x:col min="11" max="11" width="14" hidden="0" customWidth="1"/>
    <x:col min="12" max="12" width="16" hidden="0" customWidth="1"/>
    <x:col min="13" max="13" width="16" hidden="0" customWidth="1"/>
    <x:col min="14" max="14" width="48" hidden="0" customWidth="1"/>
  </x:cols>
  <x:sheetData>
    <x:row r="1" ht="30" customHeight="1">
      <x:c r="A1" s="137" t="str">
        <x:v>19｜Phase 2.3A 同硬件匹配矩阵</x:v>
      </x:c>
      <x:c r="B1" s="137"/>
      <x:c r="C1" s="137"/>
      <x:c r="D1" s="137"/>
      <x:c r="E1" s="137"/>
      <x:c r="F1" s="137"/>
      <x:c r="G1" s="137"/>
      <x:c r="H1" s="137"/>
      <x:c r="I1" s="137"/>
      <x:c r="J1" s="137"/>
      <x:c r="K1" s="137"/>
      <x:c r="L1" s="137"/>
      <x:c r="M1" s="137"/>
      <x:c r="N1" s="137"/>
    </x:row>
    <x:row r="2" ht="22" customHeight="1">
      <x:c r="A2" s="140" t="str">
        <x:v>完整3×4候选矩阵｜4个核心分组：电池、电驱、高压快充、底盘｜执行层只作复核</x:v>
      </x:c>
      <x:c r="B2" s="140"/>
      <x:c r="C2" s="140"/>
      <x:c r="D2" s="140"/>
      <x:c r="E2" s="140"/>
      <x:c r="F2" s="140"/>
      <x:c r="G2" s="140"/>
      <x:c r="H2" s="140"/>
      <x:c r="I2" s="140"/>
      <x:c r="J2" s="140"/>
      <x:c r="K2" s="140"/>
      <x:c r="L2" s="140"/>
      <x:c r="M2" s="140"/>
      <x:c r="N2" s="140"/>
    </x:row>
    <x:row r="3" ht="42" customHeight="1">
      <x:c r="A3" s="144" t="str">
        <x:v>A_STRICT表示四个核心分组完全相同；B只允许电驱或底盘单组差异并须显式调整。相同版本名称不构成匹配依据。</x:v>
      </x:c>
      <x:c r="B3" s="144"/>
      <x:c r="C3" s="144"/>
      <x:c r="D3" s="144"/>
      <x:c r="E3" s="144"/>
      <x:c r="F3" s="144"/>
      <x:c r="G3" s="144"/>
      <x:c r="H3" s="144"/>
      <x:c r="I3" s="144"/>
      <x:c r="J3" s="144"/>
      <x:c r="K3" s="144"/>
      <x:c r="L3" s="144"/>
      <x:c r="M3" s="144"/>
      <x:c r="N3" s="144"/>
    </x:row>
    <x:row r="5" ht="42" customHeight="1">
      <x:c r="A5" s="167" t="str">
        <x:v>筛选结论：12个候选配对中，2个严格强锚、2个单差异铰链配对、8个排除。SU7 Pro同时连接YU7长续航版与YU7 Pro，是中间层的硬件铰链。</x:v>
      </x:c>
      <x:c r="B5" s="167"/>
      <x:c r="C5" s="167"/>
      <x:c r="D5" s="167"/>
      <x:c r="E5" s="167"/>
      <x:c r="F5" s="167"/>
      <x:c r="G5" s="167"/>
      <x:c r="H5" s="167"/>
      <x:c r="I5" s="167"/>
      <x:c r="J5" s="167"/>
      <x:c r="K5" s="167"/>
      <x:c r="L5" s="167"/>
      <x:c r="M5" s="167"/>
      <x:c r="N5" s="167"/>
    </x:row>
    <x:row r="7" ht="44" customHeight="1">
      <x:c r="A7" s="149" t="str">
        <x:v>pair_id</x:v>
      </x:c>
      <x:c r="B7" s="149" t="str">
        <x:v>SU7样本</x:v>
      </x:c>
      <x:c r="C7" s="149" t="str">
        <x:v>YU7样本</x:v>
      </x:c>
      <x:c r="D7" s="149" t="str">
        <x:v>电池组</x:v>
      </x:c>
      <x:c r="E7" s="149" t="str">
        <x:v>电驱组</x:v>
      </x:c>
      <x:c r="F7" s="149" t="str">
        <x:v>高压快充组</x:v>
      </x:c>
      <x:c r="G7" s="149" t="str">
        <x:v>底盘组</x:v>
      </x:c>
      <x:c r="H7" s="149" t="str">
        <x:v>执行层复核</x:v>
      </x:c>
      <x:c r="I7" s="149" t="str">
        <x:v>核心差异组数</x:v>
      </x:c>
      <x:c r="J7" s="149" t="str">
        <x:v>配对等级</x:v>
      </x:c>
      <x:c r="K7" s="149" t="str">
        <x:v>是否入选</x:v>
      </x:c>
      <x:c r="L7" s="149" t="str">
        <x:v>含税价差_Y−S</x:v>
      </x:c>
      <x:c r="M7" s="149" t="str">
        <x:v>未税价差_Y−S</x:v>
      </x:c>
      <x:c r="N7" s="149" t="str">
        <x:v>判定说明</x:v>
      </x:c>
    </x:row>
    <x:row r="8" ht="42" customHeight="1">
      <x:c r="A8" s="19" t="str">
        <x:v>CAND-01</x:v>
      </x:c>
      <x:c r="B8" s="19" t="str">
        <x:f>'18_跨系底表'!$A$7</x:f>
        <x:v>SU7-G2-STD</x:v>
      </x:c>
      <x:c r="C8" s="19" t="str">
        <x:f>'18_跨系底表'!$A$10</x:f>
        <x:v>YU7-G1-STD</x:v>
      </x:c>
      <x:c r="D8" s="168" t="str">
        <x:f>IF('18_跨系底表'!$AE$7='18_跨系底表'!$AE$10,"YES","NO")</x:f>
        <x:v>YES</x:v>
      </x:c>
      <x:c r="E8" s="168" t="str">
        <x:f>IF('18_跨系底表'!$AF$7='18_跨系底表'!$AF$10,"YES","NO")</x:f>
        <x:v>YES</x:v>
      </x:c>
      <x:c r="F8" s="168" t="str">
        <x:f>IF('18_跨系底表'!$AG$7='18_跨系底表'!$AG$10,"YES","NO")</x:f>
        <x:v>YES</x:v>
      </x:c>
      <x:c r="G8" s="168" t="str">
        <x:f>IF('18_跨系底表'!$AH$7='18_跨系底表'!$AH$10,"YES","NO")</x:f>
        <x:v>YES</x:v>
      </x:c>
      <x:c r="H8" s="168" t="str">
        <x:f>IF('18_跨系底表'!$AI$7='18_跨系底表'!$AI$10,"YES","NO")</x:f>
        <x:v>YES</x:v>
      </x:c>
      <x:c r="I8" s="19" t="n">
        <x:f>COUNTIF(D8:G8,"NO")</x:f>
        <x:v>0</x:v>
      </x:c>
      <x:c r="J8" s="19" t="str">
        <x:f>IF(I8=0,"A_STRICT",IF(AND(I8=1,D8="YES",F8="YES",E8="NO"),"B_DRIVE_ADJ",IF(AND(I8=1,D8="YES",F8="YES",G8="NO"),"B_CHASSIS_ADJ","EXCLUDE")))</x:f>
        <x:v>A_STRICT</x:v>
      </x:c>
      <x:c r="K8" s="19" t="str">
        <x:f>IF(OR(J8="A_STRICT",J8="B_DRIVE_ADJ",J8="B_CHASSIS_ADJ"),"SELECT","EXCLUDE")</x:f>
        <x:v>SELECT</x:v>
      </x:c>
      <x:c r="L8" s="21" t="n">
        <x:f>'18_跨系底表'!$F$10-'18_跨系底表'!$F$7</x:f>
        <x:v>13600</x:v>
      </x:c>
      <x:c r="M8" s="21" t="n">
        <x:f>'18_跨系底表'!$G$10-'18_跨系底表'!$G$7</x:f>
        <x:v>12035.398230088496</x:v>
      </x:c>
      <x:c r="N8" s="19" t="str">
        <x:v>同73kWh LFP、235kW后驱、752V/20min、无CDC/无空悬；严格强锚。</x:v>
      </x:c>
    </x:row>
    <x:row r="9" ht="42" customHeight="1">
      <x:c r="A9" s="150" t="str">
        <x:v>CAND-02</x:v>
      </x:c>
      <x:c r="B9" s="150" t="str">
        <x:f>'18_跨系底表'!$A$7</x:f>
        <x:v>SU7-G2-STD</x:v>
      </x:c>
      <x:c r="C9" s="150" t="str">
        <x:f>'18_跨系底表'!$A$11</x:f>
        <x:v>YU7-G1-LR</x:v>
      </x:c>
      <x:c r="D9" s="169" t="str">
        <x:f>IF('18_跨系底表'!$AE$7='18_跨系底表'!$AE$11,"YES","NO")</x:f>
        <x:v>NO</x:v>
      </x:c>
      <x:c r="E9" s="169" t="str">
        <x:f>IF('18_跨系底表'!$AF$7='18_跨系底表'!$AF$11,"YES","NO")</x:f>
        <x:v>YES</x:v>
      </x:c>
      <x:c r="F9" s="169" t="str">
        <x:f>IF('18_跨系底表'!$AG$7='18_跨系底表'!$AG$11,"YES","NO")</x:f>
        <x:v>NO</x:v>
      </x:c>
      <x:c r="G9" s="169" t="str">
        <x:f>IF('18_跨系底表'!$AH$7='18_跨系底表'!$AH$11,"YES","NO")</x:f>
        <x:v>NO</x:v>
      </x:c>
      <x:c r="H9" s="169" t="str">
        <x:f>IF('18_跨系底表'!$AI$7='18_跨系底表'!$AI$11,"YES","NO")</x:f>
        <x:v>YES</x:v>
      </x:c>
      <x:c r="I9" s="150" t="n">
        <x:f>COUNTIF(D9:G9,"NO")</x:f>
        <x:v>3</x:v>
      </x:c>
      <x:c r="J9" s="150" t="str">
        <x:f>IF(I9=0,"A_STRICT",IF(AND(I9=1,D9="YES",F9="YES",E9="NO"),"B_DRIVE_ADJ",IF(AND(I9=1,D9="YES",F9="YES",G9="NO"),"B_CHASSIS_ADJ","EXCLUDE")))</x:f>
        <x:v>EXCLUDE</x:v>
      </x:c>
      <x:c r="K9" s="150" t="str">
        <x:f>IF(OR(J9="A_STRICT",J9="B_DRIVE_ADJ",J9="B_CHASSIS_ADJ"),"SELECT","EXCLUDE")</x:f>
        <x:v>EXCLUDE</x:v>
      </x:c>
      <x:c r="L9" s="151" t="n">
        <x:f>'18_跨系底表'!$F$11-'18_跨系底表'!$F$7</x:f>
        <x:v>33600</x:v>
      </x:c>
      <x:c r="M9" s="151" t="n">
        <x:f>'18_跨系底表'!$G$11-'18_跨系底表'!$G$7</x:f>
        <x:v>29734.513274336292</x:v>
      </x:c>
      <x:c r="N9" s="150" t="str">
        <x:v>至少两个核心分组不一致；不用于跨车系同硬件定价锚。</x:v>
      </x:c>
    </x:row>
    <x:row r="10" ht="42" customHeight="1">
      <x:c r="A10" s="19" t="str">
        <x:v>CAND-03</x:v>
      </x:c>
      <x:c r="B10" s="19" t="str">
        <x:f>'18_跨系底表'!$A$7</x:f>
        <x:v>SU7-G2-STD</x:v>
      </x:c>
      <x:c r="C10" s="19" t="str">
        <x:f>'18_跨系底表'!$A$12</x:f>
        <x:v>YU7-G1-PRO</x:v>
      </x:c>
      <x:c r="D10" s="168" t="str">
        <x:f>IF('18_跨系底表'!$AE$7='18_跨系底表'!$AE$12,"YES","NO")</x:f>
        <x:v>NO</x:v>
      </x:c>
      <x:c r="E10" s="168" t="str">
        <x:f>IF('18_跨系底表'!$AF$7='18_跨系底表'!$AF$12,"YES","NO")</x:f>
        <x:v>NO</x:v>
      </x:c>
      <x:c r="F10" s="168" t="str">
        <x:f>IF('18_跨系底表'!$AG$7='18_跨系底表'!$AG$12,"YES","NO")</x:f>
        <x:v>NO</x:v>
      </x:c>
      <x:c r="G10" s="168" t="str">
        <x:f>IF('18_跨系底表'!$AH$7='18_跨系底表'!$AH$12,"YES","NO")</x:f>
        <x:v>NO</x:v>
      </x:c>
      <x:c r="H10" s="168" t="str">
        <x:f>IF('18_跨系底表'!$AI$7='18_跨系底表'!$AI$12,"YES","NO")</x:f>
        <x:v>YES</x:v>
      </x:c>
      <x:c r="I10" s="19" t="n">
        <x:f>COUNTIF(D10:G10,"NO")</x:f>
        <x:v>4</x:v>
      </x:c>
      <x:c r="J10" s="19" t="str">
        <x:f>IF(I10=0,"A_STRICT",IF(AND(I10=1,D10="YES",F10="YES",E10="NO"),"B_DRIVE_ADJ",IF(AND(I10=1,D10="YES",F10="YES",G10="NO"),"B_CHASSIS_ADJ","EXCLUDE")))</x:f>
        <x:v>EXCLUDE</x:v>
      </x:c>
      <x:c r="K10" s="19" t="str">
        <x:f>IF(OR(J10="A_STRICT",J10="B_DRIVE_ADJ",J10="B_CHASSIS_ADJ"),"SELECT","EXCLUDE")</x:f>
        <x:v>EXCLUDE</x:v>
      </x:c>
      <x:c r="L10" s="21" t="n">
        <x:f>'18_跨系底表'!$F$12-'18_跨系底表'!$F$7</x:f>
        <x:v>60000</x:v>
      </x:c>
      <x:c r="M10" s="21" t="n">
        <x:f>'18_跨系底表'!$G$12-'18_跨系底表'!$G$7</x:f>
        <x:v>53097.34513274339</x:v>
      </x:c>
      <x:c r="N10" s="19" t="str">
        <x:v>至少两个核心分组不一致；不用于跨车系同硬件定价锚。</x:v>
      </x:c>
    </x:row>
    <x:row r="11" ht="42" customHeight="1">
      <x:c r="A11" s="150" t="str">
        <x:v>CAND-04</x:v>
      </x:c>
      <x:c r="B11" s="150" t="str">
        <x:f>'18_跨系底表'!$A$7</x:f>
        <x:v>SU7-G2-STD</x:v>
      </x:c>
      <x:c r="C11" s="150" t="str">
        <x:f>'18_跨系底表'!$A$13</x:f>
        <x:v>YU7-G1-MAX</x:v>
      </x:c>
      <x:c r="D11" s="169" t="str">
        <x:f>IF('18_跨系底表'!$AE$7='18_跨系底表'!$AE$13,"YES","NO")</x:f>
        <x:v>NO</x:v>
      </x:c>
      <x:c r="E11" s="169" t="str">
        <x:f>IF('18_跨系底表'!$AF$7='18_跨系底表'!$AF$13,"YES","NO")</x:f>
        <x:v>NO</x:v>
      </x:c>
      <x:c r="F11" s="169" t="str">
        <x:f>IF('18_跨系底表'!$AG$7='18_跨系底表'!$AG$13,"YES","NO")</x:f>
        <x:v>NO</x:v>
      </x:c>
      <x:c r="G11" s="169" t="str">
        <x:f>IF('18_跨系底表'!$AH$7='18_跨系底表'!$AH$13,"YES","NO")</x:f>
        <x:v>NO</x:v>
      </x:c>
      <x:c r="H11" s="169" t="str">
        <x:f>IF('18_跨系底表'!$AI$7='18_跨系底表'!$AI$13,"YES","NO")</x:f>
        <x:v>NO</x:v>
      </x:c>
      <x:c r="I11" s="150" t="n">
        <x:f>COUNTIF(D11:G11,"NO")</x:f>
        <x:v>4</x:v>
      </x:c>
      <x:c r="J11" s="150" t="str">
        <x:f>IF(I11=0,"A_STRICT",IF(AND(I11=1,D11="YES",F11="YES",E11="NO"),"B_DRIVE_ADJ",IF(AND(I11=1,D11="YES",F11="YES",G11="NO"),"B_CHASSIS_ADJ","EXCLUDE")))</x:f>
        <x:v>EXCLUDE</x:v>
      </x:c>
      <x:c r="K11" s="150" t="str">
        <x:f>IF(OR(J11="A_STRICT",J11="B_DRIVE_ADJ",J11="B_CHASSIS_ADJ"),"SELECT","EXCLUDE")</x:f>
        <x:v>EXCLUDE</x:v>
      </x:c>
      <x:c r="L11" s="151" t="n">
        <x:f>'18_跨系底表'!$F$13-'18_跨系底表'!$F$7</x:f>
        <x:v>110000</x:v>
      </x:c>
      <x:c r="M11" s="151" t="n">
        <x:f>'18_跨系底表'!$G$13-'18_跨系底表'!$G$7</x:f>
        <x:v>97345.13274336283</x:v>
      </x:c>
      <x:c r="N11" s="150" t="str">
        <x:v>至少两个核心分组不一致；不用于跨车系同硬件定价锚。</x:v>
      </x:c>
    </x:row>
    <x:row r="12" ht="42" customHeight="1">
      <x:c r="A12" s="19" t="str">
        <x:v>CAND-05</x:v>
      </x:c>
      <x:c r="B12" s="19" t="str">
        <x:f>'18_跨系底表'!$A$8</x:f>
        <x:v>SU7-G2-PRO</x:v>
      </x:c>
      <x:c r="C12" s="19" t="str">
        <x:f>'18_跨系底表'!$A$10</x:f>
        <x:v>YU7-G1-STD</x:v>
      </x:c>
      <x:c r="D12" s="168" t="str">
        <x:f>IF('18_跨系底表'!$AE$8='18_跨系底表'!$AE$10,"YES","NO")</x:f>
        <x:v>NO</x:v>
      </x:c>
      <x:c r="E12" s="168" t="str">
        <x:f>IF('18_跨系底表'!$AF$8='18_跨系底表'!$AF$10,"YES","NO")</x:f>
        <x:v>YES</x:v>
      </x:c>
      <x:c r="F12" s="168" t="str">
        <x:f>IF('18_跨系底表'!$AG$8='18_跨系底表'!$AG$10,"YES","NO")</x:f>
        <x:v>NO</x:v>
      </x:c>
      <x:c r="G12" s="168" t="str">
        <x:f>IF('18_跨系底表'!$AH$8='18_跨系底表'!$AH$10,"YES","NO")</x:f>
        <x:v>NO</x:v>
      </x:c>
      <x:c r="H12" s="168" t="str">
        <x:f>IF('18_跨系底表'!$AI$8='18_跨系底表'!$AI$10,"YES","NO")</x:f>
        <x:v>YES</x:v>
      </x:c>
      <x:c r="I12" s="19" t="n">
        <x:f>COUNTIF(D12:G12,"NO")</x:f>
        <x:v>3</x:v>
      </x:c>
      <x:c r="J12" s="19" t="str">
        <x:f>IF(I12=0,"A_STRICT",IF(AND(I12=1,D12="YES",F12="YES",E12="NO"),"B_DRIVE_ADJ",IF(AND(I12=1,D12="YES",F12="YES",G12="NO"),"B_CHASSIS_ADJ","EXCLUDE")))</x:f>
        <x:v>EXCLUDE</x:v>
      </x:c>
      <x:c r="K12" s="19" t="str">
        <x:f>IF(OR(J12="A_STRICT",J12="B_DRIVE_ADJ",J12="B_CHASSIS_ADJ"),"SELECT","EXCLUDE")</x:f>
        <x:v>EXCLUDE</x:v>
      </x:c>
      <x:c r="L12" s="21" t="n">
        <x:f>'18_跨系底表'!$F$10-'18_跨系底表'!$F$8</x:f>
        <x:v>-16400</x:v>
      </x:c>
      <x:c r="M12" s="21" t="n">
        <x:f>'18_跨系底表'!$G$10-'18_跨系底表'!$G$8</x:f>
        <x:v>-14513.274336283182</x:v>
      </x:c>
      <x:c r="N12" s="19" t="str">
        <x:v>至少两个核心分组不一致；不用于跨车系同硬件定价锚。</x:v>
      </x:c>
    </x:row>
    <x:row r="13" ht="42" customHeight="1">
      <x:c r="A13" s="150" t="str">
        <x:v>CAND-06</x:v>
      </x:c>
      <x:c r="B13" s="150" t="str">
        <x:f>'18_跨系底表'!$A$8</x:f>
        <x:v>SU7-G2-PRO</x:v>
      </x:c>
      <x:c r="C13" s="150" t="str">
        <x:f>'18_跨系底表'!$A$11</x:f>
        <x:v>YU7-G1-LR</x:v>
      </x:c>
      <x:c r="D13" s="169" t="str">
        <x:f>IF('18_跨系底表'!$AE$8='18_跨系底表'!$AE$11,"YES","NO")</x:f>
        <x:v>YES</x:v>
      </x:c>
      <x:c r="E13" s="169" t="str">
        <x:f>IF('18_跨系底表'!$AF$8='18_跨系底表'!$AF$11,"YES","NO")</x:f>
        <x:v>YES</x:v>
      </x:c>
      <x:c r="F13" s="169" t="str">
        <x:f>IF('18_跨系底表'!$AG$8='18_跨系底表'!$AG$11,"YES","NO")</x:f>
        <x:v>YES</x:v>
      </x:c>
      <x:c r="G13" s="169" t="str">
        <x:f>IF('18_跨系底表'!$AH$8='18_跨系底表'!$AH$11,"YES","NO")</x:f>
        <x:v>NO</x:v>
      </x:c>
      <x:c r="H13" s="169" t="str">
        <x:f>IF('18_跨系底表'!$AI$8='18_跨系底表'!$AI$11,"YES","NO")</x:f>
        <x:v>YES</x:v>
      </x:c>
      <x:c r="I13" s="150" t="n">
        <x:f>COUNTIF(D13:G13,"NO")</x:f>
        <x:v>1</x:v>
      </x:c>
      <x:c r="J13" s="150" t="str">
        <x:f>IF(I13=0,"A_STRICT",IF(AND(I13=1,D13="YES",F13="YES",E13="NO"),"B_DRIVE_ADJ",IF(AND(I13=1,D13="YES",F13="YES",G13="NO"),"B_CHASSIS_ADJ","EXCLUDE")))</x:f>
        <x:v>B_CHASSIS_ADJ</x:v>
      </x:c>
      <x:c r="K13" s="150" t="str">
        <x:f>IF(OR(J13="A_STRICT",J13="B_DRIVE_ADJ",J13="B_CHASSIS_ADJ"),"SELECT","EXCLUDE")</x:f>
        <x:v>SELECT</x:v>
      </x:c>
      <x:c r="L13" s="151" t="n">
        <x:f>'18_跨系底表'!$F$11-'18_跨系底表'!$F$8</x:f>
        <x:v>3600</x:v>
      </x:c>
      <x:c r="M13" s="151" t="n">
        <x:f>'18_跨系底表'!$G$11-'18_跨系底表'!$G$8</x:f>
        <x:v>3185.840707964613</x:v>
      </x:c>
      <x:c r="N13" s="150" t="str">
        <x:v>同96.3kWh LFP、235kW后驱、752V/21min、同CDC；YU7缺双腔空悬，需底盘调整。</x:v>
      </x:c>
    </x:row>
    <x:row r="14" ht="42" customHeight="1">
      <x:c r="A14" s="19" t="str">
        <x:v>CAND-07</x:v>
      </x:c>
      <x:c r="B14" s="19" t="str">
        <x:f>'18_跨系底表'!$A$8</x:f>
        <x:v>SU7-G2-PRO</x:v>
      </x:c>
      <x:c r="C14" s="19" t="str">
        <x:f>'18_跨系底表'!$A$12</x:f>
        <x:v>YU7-G1-PRO</x:v>
      </x:c>
      <x:c r="D14" s="168" t="str">
        <x:f>IF('18_跨系底表'!$AE$8='18_跨系底表'!$AE$12,"YES","NO")</x:f>
        <x:v>YES</x:v>
      </x:c>
      <x:c r="E14" s="168" t="str">
        <x:f>IF('18_跨系底表'!$AF$8='18_跨系底表'!$AF$12,"YES","NO")</x:f>
        <x:v>NO</x:v>
      </x:c>
      <x:c r="F14" s="168" t="str">
        <x:f>IF('18_跨系底表'!$AG$8='18_跨系底表'!$AG$12,"YES","NO")</x:f>
        <x:v>YES</x:v>
      </x:c>
      <x:c r="G14" s="168" t="str">
        <x:f>IF('18_跨系底表'!$AH$8='18_跨系底表'!$AH$12,"YES","NO")</x:f>
        <x:v>YES</x:v>
      </x:c>
      <x:c r="H14" s="168" t="str">
        <x:f>IF('18_跨系底表'!$AI$8='18_跨系底表'!$AI$12,"YES","NO")</x:f>
        <x:v>YES</x:v>
      </x:c>
      <x:c r="I14" s="19" t="n">
        <x:f>COUNTIF(D14:G14,"NO")</x:f>
        <x:v>1</x:v>
      </x:c>
      <x:c r="J14" s="19" t="str">
        <x:f>IF(I14=0,"A_STRICT",IF(AND(I14=1,D14="YES",F14="YES",E14="NO"),"B_DRIVE_ADJ",IF(AND(I14=1,D14="YES",F14="YES",G14="NO"),"B_CHASSIS_ADJ","EXCLUDE")))</x:f>
        <x:v>B_DRIVE_ADJ</x:v>
      </x:c>
      <x:c r="K14" s="19" t="str">
        <x:f>IF(OR(J14="A_STRICT",J14="B_DRIVE_ADJ",J14="B_CHASSIS_ADJ"),"SELECT","EXCLUDE")</x:f>
        <x:v>SELECT</x:v>
      </x:c>
      <x:c r="L14" s="21" t="n">
        <x:f>'18_跨系底表'!$F$12-'18_跨系底表'!$F$8</x:f>
        <x:v>30000</x:v>
      </x:c>
      <x:c r="M14" s="21" t="n">
        <x:f>'18_跨系底表'!$G$12-'18_跨系底表'!$G$8</x:f>
        <x:v>26548.672566371708</x:v>
      </x:c>
      <x:c r="N14" s="19" t="str">
        <x:v>同96.3kWh LFP、752V/21min、同CDC+双腔空悬；YU7多130kW前驱，需电驱调整。</x:v>
      </x:c>
    </x:row>
    <x:row r="15" ht="42" customHeight="1">
      <x:c r="A15" s="150" t="str">
        <x:v>CAND-08</x:v>
      </x:c>
      <x:c r="B15" s="150" t="str">
        <x:f>'18_跨系底表'!$A$8</x:f>
        <x:v>SU7-G2-PRO</x:v>
      </x:c>
      <x:c r="C15" s="150" t="str">
        <x:f>'18_跨系底表'!$A$13</x:f>
        <x:v>YU7-G1-MAX</x:v>
      </x:c>
      <x:c r="D15" s="169" t="str">
        <x:f>IF('18_跨系底表'!$AE$8='18_跨系底表'!$AE$13,"YES","NO")</x:f>
        <x:v>NO</x:v>
      </x:c>
      <x:c r="E15" s="169" t="str">
        <x:f>IF('18_跨系底表'!$AF$8='18_跨系底表'!$AF$13,"YES","NO")</x:f>
        <x:v>NO</x:v>
      </x:c>
      <x:c r="F15" s="169" t="str">
        <x:f>IF('18_跨系底表'!$AG$8='18_跨系底表'!$AG$13,"YES","NO")</x:f>
        <x:v>NO</x:v>
      </x:c>
      <x:c r="G15" s="169" t="str">
        <x:f>IF('18_跨系底表'!$AH$8='18_跨系底表'!$AH$13,"YES","NO")</x:f>
        <x:v>YES</x:v>
      </x:c>
      <x:c r="H15" s="169" t="str">
        <x:f>IF('18_跨系底表'!$AI$8='18_跨系底表'!$AI$13,"YES","NO")</x:f>
        <x:v>NO</x:v>
      </x:c>
      <x:c r="I15" s="150" t="n">
        <x:f>COUNTIF(D15:G15,"NO")</x:f>
        <x:v>3</x:v>
      </x:c>
      <x:c r="J15" s="150" t="str">
        <x:f>IF(I15=0,"A_STRICT",IF(AND(I15=1,D15="YES",F15="YES",E15="NO"),"B_DRIVE_ADJ",IF(AND(I15=1,D15="YES",F15="YES",G15="NO"),"B_CHASSIS_ADJ","EXCLUDE")))</x:f>
        <x:v>EXCLUDE</x:v>
      </x:c>
      <x:c r="K15" s="150" t="str">
        <x:f>IF(OR(J15="A_STRICT",J15="B_DRIVE_ADJ",J15="B_CHASSIS_ADJ"),"SELECT","EXCLUDE")</x:f>
        <x:v>EXCLUDE</x:v>
      </x:c>
      <x:c r="L15" s="151" t="n">
        <x:f>'18_跨系底表'!$F$13-'18_跨系底表'!$F$8</x:f>
        <x:v>80000</x:v>
      </x:c>
      <x:c r="M15" s="151" t="n">
        <x:f>'18_跨系底表'!$G$13-'18_跨系底表'!$G$8</x:f>
        <x:v>70796.46017699115</x:v>
      </x:c>
      <x:c r="N15" s="150" t="str">
        <x:v>至少两个核心分组不一致；不用于跨车系同硬件定价锚。</x:v>
      </x:c>
    </x:row>
    <x:row r="16" ht="42" customHeight="1">
      <x:c r="A16" s="19" t="str">
        <x:v>CAND-09</x:v>
      </x:c>
      <x:c r="B16" s="19" t="str">
        <x:f>'18_跨系底表'!$A$9</x:f>
        <x:v>SU7-G2-MAX</x:v>
      </x:c>
      <x:c r="C16" s="19" t="str">
        <x:f>'18_跨系底表'!$A$10</x:f>
        <x:v>YU7-G1-STD</x:v>
      </x:c>
      <x:c r="D16" s="168" t="str">
        <x:f>IF('18_跨系底表'!$AE$9='18_跨系底表'!$AE$10,"YES","NO")</x:f>
        <x:v>NO</x:v>
      </x:c>
      <x:c r="E16" s="168" t="str">
        <x:f>IF('18_跨系底表'!$AF$9='18_跨系底表'!$AF$10,"YES","NO")</x:f>
        <x:v>NO</x:v>
      </x:c>
      <x:c r="F16" s="168" t="str">
        <x:f>IF('18_跨系底表'!$AG$9='18_跨系底表'!$AG$10,"YES","NO")</x:f>
        <x:v>NO</x:v>
      </x:c>
      <x:c r="G16" s="168" t="str">
        <x:f>IF('18_跨系底表'!$AH$9='18_跨系底表'!$AH$10,"YES","NO")</x:f>
        <x:v>NO</x:v>
      </x:c>
      <x:c r="H16" s="168" t="str">
        <x:f>IF('18_跨系底表'!$AI$9='18_跨系底表'!$AI$10,"YES","NO")</x:f>
        <x:v>NO</x:v>
      </x:c>
      <x:c r="I16" s="19" t="n">
        <x:f>COUNTIF(D16:G16,"NO")</x:f>
        <x:v>4</x:v>
      </x:c>
      <x:c r="J16" s="19" t="str">
        <x:f>IF(I16=0,"A_STRICT",IF(AND(I16=1,D16="YES",F16="YES",E16="NO"),"B_DRIVE_ADJ",IF(AND(I16=1,D16="YES",F16="YES",G16="NO"),"B_CHASSIS_ADJ","EXCLUDE")))</x:f>
        <x:v>EXCLUDE</x:v>
      </x:c>
      <x:c r="K16" s="19" t="str">
        <x:f>IF(OR(J16="A_STRICT",J16="B_DRIVE_ADJ",J16="B_CHASSIS_ADJ"),"SELECT","EXCLUDE")</x:f>
        <x:v>EXCLUDE</x:v>
      </x:c>
      <x:c r="L16" s="21" t="n">
        <x:f>'18_跨系底表'!$F$10-'18_跨系底表'!$F$9</x:f>
        <x:v>-70400</x:v>
      </x:c>
      <x:c r="M16" s="21" t="n">
        <x:f>'18_跨系底表'!$G$10-'18_跨系底表'!$G$9</x:f>
        <x:v>-62300.88495575223</x:v>
      </x:c>
      <x:c r="N16" s="19" t="str">
        <x:v>至少两个核心分组不一致；不用于跨车系同硬件定价锚。</x:v>
      </x:c>
    </x:row>
    <x:row r="17" ht="42" customHeight="1">
      <x:c r="A17" s="150" t="str">
        <x:v>CAND-10</x:v>
      </x:c>
      <x:c r="B17" s="150" t="str">
        <x:f>'18_跨系底表'!$A$9</x:f>
        <x:v>SU7-G2-MAX</x:v>
      </x:c>
      <x:c r="C17" s="150" t="str">
        <x:f>'18_跨系底表'!$A$11</x:f>
        <x:v>YU7-G1-LR</x:v>
      </x:c>
      <x:c r="D17" s="169" t="str">
        <x:f>IF('18_跨系底表'!$AE$9='18_跨系底表'!$AE$11,"YES","NO")</x:f>
        <x:v>NO</x:v>
      </x:c>
      <x:c r="E17" s="169" t="str">
        <x:f>IF('18_跨系底表'!$AF$9='18_跨系底表'!$AF$11,"YES","NO")</x:f>
        <x:v>NO</x:v>
      </x:c>
      <x:c r="F17" s="169" t="str">
        <x:f>IF('18_跨系底表'!$AG$9='18_跨系底表'!$AG$11,"YES","NO")</x:f>
        <x:v>NO</x:v>
      </x:c>
      <x:c r="G17" s="169" t="str">
        <x:f>IF('18_跨系底表'!$AH$9='18_跨系底表'!$AH$11,"YES","NO")</x:f>
        <x:v>NO</x:v>
      </x:c>
      <x:c r="H17" s="169" t="str">
        <x:f>IF('18_跨系底表'!$AI$9='18_跨系底表'!$AI$11,"YES","NO")</x:f>
        <x:v>NO</x:v>
      </x:c>
      <x:c r="I17" s="150" t="n">
        <x:f>COUNTIF(D17:G17,"NO")</x:f>
        <x:v>4</x:v>
      </x:c>
      <x:c r="J17" s="150" t="str">
        <x:f>IF(I17=0,"A_STRICT",IF(AND(I17=1,D17="YES",F17="YES",E17="NO"),"B_DRIVE_ADJ",IF(AND(I17=1,D17="YES",F17="YES",G17="NO"),"B_CHASSIS_ADJ","EXCLUDE")))</x:f>
        <x:v>EXCLUDE</x:v>
      </x:c>
      <x:c r="K17" s="150" t="str">
        <x:f>IF(OR(J17="A_STRICT",J17="B_DRIVE_ADJ",J17="B_CHASSIS_ADJ"),"SELECT","EXCLUDE")</x:f>
        <x:v>EXCLUDE</x:v>
      </x:c>
      <x:c r="L17" s="151" t="n">
        <x:f>'18_跨系底表'!$F$11-'18_跨系底表'!$F$9</x:f>
        <x:v>-50400</x:v>
      </x:c>
      <x:c r="M17" s="151" t="n">
        <x:f>'18_跨系底表'!$G$11-'18_跨系底表'!$G$9</x:f>
        <x:v>-44601.76991150444</x:v>
      </x:c>
      <x:c r="N17" s="150" t="str">
        <x:v>至少两个核心分组不一致；不用于跨车系同硬件定价锚。</x:v>
      </x:c>
    </x:row>
    <x:row r="18" ht="42" customHeight="1">
      <x:c r="A18" s="19" t="str">
        <x:v>CAND-11</x:v>
      </x:c>
      <x:c r="B18" s="19" t="str">
        <x:f>'18_跨系底表'!$A$9</x:f>
        <x:v>SU7-G2-MAX</x:v>
      </x:c>
      <x:c r="C18" s="19" t="str">
        <x:f>'18_跨系底表'!$A$12</x:f>
        <x:v>YU7-G1-PRO</x:v>
      </x:c>
      <x:c r="D18" s="168" t="str">
        <x:f>IF('18_跨系底表'!$AE$9='18_跨系底表'!$AE$12,"YES","NO")</x:f>
        <x:v>NO</x:v>
      </x:c>
      <x:c r="E18" s="168" t="str">
        <x:f>IF('18_跨系底表'!$AF$9='18_跨系底表'!$AF$12,"YES","NO")</x:f>
        <x:v>NO</x:v>
      </x:c>
      <x:c r="F18" s="168" t="str">
        <x:f>IF('18_跨系底表'!$AG$9='18_跨系底表'!$AG$12,"YES","NO")</x:f>
        <x:v>NO</x:v>
      </x:c>
      <x:c r="G18" s="168" t="str">
        <x:f>IF('18_跨系底表'!$AH$9='18_跨系底表'!$AH$12,"YES","NO")</x:f>
        <x:v>YES</x:v>
      </x:c>
      <x:c r="H18" s="168" t="str">
        <x:f>IF('18_跨系底表'!$AI$9='18_跨系底表'!$AI$12,"YES","NO")</x:f>
        <x:v>NO</x:v>
      </x:c>
      <x:c r="I18" s="19" t="n">
        <x:f>COUNTIF(D18:G18,"NO")</x:f>
        <x:v>3</x:v>
      </x:c>
      <x:c r="J18" s="19" t="str">
        <x:f>IF(I18=0,"A_STRICT",IF(AND(I18=1,D18="YES",F18="YES",E18="NO"),"B_DRIVE_ADJ",IF(AND(I18=1,D18="YES",F18="YES",G18="NO"),"B_CHASSIS_ADJ","EXCLUDE")))</x:f>
        <x:v>EXCLUDE</x:v>
      </x:c>
      <x:c r="K18" s="19" t="str">
        <x:f>IF(OR(J18="A_STRICT",J18="B_DRIVE_ADJ",J18="B_CHASSIS_ADJ"),"SELECT","EXCLUDE")</x:f>
        <x:v>EXCLUDE</x:v>
      </x:c>
      <x:c r="L18" s="21" t="n">
        <x:f>'18_跨系底表'!$F$12-'18_跨系底表'!$F$9</x:f>
        <x:v>-24000</x:v>
      </x:c>
      <x:c r="M18" s="21" t="n">
        <x:f>'18_跨系底表'!$G$12-'18_跨系底表'!$G$9</x:f>
        <x:v>-21238.938053097343</x:v>
      </x:c>
      <x:c r="N18" s="19" t="str">
        <x:v>至少两个核心分组不一致；不用于跨车系同硬件定价锚。</x:v>
      </x:c>
    </x:row>
    <x:row r="19" ht="42" customHeight="1">
      <x:c r="A19" s="150" t="str">
        <x:v>CAND-12</x:v>
      </x:c>
      <x:c r="B19" s="150" t="str">
        <x:f>'18_跨系底表'!$A$9</x:f>
        <x:v>SU7-G2-MAX</x:v>
      </x:c>
      <x:c r="C19" s="150" t="str">
        <x:f>'18_跨系底表'!$A$13</x:f>
        <x:v>YU7-G1-MAX</x:v>
      </x:c>
      <x:c r="D19" s="169" t="str">
        <x:f>IF('18_跨系底表'!$AE$9='18_跨系底表'!$AE$13,"YES","NO")</x:f>
        <x:v>YES</x:v>
      </x:c>
      <x:c r="E19" s="169" t="str">
        <x:f>IF('18_跨系底表'!$AF$9='18_跨系底表'!$AF$13,"YES","NO")</x:f>
        <x:v>YES</x:v>
      </x:c>
      <x:c r="F19" s="169" t="str">
        <x:f>IF('18_跨系底表'!$AG$9='18_跨系底表'!$AG$13,"YES","NO")</x:f>
        <x:v>YES</x:v>
      </x:c>
      <x:c r="G19" s="169" t="str">
        <x:f>IF('18_跨系底表'!$AH$9='18_跨系底表'!$AH$13,"YES","NO")</x:f>
        <x:v>YES</x:v>
      </x:c>
      <x:c r="H19" s="169" t="str">
        <x:f>IF('18_跨系底表'!$AI$9='18_跨系底表'!$AI$13,"YES","NO")</x:f>
        <x:v>YES</x:v>
      </x:c>
      <x:c r="I19" s="150" t="n">
        <x:f>COUNTIF(D19:G19,"NO")</x:f>
        <x:v>0</x:v>
      </x:c>
      <x:c r="J19" s="150" t="str">
        <x:f>IF(I19=0,"A_STRICT",IF(AND(I19=1,D19="YES",F19="YES",E19="NO"),"B_DRIVE_ADJ",IF(AND(I19=1,D19="YES",F19="YES",G19="NO"),"B_CHASSIS_ADJ","EXCLUDE")))</x:f>
        <x:v>A_STRICT</x:v>
      </x:c>
      <x:c r="K19" s="150" t="str">
        <x:f>IF(OR(J19="A_STRICT",J19="B_DRIVE_ADJ",J19="B_CHASSIS_ADJ"),"SELECT","EXCLUDE")</x:f>
        <x:v>SELECT</x:v>
      </x:c>
      <x:c r="L19" s="151" t="n">
        <x:f>'18_跨系底表'!$F$13-'18_跨系底表'!$F$9</x:f>
        <x:v>26000</x:v>
      </x:c>
      <x:c r="M19" s="151" t="n">
        <x:f>'18_跨系底表'!$G$13-'18_跨系底表'!$G$9</x:f>
        <x:v>23008.849557522102</x:v>
      </x:c>
      <x:c r="N19" s="150" t="str">
        <x:v>同101.7kWh三元锂、508kW四驱、897V/12min、CDC+双腔空悬；严格强锚。</x:v>
      </x:c>
    </x:row>
    <x:row r="23" ht="44" customHeight="1">
      <x:c r="A23" s="149" t="str">
        <x:v>pair_id</x:v>
      </x:c>
      <x:c r="B23" s="149" t="str">
        <x:v>角色</x:v>
      </x:c>
      <x:c r="C23" s="149" t="str">
        <x:v>等级</x:v>
      </x:c>
      <x:c r="D23" s="149" t="str">
        <x:v>SU7</x:v>
      </x:c>
      <x:c r="E23" s="149" t="str">
        <x:v>YU7</x:v>
      </x:c>
      <x:c r="F23" s="149" t="str">
        <x:v>含税价差</x:v>
      </x:c>
      <x:c r="G23" s="149" t="str">
        <x:v>未税价差</x:v>
      </x:c>
      <x:c r="H23" s="149" t="str">
        <x:v>核心差异组数</x:v>
      </x:c>
      <x:c r="I23" s="149" t="str">
        <x:v>已知总成本差_中</x:v>
      </x:c>
      <x:c r="J23" s="149" t="str">
        <x:v>未分配价差_中</x:v>
      </x:c>
      <x:c r="K23" s="149" t="str">
        <x:v>仍未匹配项</x:v>
      </x:c>
      <x:c r="L23" s="149" t="str">
        <x:v>Phase 2.3B用途</x:v>
      </x:c>
    </x:row>
    <x:row r="24" ht="54" customHeight="1">
      <x:c r="A24" s="19" t="str">
        <x:v>P23A-STD</x:v>
      </x:c>
      <x:c r="B24" s="19" t="str">
        <x:v>标准强锚</x:v>
      </x:c>
      <x:c r="C24" s="19" t="str">
        <x:v>A_STRICT</x:v>
      </x:c>
      <x:c r="D24" s="19" t="str">
        <x:f>$B$8</x:f>
        <x:v>SU7-G2-STD</x:v>
      </x:c>
      <x:c r="E24" s="19" t="str">
        <x:f>$C$8</x:f>
        <x:v>YU7-G1-STD</x:v>
      </x:c>
      <x:c r="F24" s="21" t="n">
        <x:f>$L$8</x:f>
        <x:v>13600</x:v>
      </x:c>
      <x:c r="G24" s="21" t="n">
        <x:f>$M$8</x:f>
        <x:v>12035.398230088496</x:v>
      </x:c>
      <x:c r="H24" s="19" t="n">
        <x:f>$I$8</x:f>
        <x:v>0</x:v>
      </x:c>
      <x:c r="I24" s="21" t="n">
        <x:f>'20_已知差异桥'!$N$21</x:f>
        <x:v>0</x:v>
      </x:c>
      <x:c r="J24" s="170" t="n">
        <x:f>'20_已知差异桥'!$Q$21</x:f>
        <x:v>12035.4</x:v>
      </x:c>
      <x:c r="K24" s="19" t="str">
        <x:v>车身结构/材料、天际屏vsSU7显示架构、后排座椅系统、安全气囊差异</x:v>
      </x:c>
      <x:c r="L24" s="19" t="str">
        <x:v>基础车身与空间溢价下端锚</x:v>
      </x:c>
    </x:row>
    <x:row r="25" ht="54" customHeight="1">
      <x:c r="A25" s="150" t="str">
        <x:v>P23A-RWD96</x:v>
      </x:c>
      <x:c r="B25" s="150" t="str">
        <x:v>96kWh后驱铰链</x:v>
      </x:c>
      <x:c r="C25" s="150" t="str">
        <x:v>B_CHASSIS_ADJ</x:v>
      </x:c>
      <x:c r="D25" s="150" t="str">
        <x:f>$B$13</x:f>
        <x:v>SU7-G2-PRO</x:v>
      </x:c>
      <x:c r="E25" s="150" t="str">
        <x:f>$C$13</x:f>
        <x:v>YU7-G1-LR</x:v>
      </x:c>
      <x:c r="F25" s="151" t="n">
        <x:f>$L$13</x:f>
        <x:v>3600</x:v>
      </x:c>
      <x:c r="G25" s="151" t="n">
        <x:f>$M$13</x:f>
        <x:v>3185.840707964613</x:v>
      </x:c>
      <x:c r="H25" s="150" t="n">
        <x:f>$I$13</x:f>
        <x:v>1</x:v>
      </x:c>
      <x:c r="I25" s="151" t="n">
        <x:f>'20_已知差异桥'!$N$22</x:f>
        <x:v>-4554</x:v>
      </x:c>
      <x:c r="J25" s="170" t="n">
        <x:f>'20_已知差异桥'!$Q$22</x:f>
        <x:v>7739.84</x:v>
      </x:c>
      <x:c r="K25" s="150" t="str">
        <x:v>车身结构/材料、显示架构、座椅系统；已调空悬与后排屏</x:v>
      </x:c>
      <x:c r="L25" s="150" t="str">
        <x:v>中间层下界交叉验证</x:v>
      </x:c>
    </x:row>
    <x:row r="26" ht="54" customHeight="1">
      <x:c r="A26" s="19" t="str">
        <x:v>P23A-CHASSIS96</x:v>
      </x:c>
      <x:c r="B26" s="19" t="str">
        <x:v>96kWh底盘铰链</x:v>
      </x:c>
      <x:c r="C26" s="19" t="str">
        <x:v>B_DRIVE_ADJ</x:v>
      </x:c>
      <x:c r="D26" s="19" t="str">
        <x:f>$B$14</x:f>
        <x:v>SU7-G2-PRO</x:v>
      </x:c>
      <x:c r="E26" s="19" t="str">
        <x:f>$C$14</x:f>
        <x:v>YU7-G1-PRO</x:v>
      </x:c>
      <x:c r="F26" s="21" t="n">
        <x:f>$L$14</x:f>
        <x:v>30000</x:v>
      </x:c>
      <x:c r="G26" s="21" t="n">
        <x:f>$M$14</x:f>
        <x:v>26548.672566371708</x:v>
      </x:c>
      <x:c r="H26" s="19" t="n">
        <x:f>$I$14</x:f>
        <x:v>1</x:v>
      </x:c>
      <x:c r="I26" s="21" t="n">
        <x:f>'20_已知差异桥'!$N$23</x:f>
        <x:v>6313.5</x:v>
      </x:c>
      <x:c r="J26" s="170" t="n">
        <x:f>'20_已知差异桥'!$Q$23</x:f>
        <x:v>20235.17</x:v>
      </x:c>
      <x:c r="K26" s="19" t="str">
        <x:v>车身结构/材料、显示架构、座椅系统；已调前驱与后排屏</x:v>
      </x:c>
      <x:c r="L26" s="19" t="str">
        <x:v>中间层上界交叉验证</x:v>
      </x:c>
    </x:row>
    <x:row r="27" ht="54" customHeight="1">
      <x:c r="A27" s="150" t="str">
        <x:v>P23A-MAX</x:v>
      </x:c>
      <x:c r="B27" s="150" t="str">
        <x:v>Max强锚</x:v>
      </x:c>
      <x:c r="C27" s="150" t="str">
        <x:v>A_STRICT</x:v>
      </x:c>
      <x:c r="D27" s="150" t="str">
        <x:f>$B$19</x:f>
        <x:v>SU7-G2-MAX</x:v>
      </x:c>
      <x:c r="E27" s="150" t="str">
        <x:f>$C$19</x:f>
        <x:v>YU7-G1-MAX</x:v>
      </x:c>
      <x:c r="F27" s="151" t="n">
        <x:f>$L$19</x:f>
        <x:v>26000</x:v>
      </x:c>
      <x:c r="G27" s="151" t="n">
        <x:f>$M$19</x:f>
        <x:v>23008.849557522102</x:v>
      </x:c>
      <x:c r="H27" s="150" t="n">
        <x:f>$I$19</x:f>
        <x:v>0</x:v>
      </x:c>
      <x:c r="I27" s="151" t="n">
        <x:f>'20_已知差异桥'!$N$24</x:f>
        <x:v>-414</x:v>
      </x:c>
      <x:c r="J27" s="170" t="n">
        <x:f>'20_已知差异桥'!$Q$24</x:f>
        <x:v>23422.85</x:v>
      </x:c>
      <x:c r="K27" s="150" t="str">
        <x:v>车身结构/材料、天际屏相对SU7基础显示、碳纤维外饰与安全气囊等未估项</x:v>
      </x:c>
      <x:c r="L27" s="150" t="str">
        <x:v>高配车身与定位溢价上端锚</x:v>
      </x:c>
    </x:row>
    <x:row r="30">
      <x:c r="A30" s="173" t="str">
        <x:v>匹配规则：电池键＝容量+化学体系；电驱键＝驱动形式+系统功率；高压快充键＝精确电压+10—80%时间；底盘键＝CDC+空气悬架。执行层复核键不参与核心差异计数，只用于发现高配装备偏差。</x:v>
      </x:c>
      <x:c r="B30" s="173"/>
      <x:c r="C30" s="173"/>
      <x:c r="D30" s="173"/>
      <x:c r="E30" s="173"/>
      <x:c r="F30" s="173"/>
      <x:c r="G30" s="173"/>
      <x:c r="H30" s="173"/>
      <x:c r="I30" s="173"/>
      <x:c r="J30" s="173"/>
      <x:c r="K30" s="173"/>
      <x:c r="L30" s="173"/>
      <x:c r="M30" s="173"/>
      <x:c r="N30" s="173"/>
    </x:row>
    <x:row r="31">
      <x:c r="A31" s="173"/>
      <x:c r="B31" s="173"/>
      <x:c r="C31" s="173"/>
      <x:c r="D31" s="173"/>
      <x:c r="E31" s="173"/>
      <x:c r="F31" s="173"/>
      <x:c r="G31" s="173"/>
      <x:c r="H31" s="173"/>
      <x:c r="I31" s="173"/>
      <x:c r="J31" s="173"/>
      <x:c r="K31" s="173"/>
      <x:c r="L31" s="173"/>
      <x:c r="M31" s="173"/>
      <x:c r="N31" s="173"/>
    </x:row>
  </x:sheetData>
  <x:mergeCells>
    <x:mergeCell ref="A1:N1"/>
    <x:mergeCell ref="A2:N2"/>
    <x:mergeCell ref="A3:N3"/>
    <x:mergeCell ref="A5:N5"/>
    <x:mergeCell ref="A30:N30"/>
    <x:mergeCell ref="A31:N31"/>
  </x:mergeCells>
  <x:conditionalFormatting sqref="J8:K19">
    <x:cfRule type="containsText" dxfId="88" priority="1" operator="containsText" text="PASS"/>
    <x:cfRule type="containsText" dxfId="89" priority="2" operator="containsText" text="READY"/>
    <x:cfRule type="containsText" dxfId="90" priority="3" operator="containsText" text="SELECT"/>
    <x:cfRule type="containsText" dxfId="91" priority="4" operator="containsText" text="A_STRICT"/>
    <x:cfRule type="containsText" dxfId="92" priority="5" operator="containsText" text="B_"/>
    <x:cfRule type="containsText" dxfId="93" priority="6" operator="containsText" text="EXCLUDE"/>
    <x:cfRule type="containsText" dxfId="94" priority="7" operator="containsText" text="FAIL"/>
    <x:cfRule type="containsText" dxfId="95" priority="8" operator="containsText" text="REVIEW"/>
  </x:conditionalFormatting>
  <x:conditionalFormatting sqref="D8:H19">
    <x:cfRule type="containsText" dxfId="96" priority="9" operator="containsText" text="YES"/>
    <x:cfRule type="containsText" dxfId="97" priority="10" operator="containsText" text="NO"/>
  </x:conditionalFormatting>
  <x:conditionalFormatting sqref="C24:C27">
    <x:cfRule type="containsText" dxfId="98" priority="11" operator="containsText" text="PASS"/>
    <x:cfRule type="containsText" dxfId="99" priority="12" operator="containsText" text="READY"/>
    <x:cfRule type="containsText" dxfId="100" priority="13" operator="containsText" text="SELECT"/>
    <x:cfRule type="containsText" dxfId="101" priority="14" operator="containsText" text="A_STRICT"/>
    <x:cfRule type="containsText" dxfId="102" priority="15" operator="containsText" text="B_"/>
    <x:cfRule type="containsText" dxfId="103" priority="16" operator="containsText" text="EXCLUDE"/>
    <x:cfRule type="containsText" dxfId="104" priority="17" operator="containsText" text="FAIL"/>
    <x:cfRule type="containsText" dxfId="105" priority="18" operator="containsText" text="REVIEW"/>
  </x:conditionalFormatting>
  <x:pageMargins left="0.7" right="0.7" top="0.75" bottom="0.75" header="0.3" footer="0.3"/>
</x:worksheet>
</file>

<file path=xl/worksheets/sheet2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4" hidden="0" customWidth="1"/>
    <x:col min="3" max="3" width="23" hidden="0" customWidth="1"/>
    <x:col min="4" max="4" width="16" hidden="0" customWidth="1"/>
    <x:col min="5" max="5" width="3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48" hidden="0" customWidth="1"/>
    <x:col min="15" max="15" width="17" hidden="0" customWidth="1"/>
    <x:col min="16" max="16" width="17" hidden="0" customWidth="1"/>
    <x:col min="17" max="17" width="17" hidden="0" customWidth="1"/>
    <x:col min="18" max="18" width="17" hidden="0" customWidth="1"/>
    <x:col min="19" max="19" width="16" hidden="0" customWidth="1"/>
    <x:col min="20" max="20" width="16" hidden="0" customWidth="1"/>
    <x:col min="21" max="21" width="52" hidden="0" customWidth="1"/>
  </x:cols>
  <x:sheetData>
    <x:row r="1" ht="30" customHeight="1">
      <x:c r="A1" s="137" t="str">
        <x:v>20｜Phase 2.3A 已知硬件差异桥</x:v>
      </x:c>
      <x:c r="B1" s="137"/>
      <x:c r="C1" s="137"/>
      <x:c r="D1" s="137"/>
      <x:c r="E1" s="137"/>
      <x:c r="F1" s="137"/>
      <x:c r="G1" s="137"/>
      <x:c r="H1" s="137"/>
      <x:c r="I1" s="137"/>
      <x:c r="J1" s="137"/>
      <x:c r="K1" s="137"/>
      <x:c r="L1" s="137"/>
      <x:c r="M1" s="137"/>
      <x:c r="N1" s="137"/>
      <x:c r="O1" s="137"/>
      <x:c r="P1" s="137"/>
      <x:c r="Q1" s="137"/>
      <x:c r="R1" s="137"/>
      <x:c r="S1" s="137"/>
      <x:c r="T1" s="137"/>
      <x:c r="U1" s="137"/>
    </x:row>
    <x:row r="2" ht="22" customHeight="1">
      <x:c r="A2" s="140" t="str">
        <x:v>方向统一为YU7 − SU7｜沿用Phase 2.1成本假设｜只调整已有原子成本库能够明确识别的base差异</x:v>
      </x:c>
      <x:c r="B2" s="140"/>
      <x:c r="C2" s="140"/>
      <x:c r="D2" s="140"/>
      <x:c r="E2" s="140"/>
      <x:c r="F2" s="140"/>
      <x:c r="G2" s="140"/>
      <x:c r="H2" s="140"/>
      <x:c r="I2" s="140"/>
      <x:c r="J2" s="140"/>
      <x:c r="K2" s="140"/>
      <x:c r="L2" s="140"/>
      <x:c r="M2" s="140"/>
      <x:c r="N2" s="140"/>
      <x:c r="O2" s="140"/>
      <x:c r="P2" s="140"/>
      <x:c r="Q2" s="140"/>
      <x:c r="R2" s="140"/>
      <x:c r="S2" s="140"/>
      <x:c r="T2" s="140"/>
      <x:c r="U2" s="140"/>
    </x:row>
    <x:row r="3" ht="42" customHeight="1">
      <x:c r="A3" s="144" t="str">
        <x:v>正数表示YU7已知成本更高，负数表示SU7已知成本更高。未分配价差仍混合车身BOM、空间价值、显示/座椅等未估项与其他定价因素，不是利润。</x:v>
      </x:c>
      <x:c r="B3" s="144"/>
      <x:c r="C3" s="144"/>
      <x:c r="D3" s="144"/>
      <x:c r="E3" s="144"/>
      <x:c r="F3" s="144"/>
      <x:c r="G3" s="144"/>
      <x:c r="H3" s="144"/>
      <x:c r="I3" s="144"/>
      <x:c r="J3" s="144"/>
      <x:c r="K3" s="144"/>
      <x:c r="L3" s="144"/>
      <x:c r="M3" s="144"/>
      <x:c r="N3" s="144"/>
      <x:c r="O3" s="144"/>
      <x:c r="P3" s="144"/>
      <x:c r="Q3" s="144"/>
      <x:c r="R3" s="144"/>
      <x:c r="S3" s="144"/>
      <x:c r="T3" s="144"/>
      <x:c r="U3" s="144"/>
    </x:row>
    <x:row r="5" ht="42" customHeight="1">
      <x:c r="A5" s="167" t="str">
        <x:v>严格强锚并不代表整车BOM完全相同，只表示电池、电驱、高压快充和底盘四个核心分组相同。跨车身的钢铝、玻璃、内饰、空间与制造差异尚未估值。</x:v>
      </x:c>
      <x:c r="B5" s="167"/>
      <x:c r="C5" s="167"/>
      <x:c r="D5" s="167"/>
      <x:c r="E5" s="167"/>
      <x:c r="F5" s="167"/>
      <x:c r="G5" s="167"/>
      <x:c r="H5" s="167"/>
      <x:c r="I5" s="167"/>
      <x:c r="J5" s="167"/>
      <x:c r="K5" s="167"/>
      <x:c r="L5" s="167"/>
      <x:c r="M5" s="167"/>
      <x:c r="N5" s="167"/>
      <x:c r="O5" s="167"/>
      <x:c r="P5" s="167"/>
      <x:c r="Q5" s="167"/>
      <x:c r="R5" s="167"/>
      <x:c r="S5" s="167"/>
      <x:c r="T5" s="167"/>
      <x:c r="U5" s="167"/>
    </x:row>
    <x:row r="6" ht="42" customHeight="1">
      <x:c r="A6" s="149" t="str">
        <x:v>pair_id</x:v>
      </x:c>
      <x:c r="B6" s="149" t="str">
        <x:v>方向</x:v>
      </x:c>
      <x:c r="C6" s="149" t="str">
        <x:v>assumption_id</x:v>
      </x:c>
      <x:c r="D6" s="149" t="str">
        <x:v>模块</x:v>
      </x:c>
      <x:c r="E6" s="149" t="str">
        <x:v>差异项</x:v>
      </x:c>
      <x:c r="F6" s="149" t="str">
        <x:v>数量_Y−S</x:v>
      </x:c>
      <x:c r="G6" s="149" t="str">
        <x:v>单价_低</x:v>
      </x:c>
      <x:c r="H6" s="149" t="str">
        <x:v>单价_中</x:v>
      </x:c>
      <x:c r="I6" s="149" t="str">
        <x:v>单价_高</x:v>
      </x:c>
      <x:c r="J6" s="149" t="str">
        <x:v>差异_低</x:v>
      </x:c>
      <x:c r="K6" s="149" t="str">
        <x:v>差异_中</x:v>
      </x:c>
      <x:c r="L6" s="149" t="str">
        <x:v>差异_高</x:v>
      </x:c>
      <x:c r="M6" s="149" t="str">
        <x:v>回链状态</x:v>
      </x:c>
      <x:c r="N6" s="149" t="str">
        <x:v>说明</x:v>
      </x:c>
    </x:row>
    <x:row r="7" ht="42" customHeight="1">
      <x:c r="A7" s="19" t="str">
        <x:v>P23A-RWD96</x:v>
      </x:c>
      <x:c r="B7" s="19" t="str">
        <x:v>YU7−SU7</x:v>
      </x:c>
      <x:c r="C7" s="19" t="str">
        <x:v>INC_AIR_EXCL_CDC</x:v>
      </x:c>
      <x:c r="D7" s="19" t="str">
        <x:v>M04_CHASSIS</x:v>
      </x:c>
      <x:c r="E7" s="19" t="str">
        <x:v>双腔空气硬件（YU7长续航缺少）</x:v>
      </x:c>
      <x:c r="F7" s="174" t="n">
        <x:v>-1</x:v>
      </x:c>
      <x:c r="G7" s="21" t="n">
        <x:f>SUMIFS('01_原子成本假设'!$E$7:$E$49,'01_原子成本假设'!$A$7:$A$49,$C7)</x:f>
        <x:v>3800</x:v>
      </x:c>
      <x:c r="H7" s="21" t="n">
        <x:f>SUMIFS('01_原子成本假设'!$F$7:$F$49,'01_原子成本假设'!$A$7:$A$49,$C7)</x:f>
        <x:v>5000</x:v>
      </x:c>
      <x:c r="I7" s="21" t="n">
        <x:f>SUMIFS('01_原子成本假设'!$G$7:$G$49,'01_原子成本假设'!$A$7:$A$49,$C7)</x:f>
        <x:v>6300</x:v>
      </x:c>
      <x:c r="J7" s="176" t="n">
        <x:f>F7*G7</x:f>
        <x:v>-3800</x:v>
      </x:c>
      <x:c r="K7" s="176" t="n">
        <x:f>F7*H7</x:f>
        <x:v>-5000</x:v>
      </x:c>
      <x:c r="L7" s="176" t="n">
        <x:f>F7*I7</x:f>
        <x:v>-6300</x:v>
      </x:c>
      <x:c r="M7" s="19" t="str">
        <x:f>IF(COUNTIF('01_原子成本假设'!$A$7:$A$49,C7)=1,"PASS","REVIEW")</x:f>
        <x:v>PASS</x:v>
      </x:c>
      <x:c r="N7" s="19" t="str">
        <x:v>SU7 Pro标配、YU7长续航版无；CDC两车均有。</x:v>
      </x:c>
    </x:row>
    <x:row r="8" ht="42" customHeight="1">
      <x:c r="A8" s="150" t="str">
        <x:v>P23A-RWD96</x:v>
      </x:c>
      <x:c r="B8" s="150" t="str">
        <x:v>YU7−SU7</x:v>
      </x:c>
      <x:c r="C8" s="150" t="str">
        <x:v>INC_REAR_DISPLAY</x:v>
      </x:c>
      <x:c r="D8" s="150" t="str">
        <x:v>M06_COCKPIT</x:v>
      </x:c>
      <x:c r="E8" s="150" t="str">
        <x:v>后排移动控制屏（YU7长续航标配）</x:v>
      </x:c>
      <x:c r="F8" s="175" t="n">
        <x:v>1</x:v>
      </x:c>
      <x:c r="G8" s="151" t="n">
        <x:f>SUMIFS('01_原子成本假设'!$E$7:$E$49,'01_原子成本假设'!$A$7:$A$49,$C8)</x:f>
        <x:v>400</x:v>
      </x:c>
      <x:c r="H8" s="151" t="n">
        <x:f>SUMIFS('01_原子成本假设'!$F$7:$F$49,'01_原子成本假设'!$A$7:$A$49,$C8)</x:f>
        <x:v>600</x:v>
      </x:c>
      <x:c r="I8" s="151" t="n">
        <x:f>SUMIFS('01_原子成本假设'!$G$7:$G$49,'01_原子成本假设'!$A$7:$A$49,$C8)</x:f>
        <x:v>850</x:v>
      </x:c>
      <x:c r="J8" s="176" t="n">
        <x:f>F8*G8</x:f>
        <x:v>400</x:v>
      </x:c>
      <x:c r="K8" s="176" t="n">
        <x:f>F8*H8</x:f>
        <x:v>600</x:v>
      </x:c>
      <x:c r="L8" s="176" t="n">
        <x:f>F8*I8</x:f>
        <x:v>850</x:v>
      </x:c>
      <x:c r="M8" s="150" t="str">
        <x:f>IF(COUNTIF('01_原子成本假设'!$A$7:$A$49,C8)=1,"PASS","REVIEW")</x:f>
        <x:v>PASS</x:v>
      </x:c>
      <x:c r="N8" s="150" t="str">
        <x:v>YU7长续航版进入base，SU7 Pro为选装。</x:v>
      </x:c>
    </x:row>
    <x:row r="9" ht="42" customHeight="1">
      <x:c r="A9" s="19" t="str">
        <x:v>P23A-CHASSIS96</x:v>
      </x:c>
      <x:c r="B9" s="19" t="str">
        <x:v>YU7−SU7</x:v>
      </x:c>
      <x:c r="C9" s="19" t="str">
        <x:v>INC_EDRIVE_235_365</x:v>
      </x:c>
      <x:c r="D9" s="19" t="str">
        <x:v>M02_EDRIVE</x:v>
      </x:c>
      <x:c r="E9" s="19" t="str">
        <x:v>235后驱→365双驱</x:v>
      </x:c>
      <x:c r="F9" s="174" t="n">
        <x:v>1</x:v>
      </x:c>
      <x:c r="G9" s="21" t="n">
        <x:f>SUMIFS('01_原子成本假设'!$E$7:$E$49,'01_原子成本假设'!$A$7:$A$49,$C9)</x:f>
        <x:v>4000</x:v>
      </x:c>
      <x:c r="H9" s="21" t="n">
        <x:f>SUMIFS('01_原子成本假设'!$F$7:$F$49,'01_原子成本假设'!$A$7:$A$49,$C9)</x:f>
        <x:v>5500</x:v>
      </x:c>
      <x:c r="I9" s="21" t="n">
        <x:f>SUMIFS('01_原子成本假设'!$G$7:$G$49,'01_原子成本假设'!$A$7:$A$49,$C9)</x:f>
        <x:v>7500</x:v>
      </x:c>
      <x:c r="J9" s="176" t="n">
        <x:f>F9*G9</x:f>
        <x:v>4000</x:v>
      </x:c>
      <x:c r="K9" s="176" t="n">
        <x:f>F9*H9</x:f>
        <x:v>5500</x:v>
      </x:c>
      <x:c r="L9" s="176" t="n">
        <x:f>F9*I9</x:f>
        <x:v>7500</x:v>
      </x:c>
      <x:c r="M9" s="19" t="str">
        <x:f>IF(COUNTIF('01_原子成本假设'!$A$7:$A$49,C9)=1,"PASS","REVIEW")</x:f>
        <x:v>PASS</x:v>
      </x:c>
      <x:c r="N9" s="19" t="str">
        <x:v>YU7 Pro新增130kW前驱，SU7 Pro仍为235kW后驱。</x:v>
      </x:c>
    </x:row>
    <x:row r="10" ht="42" customHeight="1">
      <x:c r="A10" s="150" t="str">
        <x:v>P23A-CHASSIS96</x:v>
      </x:c>
      <x:c r="B10" s="150" t="str">
        <x:v>YU7−SU7</x:v>
      </x:c>
      <x:c r="C10" s="150" t="str">
        <x:v>INC_REAR_DISPLAY</x:v>
      </x:c>
      <x:c r="D10" s="150" t="str">
        <x:v>M06_COCKPIT</x:v>
      </x:c>
      <x:c r="E10" s="150" t="str">
        <x:v>后排移动控制屏（YU7 Pro标配）</x:v>
      </x:c>
      <x:c r="F10" s="175" t="n">
        <x:v>1</x:v>
      </x:c>
      <x:c r="G10" s="151" t="n">
        <x:f>SUMIFS('01_原子成本假设'!$E$7:$E$49,'01_原子成本假设'!$A$7:$A$49,$C10)</x:f>
        <x:v>400</x:v>
      </x:c>
      <x:c r="H10" s="151" t="n">
        <x:f>SUMIFS('01_原子成本假设'!$F$7:$F$49,'01_原子成本假设'!$A$7:$A$49,$C10)</x:f>
        <x:v>600</x:v>
      </x:c>
      <x:c r="I10" s="151" t="n">
        <x:f>SUMIFS('01_原子成本假设'!$G$7:$G$49,'01_原子成本假设'!$A$7:$A$49,$C10)</x:f>
        <x:v>850</x:v>
      </x:c>
      <x:c r="J10" s="176" t="n">
        <x:f>F10*G10</x:f>
        <x:v>400</x:v>
      </x:c>
      <x:c r="K10" s="176" t="n">
        <x:f>F10*H10</x:f>
        <x:v>600</x:v>
      </x:c>
      <x:c r="L10" s="176" t="n">
        <x:f>F10*I10</x:f>
        <x:v>850</x:v>
      </x:c>
      <x:c r="M10" s="150" t="str">
        <x:f>IF(COUNTIF('01_原子成本假设'!$A$7:$A$49,C10)=1,"PASS","REVIEW")</x:f>
        <x:v>PASS</x:v>
      </x:c>
      <x:c r="N10" s="150" t="str">
        <x:v>YU7 Pro进入base，SU7 Pro为选装。</x:v>
      </x:c>
    </x:row>
    <x:row r="11" ht="42" customHeight="1">
      <x:c r="A11" s="19" t="str">
        <x:v>P23A-MAX</x:v>
      </x:c>
      <x:c r="B11" s="19" t="str">
        <x:v>YU7−SU7</x:v>
      </x:c>
      <x:c r="C11" s="19" t="str">
        <x:v>INC_REAR_DRILLED_DISC</x:v>
      </x:c>
      <x:c r="D11" s="19" t="str">
        <x:v>M04_CHASSIS</x:v>
      </x:c>
      <x:c r="E11" s="19" t="str">
        <x:v>后打孔通风盘</x:v>
      </x:c>
      <x:c r="F11" s="174" t="n">
        <x:v>1</x:v>
      </x:c>
      <x:c r="G11" s="21" t="n">
        <x:f>SUMIFS('01_原子成本假设'!$E$7:$E$49,'01_原子成本假设'!$A$7:$A$49,$C11)</x:f>
        <x:v>100</x:v>
      </x:c>
      <x:c r="H11" s="21" t="n">
        <x:f>SUMIFS('01_原子成本假设'!$F$7:$F$49,'01_原子成本假设'!$A$7:$A$49,$C11)</x:f>
        <x:v>200</x:v>
      </x:c>
      <x:c r="I11" s="21" t="n">
        <x:f>SUMIFS('01_原子成本假设'!$G$7:$G$49,'01_原子成本假设'!$A$7:$A$49,$C11)</x:f>
        <x:v>360</x:v>
      </x:c>
      <x:c r="J11" s="176" t="n">
        <x:f>F11*G11</x:f>
        <x:v>100</x:v>
      </x:c>
      <x:c r="K11" s="176" t="n">
        <x:f>F11*H11</x:f>
        <x:v>200</x:v>
      </x:c>
      <x:c r="L11" s="176" t="n">
        <x:f>F11*I11</x:f>
        <x:v>360</x:v>
      </x:c>
      <x:c r="M11" s="19" t="str">
        <x:f>IF(COUNTIF('01_原子成本假设'!$A$7:$A$49,C11)=1,"PASS","REVIEW")</x:f>
        <x:v>PASS</x:v>
      </x:c>
      <x:c r="N11" s="19" t="str">
        <x:v>YU7 Max明确标配，SU7 Max后盘不变。</x:v>
      </x:c>
    </x:row>
    <x:row r="12" ht="42" customHeight="1">
      <x:c r="A12" s="150" t="str">
        <x:v>P23A-MAX</x:v>
      </x:c>
      <x:c r="B12" s="150" t="str">
        <x:v>YU7−SU7</x:v>
      </x:c>
      <x:c r="C12" s="150" t="str">
        <x:v>INC_QUIET_CABIN</x:v>
      </x:c>
      <x:c r="D12" s="150" t="str">
        <x:v>M07_BODY</x:v>
      </x:c>
      <x:c r="E12" s="150" t="str">
        <x:v>超静谧座舱原子包</x:v>
      </x:c>
      <x:c r="F12" s="175" t="n">
        <x:v>1</x:v>
      </x:c>
      <x:c r="G12" s="151" t="n">
        <x:f>SUMIFS('01_原子成本假设'!$E$7:$E$49,'01_原子成本假设'!$A$7:$A$49,$C12)</x:f>
        <x:v>550</x:v>
      </x:c>
      <x:c r="H12" s="151" t="n">
        <x:f>SUMIFS('01_原子成本假设'!$F$7:$F$49,'01_原子成本假设'!$A$7:$A$49,$C12)</x:f>
        <x:v>1050</x:v>
      </x:c>
      <x:c r="I12" s="151" t="n">
        <x:f>SUMIFS('01_原子成本假设'!$G$7:$G$49,'01_原子成本假设'!$A$7:$A$49,$C12)</x:f>
        <x:v>1800</x:v>
      </x:c>
      <x:c r="J12" s="176" t="n">
        <x:f>F12*G12</x:f>
        <x:v>550</x:v>
      </x:c>
      <x:c r="K12" s="176" t="n">
        <x:f>F12*H12</x:f>
        <x:v>1050</x:v>
      </x:c>
      <x:c r="L12" s="176" t="n">
        <x:f>F12*I12</x:f>
        <x:v>1800</x:v>
      </x:c>
      <x:c r="M12" s="150" t="str">
        <x:f>IF(COUNTIF('01_原子成本假设'!$A$7:$A$49,C12)=1,"PASS","REVIEW")</x:f>
        <x:v>PASS</x:v>
      </x:c>
      <x:c r="N12" s="150" t="str">
        <x:v>YU7 Max标配，SU7 Max仅可选。</x:v>
      </x:c>
    </x:row>
    <x:row r="13" ht="42" customHeight="1">
      <x:c r="A13" s="19" t="str">
        <x:v>P23A-MAX</x:v>
      </x:c>
      <x:c r="B13" s="19" t="str">
        <x:v>YU7−SU7</x:v>
      </x:c>
      <x:c r="C13" s="19" t="str">
        <x:v>INC_REAR_DISPLAY</x:v>
      </x:c>
      <x:c r="D13" s="19" t="str">
        <x:v>M06_COCKPIT</x:v>
      </x:c>
      <x:c r="E13" s="19" t="str">
        <x:v>后排移动控制屏</x:v>
      </x:c>
      <x:c r="F13" s="174" t="n">
        <x:v>1</x:v>
      </x:c>
      <x:c r="G13" s="21" t="n">
        <x:f>SUMIFS('01_原子成本假设'!$E$7:$E$49,'01_原子成本假设'!$A$7:$A$49,$C13)</x:f>
        <x:v>400</x:v>
      </x:c>
      <x:c r="H13" s="21" t="n">
        <x:f>SUMIFS('01_原子成本假设'!$F$7:$F$49,'01_原子成本假设'!$A$7:$A$49,$C13)</x:f>
        <x:v>600</x:v>
      </x:c>
      <x:c r="I13" s="21" t="n">
        <x:f>SUMIFS('01_原子成本假设'!$G$7:$G$49,'01_原子成本假设'!$A$7:$A$49,$C13)</x:f>
        <x:v>850</x:v>
      </x:c>
      <x:c r="J13" s="176" t="n">
        <x:f>F13*G13</x:f>
        <x:v>400</x:v>
      </x:c>
      <x:c r="K13" s="176" t="n">
        <x:f>F13*H13</x:f>
        <x:v>600</x:v>
      </x:c>
      <x:c r="L13" s="176" t="n">
        <x:f>F13*I13</x:f>
        <x:v>850</x:v>
      </x:c>
      <x:c r="M13" s="19" t="str">
        <x:f>IF(COUNTIF('01_原子成本假设'!$A$7:$A$49,C13)=1,"PASS","REVIEW")</x:f>
        <x:v>PASS</x:v>
      </x:c>
      <x:c r="N13" s="19" t="str">
        <x:v>YU7 Max标配，SU7 Max为选装。</x:v>
      </x:c>
    </x:row>
    <x:row r="14" ht="42" customHeight="1">
      <x:c r="A14" s="150" t="str">
        <x:v>P23A-MAX</x:v>
      </x:c>
      <x:c r="B14" s="150" t="str">
        <x:v>YU7−SU7</x:v>
      </x:c>
      <x:c r="C14" s="150" t="str">
        <x:v>INC_SU7_HUD</x:v>
      </x:c>
      <x:c r="D14" s="150" t="str">
        <x:v>M06_COCKPIT</x:v>
      </x:c>
      <x:c r="E14" s="150" t="str">
        <x:v>SU7 56英寸WHUD</x:v>
      </x:c>
      <x:c r="F14" s="175" t="n">
        <x:v>-1</x:v>
      </x:c>
      <x:c r="G14" s="151" t="n">
        <x:f>SUMIFS('01_原子成本假设'!$E$7:$E$49,'01_原子成本假设'!$A$7:$A$49,$C14)</x:f>
        <x:v>550</x:v>
      </x:c>
      <x:c r="H14" s="151" t="n">
        <x:f>SUMIFS('01_原子成本假设'!$F$7:$F$49,'01_原子成本假设'!$A$7:$A$49,$C14)</x:f>
        <x:v>700</x:v>
      </x:c>
      <x:c r="I14" s="151" t="n">
        <x:f>SUMIFS('01_原子成本假设'!$G$7:$G$49,'01_原子成本假设'!$A$7:$A$49,$C14)</x:f>
        <x:v>950</x:v>
      </x:c>
      <x:c r="J14" s="176" t="n">
        <x:f>F14*G14</x:f>
        <x:v>-550</x:v>
      </x:c>
      <x:c r="K14" s="176" t="n">
        <x:f>F14*H14</x:f>
        <x:v>-700</x:v>
      </x:c>
      <x:c r="L14" s="176" t="n">
        <x:f>F14*I14</x:f>
        <x:v>-950</x:v>
      </x:c>
      <x:c r="M14" s="150" t="str">
        <x:f>IF(COUNTIF('01_原子成本假设'!$A$7:$A$49,C14)=1,"PASS","REVIEW")</x:f>
        <x:v>PASS</x:v>
      </x:c>
      <x:c r="N14" s="150" t="str">
        <x:v>SU7 Max标配；YU7天际屏相对SU7基础显示的净成本仍单列未估。</x:v>
      </x:c>
    </x:row>
    <x:row r="15" ht="42" customHeight="1">
      <x:c r="A15" s="19" t="str">
        <x:v>P23A-MAX</x:v>
      </x:c>
      <x:c r="B15" s="19" t="str">
        <x:v>YU7−SU7</x:v>
      </x:c>
      <x:c r="C15" s="19" t="str">
        <x:v>INC_ACTIVE_WING</x:v>
      </x:c>
      <x:c r="D15" s="19" t="str">
        <x:v>M07_BODY</x:v>
      </x:c>
      <x:c r="E15" s="19" t="str">
        <x:v>SU7主动尾翼总成</x:v>
      </x:c>
      <x:c r="F15" s="174" t="n">
        <x:v>-1</x:v>
      </x:c>
      <x:c r="G15" s="21" t="n">
        <x:f>SUMIFS('01_原子成本假设'!$E$7:$E$49,'01_原子成本假设'!$A$7:$A$49,$C15)</x:f>
        <x:v>350</x:v>
      </x:c>
      <x:c r="H15" s="21" t="n">
        <x:f>SUMIFS('01_原子成本假设'!$F$7:$F$49,'01_原子成本假设'!$A$7:$A$49,$C15)</x:f>
        <x:v>600</x:v>
      </x:c>
      <x:c r="I15" s="21" t="n">
        <x:f>SUMIFS('01_原子成本假设'!$G$7:$G$49,'01_原子成本假设'!$A$7:$A$49,$C15)</x:f>
        <x:v>950</x:v>
      </x:c>
      <x:c r="J15" s="176" t="n">
        <x:f>F15*G15</x:f>
        <x:v>-350</x:v>
      </x:c>
      <x:c r="K15" s="176" t="n">
        <x:f>F15*H15</x:f>
        <x:v>-600</x:v>
      </x:c>
      <x:c r="L15" s="176" t="n">
        <x:f>F15*I15</x:f>
        <x:v>-950</x:v>
      </x:c>
      <x:c r="M15" s="19" t="str">
        <x:f>IF(COUNTIF('01_原子成本假设'!$A$7:$A$49,C15)=1,"PASS","REVIEW")</x:f>
        <x:v>PASS</x:v>
      </x:c>
      <x:c r="N15" s="19" t="str">
        <x:v>SU7 Max标配，YU7不适用。</x:v>
      </x:c>
    </x:row>
    <x:row r="16" ht="42" customHeight="1">
      <x:c r="A16" s="150" t="str">
        <x:v>P23A-MAX</x:v>
      </x:c>
      <x:c r="B16" s="150" t="str">
        <x:v>YU7−SU7</x:v>
      </x:c>
      <x:c r="C16" s="150" t="str">
        <x:v>INC_NAPPA_TRIM</x:v>
      </x:c>
      <x:c r="D16" s="150" t="str">
        <x:v>M08_COMFORT</x:v>
      </x:c>
      <x:c r="E16" s="150" t="str">
        <x:v>Nappa相对环保复合面料</x:v>
      </x:c>
      <x:c r="F16" s="175" t="n">
        <x:v>-1</x:v>
      </x:c>
      <x:c r="G16" s="151" t="n">
        <x:f>SUMIFS('01_原子成本假设'!$E$7:$E$49,'01_原子成本假设'!$A$7:$A$49,$C16)</x:f>
        <x:v>600</x:v>
      </x:c>
      <x:c r="H16" s="151" t="n">
        <x:f>SUMIFS('01_原子成本假设'!$F$7:$F$49,'01_原子成本假设'!$A$7:$A$49,$C16)</x:f>
        <x:v>950</x:v>
      </x:c>
      <x:c r="I16" s="151" t="n">
        <x:f>SUMIFS('01_原子成本假设'!$G$7:$G$49,'01_原子成本假设'!$A$7:$A$49,$C16)</x:f>
        <x:v>1400</x:v>
      </x:c>
      <x:c r="J16" s="176" t="n">
        <x:f>F16*G16</x:f>
        <x:v>-600</x:v>
      </x:c>
      <x:c r="K16" s="176" t="n">
        <x:f>F16*H16</x:f>
        <x:v>-950</x:v>
      </x:c>
      <x:c r="L16" s="176" t="n">
        <x:f>F16*I16</x:f>
        <x:v>-1400</x:v>
      </x:c>
      <x:c r="M16" s="150" t="str">
        <x:f>IF(COUNTIF('01_原子成本假设'!$A$7:$A$49,C16)=1,"PASS","REVIEW")</x:f>
        <x:v>PASS</x:v>
      </x:c>
      <x:c r="N16" s="150" t="str">
        <x:v>SU7 Max为Nappa base；YU7 Max base仍为环保复合面料。</x:v>
      </x:c>
    </x:row>
    <x:row r="20" ht="50" customHeight="1">
      <x:c r="A20" s="149" t="str">
        <x:v>pair_id</x:v>
      </x:c>
      <x:c r="B20" s="149" t="str">
        <x:v>角色</x:v>
      </x:c>
      <x:c r="C20" s="149" t="str">
        <x:v>未税价差</x:v>
      </x:c>
      <x:c r="D20" s="149" t="str">
        <x:v>物理差_低</x:v>
      </x:c>
      <x:c r="E20" s="149" t="str">
        <x:v>物理差_中</x:v>
      </x:c>
      <x:c r="F20" s="149" t="str">
        <x:v>物理差_高</x:v>
      </x:c>
      <x:c r="G20" s="149" t="str">
        <x:v>M09_低</x:v>
      </x:c>
      <x:c r="H20" s="149" t="str">
        <x:v>M09_中</x:v>
      </x:c>
      <x:c r="I20" s="149" t="str">
        <x:v>M09_高</x:v>
      </x:c>
      <x:c r="J20" s="149" t="str">
        <x:v>M10_低</x:v>
      </x:c>
      <x:c r="K20" s="149" t="str">
        <x:v>M10_中</x:v>
      </x:c>
      <x:c r="L20" s="149" t="str">
        <x:v>M10_高</x:v>
      </x:c>
      <x:c r="M20" s="149" t="str">
        <x:v>已知总成本差_低</x:v>
      </x:c>
      <x:c r="N20" s="149" t="str">
        <x:v>已知总成本差_中</x:v>
      </x:c>
      <x:c r="O20" s="149" t="str">
        <x:v>已知总成本差_高</x:v>
      </x:c>
      <x:c r="P20" s="149" t="str">
        <x:v>未分配价差_低</x:v>
      </x:c>
      <x:c r="Q20" s="149" t="str">
        <x:v>未分配价差_中</x:v>
      </x:c>
      <x:c r="R20" s="149" t="str">
        <x:v>未分配价差_高</x:v>
      </x:c>
      <x:c r="S20" s="149" t="str">
        <x:v>区间最小</x:v>
      </x:c>
      <x:c r="T20" s="149" t="str">
        <x:v>区间最大</x:v>
      </x:c>
      <x:c r="U20" s="149" t="str">
        <x:v>解释</x:v>
      </x:c>
    </x:row>
    <x:row r="21" ht="54" customHeight="1">
      <x:c r="A21" s="19" t="str">
        <x:v>P23A-STD</x:v>
      </x:c>
      <x:c r="B21" s="19" t="str">
        <x:v>标准强锚</x:v>
      </x:c>
      <x:c r="C21" s="21" t="n">
        <x:f>'19_同硬件匹配'!$M$8</x:f>
        <x:v>12035.398230088496</x:v>
      </x:c>
      <x:c r="D21" s="21" t="n">
        <x:f>SUMIFS($J$7:$J$16,$A$7:$A$16,$A21)</x:f>
        <x:v>0</x:v>
      </x:c>
      <x:c r="E21" s="21" t="n">
        <x:f>SUMIFS($K$7:$K$16,$A$7:$A$16,$A21)</x:f>
        <x:v>0</x:v>
      </x:c>
      <x:c r="F21" s="21" t="n">
        <x:f>SUMIFS($L$7:$L$16,$A$7:$A$16,$A21)</x:f>
        <x:v>0</x:v>
      </x:c>
      <x:c r="G21" s="21" t="n">
        <x:f>D21*'18_跨系底表'!$B$19</x:f>
        <x:v>0</x:v>
      </x:c>
      <x:c r="H21" s="21" t="n">
        <x:f>E21*'18_跨系底表'!$B$20</x:f>
        <x:v>0</x:v>
      </x:c>
      <x:c r="I21" s="21" t="n">
        <x:f>F21*'18_跨系底表'!$B$21</x:f>
        <x:v>0</x:v>
      </x:c>
      <x:c r="J21" s="21" t="n">
        <x:f>D21*'18_跨系底表'!$B$22</x:f>
        <x:v>0</x:v>
      </x:c>
      <x:c r="K21" s="21" t="n">
        <x:f>E21*'18_跨系底表'!$B$23</x:f>
        <x:v>0</x:v>
      </x:c>
      <x:c r="L21" s="21" t="n">
        <x:f>F21*'18_跨系底表'!$B$24</x:f>
        <x:v>0</x:v>
      </x:c>
      <x:c r="M21" s="21" t="n">
        <x:f>ROUND(SUM(D21,G21,J21),2)</x:f>
        <x:v>0</x:v>
      </x:c>
      <x:c r="N21" s="177" t="n">
        <x:f>ROUND(SUM(E21,H21,K21),2)</x:f>
        <x:v>0</x:v>
      </x:c>
      <x:c r="O21" s="21" t="n">
        <x:f>ROUND(SUM(F21,I21,L21),2)</x:f>
        <x:v>0</x:v>
      </x:c>
      <x:c r="P21" s="21" t="n">
        <x:f>ROUND(C21-M21,2)</x:f>
        <x:v>12035.4</x:v>
      </x:c>
      <x:c r="Q21" s="170" t="n">
        <x:f>ROUND(C21-N21,2)</x:f>
        <x:v>12035.4</x:v>
      </x:c>
      <x:c r="R21" s="21" t="n">
        <x:f>ROUND(C21-O21,2)</x:f>
        <x:v>12035.4</x:v>
      </x:c>
      <x:c r="S21" s="21" t="n">
        <x:f>MIN(P21:R21)</x:f>
        <x:v>12035.4</x:v>
      </x:c>
      <x:c r="T21" s="21" t="n">
        <x:f>MAX(P21:R21)</x:f>
        <x:v>12035.4</x:v>
      </x:c>
      <x:c r="U21" s="19" t="str">
        <x:v>核心硬件完全匹配；当前原子库无可可靠隔离的跨车身差异项。</x:v>
      </x:c>
    </x:row>
    <x:row r="22" ht="54" customHeight="1">
      <x:c r="A22" s="150" t="str">
        <x:v>P23A-RWD96</x:v>
      </x:c>
      <x:c r="B22" s="150" t="str">
        <x:v>96kWh后驱铰链</x:v>
      </x:c>
      <x:c r="C22" s="151" t="n">
        <x:f>'19_同硬件匹配'!$M$13</x:f>
        <x:v>3185.840707964613</x:v>
      </x:c>
      <x:c r="D22" s="151" t="n">
        <x:f>SUMIFS($J$7:$J$16,$A$7:$A$16,$A22)</x:f>
        <x:v>-3400</x:v>
      </x:c>
      <x:c r="E22" s="151" t="n">
        <x:f>SUMIFS($K$7:$K$16,$A$7:$A$16,$A22)</x:f>
        <x:v>-4400</x:v>
      </x:c>
      <x:c r="F22" s="151" t="n">
        <x:f>SUMIFS($L$7:$L$16,$A$7:$A$16,$A22)</x:f>
        <x:v>-5450</x:v>
      </x:c>
      <x:c r="G22" s="151" t="n">
        <x:f>D22*'18_跨系底表'!$B$19</x:f>
        <x:v>-34</x:v>
      </x:c>
      <x:c r="H22" s="151" t="n">
        <x:f>E22*'18_跨系底表'!$B$20</x:f>
        <x:v>-88</x:v>
      </x:c>
      <x:c r="I22" s="151" t="n">
        <x:f>F22*'18_跨系底表'!$B$21</x:f>
        <x:v>-218</x:v>
      </x:c>
      <x:c r="J22" s="151" t="n">
        <x:f>D22*'18_跨系底表'!$B$22</x:f>
        <x:v>-17</x:v>
      </x:c>
      <x:c r="K22" s="151" t="n">
        <x:f>E22*'18_跨系底表'!$B$23</x:f>
        <x:v>-66</x:v>
      </x:c>
      <x:c r="L22" s="151" t="n">
        <x:f>F22*'18_跨系底表'!$B$24</x:f>
        <x:v>-163.5</x:v>
      </x:c>
      <x:c r="M22" s="151" t="n">
        <x:f>ROUND(SUM(D22,G22,J22),2)</x:f>
        <x:v>-3451</x:v>
      </x:c>
      <x:c r="N22" s="177" t="n">
        <x:f>ROUND(SUM(E22,H22,K22),2)</x:f>
        <x:v>-4554</x:v>
      </x:c>
      <x:c r="O22" s="151" t="n">
        <x:f>ROUND(SUM(F22,I22,L22),2)</x:f>
        <x:v>-5831.5</x:v>
      </x:c>
      <x:c r="P22" s="151" t="n">
        <x:f>ROUND(C22-M22,2)</x:f>
        <x:v>6636.84</x:v>
      </x:c>
      <x:c r="Q22" s="170" t="n">
        <x:f>ROUND(C22-N22,2)</x:f>
        <x:v>7739.84</x:v>
      </x:c>
      <x:c r="R22" s="151" t="n">
        <x:f>ROUND(C22-O22,2)</x:f>
        <x:v>9017.34</x:v>
      </x:c>
      <x:c r="S22" s="151" t="n">
        <x:f>MIN(P22:R22)</x:f>
        <x:v>6636.84</x:v>
      </x:c>
      <x:c r="T22" s="151" t="n">
        <x:f>MAX(P22:R22)</x:f>
        <x:v>9017.34</x:v>
      </x:c>
      <x:c r="U22" s="150" t="str">
        <x:v>已调空悬与后排屏；剩余仍含车身、显示与座椅差异。</x:v>
      </x:c>
    </x:row>
    <x:row r="23" ht="54" customHeight="1">
      <x:c r="A23" s="19" t="str">
        <x:v>P23A-CHASSIS96</x:v>
      </x:c>
      <x:c r="B23" s="19" t="str">
        <x:v>96kWh底盘铰链</x:v>
      </x:c>
      <x:c r="C23" s="21" t="n">
        <x:f>'19_同硬件匹配'!$M$14</x:f>
        <x:v>26548.672566371708</x:v>
      </x:c>
      <x:c r="D23" s="21" t="n">
        <x:f>SUMIFS($J$7:$J$16,$A$7:$A$16,$A23)</x:f>
        <x:v>4400</x:v>
      </x:c>
      <x:c r="E23" s="21" t="n">
        <x:f>SUMIFS($K$7:$K$16,$A$7:$A$16,$A23)</x:f>
        <x:v>6100</x:v>
      </x:c>
      <x:c r="F23" s="21" t="n">
        <x:f>SUMIFS($L$7:$L$16,$A$7:$A$16,$A23)</x:f>
        <x:v>8350</x:v>
      </x:c>
      <x:c r="G23" s="21" t="n">
        <x:f>D23*'18_跨系底表'!$B$19</x:f>
        <x:v>44</x:v>
      </x:c>
      <x:c r="H23" s="21" t="n">
        <x:f>E23*'18_跨系底表'!$B$20</x:f>
        <x:v>122</x:v>
      </x:c>
      <x:c r="I23" s="21" t="n">
        <x:f>F23*'18_跨系底表'!$B$21</x:f>
        <x:v>334</x:v>
      </x:c>
      <x:c r="J23" s="21" t="n">
        <x:f>D23*'18_跨系底表'!$B$22</x:f>
        <x:v>22</x:v>
      </x:c>
      <x:c r="K23" s="21" t="n">
        <x:f>E23*'18_跨系底表'!$B$23</x:f>
        <x:v>91.5</x:v>
      </x:c>
      <x:c r="L23" s="21" t="n">
        <x:f>F23*'18_跨系底表'!$B$24</x:f>
        <x:v>250.5</x:v>
      </x:c>
      <x:c r="M23" s="21" t="n">
        <x:f>ROUND(SUM(D23,G23,J23),2)</x:f>
        <x:v>4466</x:v>
      </x:c>
      <x:c r="N23" s="177" t="n">
        <x:f>ROUND(SUM(E23,H23,K23),2)</x:f>
        <x:v>6313.5</x:v>
      </x:c>
      <x:c r="O23" s="21" t="n">
        <x:f>ROUND(SUM(F23,I23,L23),2)</x:f>
        <x:v>8934.5</x:v>
      </x:c>
      <x:c r="P23" s="21" t="n">
        <x:f>ROUND(C23-M23,2)</x:f>
        <x:v>22082.67</x:v>
      </x:c>
      <x:c r="Q23" s="170" t="n">
        <x:f>ROUND(C23-N23,2)</x:f>
        <x:v>20235.17</x:v>
      </x:c>
      <x:c r="R23" s="21" t="n">
        <x:f>ROUND(C23-O23,2)</x:f>
        <x:v>17614.17</x:v>
      </x:c>
      <x:c r="S23" s="21" t="n">
        <x:f>MIN(P23:R23)</x:f>
        <x:v>17614.17</x:v>
      </x:c>
      <x:c r="T23" s="21" t="n">
        <x:f>MAX(P23:R23)</x:f>
        <x:v>22082.67</x:v>
      </x:c>
      <x:c r="U23" s="19" t="str">
        <x:v>已调前驱与后排屏；剩余仍含车身、显示与座椅差异。</x:v>
      </x:c>
    </x:row>
    <x:row r="24" ht="54" customHeight="1">
      <x:c r="A24" s="150" t="str">
        <x:v>P23A-MAX</x:v>
      </x:c>
      <x:c r="B24" s="150" t="str">
        <x:v>Max强锚</x:v>
      </x:c>
      <x:c r="C24" s="151" t="n">
        <x:f>'19_同硬件匹配'!$M$19</x:f>
        <x:v>23008.849557522102</x:v>
      </x:c>
      <x:c r="D24" s="151" t="n">
        <x:f>SUMIFS($J$7:$J$16,$A$7:$A$16,$A24)</x:f>
        <x:v>-450</x:v>
      </x:c>
      <x:c r="E24" s="151" t="n">
        <x:f>SUMIFS($K$7:$K$16,$A$7:$A$16,$A24)</x:f>
        <x:v>-400</x:v>
      </x:c>
      <x:c r="F24" s="151" t="n">
        <x:f>SUMIFS($L$7:$L$16,$A$7:$A$16,$A24)</x:f>
        <x:v>-290</x:v>
      </x:c>
      <x:c r="G24" s="151" t="n">
        <x:f>D24*'18_跨系底表'!$B$19</x:f>
        <x:v>-4.5</x:v>
      </x:c>
      <x:c r="H24" s="151" t="n">
        <x:f>E24*'18_跨系底表'!$B$20</x:f>
        <x:v>-8</x:v>
      </x:c>
      <x:c r="I24" s="151" t="n">
        <x:f>F24*'18_跨系底表'!$B$21</x:f>
        <x:v>-11.6</x:v>
      </x:c>
      <x:c r="J24" s="151" t="n">
        <x:f>D24*'18_跨系底表'!$B$22</x:f>
        <x:v>-2.25</x:v>
      </x:c>
      <x:c r="K24" s="151" t="n">
        <x:f>E24*'18_跨系底表'!$B$23</x:f>
        <x:v>-6</x:v>
      </x:c>
      <x:c r="L24" s="151" t="n">
        <x:f>F24*'18_跨系底表'!$B$24</x:f>
        <x:v>-8.7</x:v>
      </x:c>
      <x:c r="M24" s="151" t="n">
        <x:f>ROUND(SUM(D24,G24,J24),2)</x:f>
        <x:v>-456.75</x:v>
      </x:c>
      <x:c r="N24" s="177" t="n">
        <x:f>ROUND(SUM(E24,H24,K24),2)</x:f>
        <x:v>-414</x:v>
      </x:c>
      <x:c r="O24" s="151" t="n">
        <x:f>ROUND(SUM(F24,I24,L24),2)</x:f>
        <x:v>-310.3</x:v>
      </x:c>
      <x:c r="P24" s="151" t="n">
        <x:f>ROUND(C24-M24,2)</x:f>
        <x:v>23465.6</x:v>
      </x:c>
      <x:c r="Q24" s="170" t="n">
        <x:f>ROUND(C24-N24,2)</x:f>
        <x:v>23422.85</x:v>
      </x:c>
      <x:c r="R24" s="151" t="n">
        <x:f>ROUND(C24-O24,2)</x:f>
        <x:v>23319.15</x:v>
      </x:c>
      <x:c r="S24" s="151" t="n">
        <x:f>MIN(P24:R24)</x:f>
        <x:v>23319.15</x:v>
      </x:c>
      <x:c r="T24" s="151" t="n">
        <x:f>MAX(P24:R24)</x:f>
        <x:v>23465.6</x:v>
      </x:c>
      <x:c r="U24" s="150" t="str">
        <x:v>已调后盘、静谧座舱、后排屏、WHUD、主动尾翼与Nappa；YU7天际屏净差等仍未估。</x:v>
      </x:c>
    </x:row>
    <x:row r="27">
      <x:c r="A27" s="173" t="str">
        <x:v>M09/M10仅作为已识别原子差异的线性覆盖代理；对有正有负的跨车系差分，不代表整车制造复杂度或真实质保差已经被完整识别。</x:v>
      </x:c>
      <x:c r="B27" s="173"/>
      <x:c r="C27" s="173"/>
      <x:c r="D27" s="173"/>
      <x:c r="E27" s="173"/>
      <x:c r="F27" s="173"/>
      <x:c r="G27" s="173"/>
      <x:c r="H27" s="173"/>
      <x:c r="I27" s="173"/>
      <x:c r="J27" s="173"/>
      <x:c r="K27" s="173"/>
      <x:c r="L27" s="173"/>
      <x:c r="M27" s="173"/>
      <x:c r="N27" s="173"/>
      <x:c r="O27" s="173"/>
      <x:c r="P27" s="173"/>
      <x:c r="Q27" s="173"/>
      <x:c r="R27" s="173"/>
      <x:c r="S27" s="173"/>
      <x:c r="T27" s="173"/>
      <x:c r="U27" s="173"/>
    </x:row>
    <x:row r="28">
      <x:c r="A28" s="173"/>
      <x:c r="B28" s="173"/>
      <x:c r="C28" s="173"/>
      <x:c r="D28" s="173"/>
      <x:c r="E28" s="173"/>
      <x:c r="F28" s="173"/>
      <x:c r="G28" s="173"/>
      <x:c r="H28" s="173"/>
      <x:c r="I28" s="173"/>
      <x:c r="J28" s="173"/>
      <x:c r="K28" s="173"/>
      <x:c r="L28" s="173"/>
      <x:c r="M28" s="173"/>
      <x:c r="N28" s="173"/>
      <x:c r="O28" s="173"/>
      <x:c r="P28" s="173"/>
      <x:c r="Q28" s="173"/>
      <x:c r="R28" s="173"/>
      <x:c r="S28" s="173"/>
      <x:c r="T28" s="173"/>
      <x:c r="U28" s="173"/>
    </x:row>
  </x:sheetData>
  <x:mergeCells>
    <x:mergeCell ref="A1:U1"/>
    <x:mergeCell ref="A2:U2"/>
    <x:mergeCell ref="A3:U3"/>
    <x:mergeCell ref="A5:U5"/>
    <x:mergeCell ref="A27:U27"/>
    <x:mergeCell ref="A28:U28"/>
  </x:mergeCells>
  <x:conditionalFormatting sqref="J7:L16">
    <x:cfRule type="cellIs" dxfId="106" priority="1" operator="lessThan">
      <x:formula>0</x:formula>
    </x:cfRule>
  </x:conditionalFormatting>
  <x:conditionalFormatting sqref="M7:M16">
    <x:cfRule type="containsText" dxfId="107" priority="2" operator="containsText" text="PASS"/>
    <x:cfRule type="containsText" dxfId="108" priority="3" operator="containsText" text="READY"/>
    <x:cfRule type="containsText" dxfId="109" priority="4" operator="containsText" text="SELECT"/>
    <x:cfRule type="containsText" dxfId="110" priority="5" operator="containsText" text="A_STRICT"/>
    <x:cfRule type="containsText" dxfId="111" priority="6" operator="containsText" text="B_"/>
    <x:cfRule type="containsText" dxfId="112" priority="7" operator="containsText" text="EXCLUDE"/>
    <x:cfRule type="containsText" dxfId="113" priority="8" operator="containsText" text="FAIL"/>
    <x:cfRule type="containsText" dxfId="114" priority="9" operator="containsText" text="REVIEW"/>
  </x:conditionalFormatting>
  <x:conditionalFormatting sqref="D21:T24">
    <x:cfRule type="cellIs" dxfId="115" priority="10" operator="lessThan">
      <x:formula>0</x:formula>
    </x:cfRule>
  </x:conditionalFormatting>
  <x:pageMargins left="0.7" right="0.7" top="0.75" bottom="0.75" header="0.3" footer="0.3"/>
</x:worksheet>
</file>

<file path=xl/worksheets/sheet2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3" hidden="0" customWidth="1"/>
    <x:col min="2" max="2" width="18" hidden="0" customWidth="1"/>
    <x:col min="3" max="3" width="24" hidden="0" customWidth="1"/>
    <x:col min="4" max="4" width="46" hidden="0" customWidth="1"/>
    <x:col min="5" max="5" width="16" hidden="0" customWidth="1"/>
    <x:col min="6" max="6" width="16" hidden="0" customWidth="1"/>
    <x:col min="7" max="7" width="34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4" hidden="0" customWidth="1"/>
    <x:col min="15" max="15" width="44" hidden="0" customWidth="1"/>
  </x:cols>
  <x:sheetData>
    <x:row r="1" ht="30" customHeight="1">
      <x:c r="A1" s="137" t="str">
        <x:v>21｜Phase 2.3A 跨车系同硬件规则提炼</x:v>
      </x:c>
      <x:c r="B1" s="137"/>
      <x:c r="C1" s="137"/>
      <x:c r="D1" s="137"/>
      <x:c r="E1" s="137"/>
      <x:c r="F1" s="137"/>
      <x:c r="G1" s="137"/>
      <x:c r="H1" s="137"/>
      <x:c r="I1" s="137"/>
      <x:c r="J1" s="137"/>
      <x:c r="K1" s="137"/>
      <x:c r="L1" s="137"/>
      <x:c r="M1" s="137"/>
      <x:c r="N1" s="137"/>
      <x:c r="O1" s="137"/>
    </x:row>
    <x:row r="2" ht="22" customHeight="1">
      <x:c r="A2" s="140" t="str">
        <x:v>两端强锚 + 中间铰链｜不使用同名版本强行配对｜本页只形成Phase 2.3B的可比基础</x:v>
      </x:c>
      <x:c r="B2" s="140"/>
      <x:c r="C2" s="140"/>
      <x:c r="D2" s="140"/>
      <x:c r="E2" s="140"/>
      <x:c r="F2" s="140"/>
      <x:c r="G2" s="140"/>
      <x:c r="H2" s="140"/>
      <x:c r="I2" s="140"/>
      <x:c r="J2" s="140"/>
      <x:c r="K2" s="140"/>
      <x:c r="L2" s="140"/>
      <x:c r="M2" s="140"/>
      <x:c r="N2" s="140"/>
      <x:c r="O2" s="140"/>
    </x:row>
    <x:row r="3" ht="42" customHeight="1">
      <x:c r="A3" s="144" t="str">
        <x:v>“未分配价差”尚未扣除跨车身基础BOM、空间价值、固定成本及期间费用，也未包含实际促销；不得称为SUV溢价、毛利或利润。</x:v>
      </x:c>
      <x:c r="B3" s="144"/>
      <x:c r="C3" s="144"/>
      <x:c r="D3" s="144"/>
      <x:c r="E3" s="144"/>
      <x:c r="F3" s="144"/>
      <x:c r="G3" s="144"/>
      <x:c r="H3" s="144"/>
      <x:c r="I3" s="144"/>
      <x:c r="J3" s="144"/>
      <x:c r="K3" s="144"/>
      <x:c r="L3" s="144"/>
      <x:c r="M3" s="144"/>
      <x:c r="N3" s="144"/>
      <x:c r="O3" s="144"/>
    </x:row>
    <x:row r="5" ht="38" customHeight="1">
      <x:c r="A5" s="149" t="str">
        <x:v>关键指标</x:v>
      </x:c>
      <x:c r="B5" s="149" t="str">
        <x:v>数值</x:v>
      </x:c>
      <x:c r="C5" s="149" t="str">
        <x:v>单位</x:v>
      </x:c>
      <x:c r="D5" s="149" t="str">
        <x:v>解释</x:v>
      </x:c>
      <x:c r="F5" s="183" t="str">
        <x:v>Phase 2.3A 已锁定的五条规则</x:v>
      </x:c>
      <x:c r="G5" s="183"/>
      <x:c r="H5" s="183"/>
      <x:c r="I5" s="183"/>
      <x:c r="J5" s="183"/>
      <x:c r="K5" s="183"/>
      <x:c r="L5" s="183"/>
      <x:c r="M5" s="183"/>
      <x:c r="N5" s="183"/>
      <x:c r="O5" s="183"/>
    </x:row>
    <x:row r="6" ht="38" customHeight="1">
      <x:c r="A6" s="19" t="str">
        <x:v>严格强锚数量</x:v>
      </x:c>
      <x:c r="B6" s="106" t="n">
        <x:f>COUNTIF('19_同硬件匹配'!$J$8:$J$19,"A_STRICT")</x:f>
        <x:v>2</x:v>
      </x:c>
      <x:c r="C6" s="19" t="str">
        <x:v>个</x:v>
      </x:c>
      <x:c r="D6" s="19" t="str">
        <x:v>标准↔标准、Max↔Max。</x:v>
      </x:c>
      <x:c r="F6" s="149" t="str">
        <x:v>规则</x:v>
      </x:c>
      <x:c r="G6" s="149" t="str">
        <x:v>结论</x:v>
      </x:c>
      <x:c r="H6" s="149"/>
      <x:c r="I6" s="149"/>
      <x:c r="J6" s="149"/>
      <x:c r="K6" s="149" t="str">
        <x:v>证据</x:v>
      </x:c>
      <x:c r="L6" s="149"/>
      <x:c r="M6" s="149"/>
      <x:c r="N6" s="149" t="str">
        <x:v>对下一阶段的约束</x:v>
      </x:c>
      <x:c r="O6" s="149"/>
    </x:row>
    <x:row r="7" ht="50" customHeight="1">
      <x:c r="A7" s="150" t="str">
        <x:v>入选可比桥数量</x:v>
      </x:c>
      <x:c r="B7" s="178" t="n">
        <x:f>COUNTIF('19_同硬件匹配'!$K$8:$K$19,"SELECT")</x:f>
        <x:v>4</x:v>
      </x:c>
      <x:c r="C7" s="150" t="str">
        <x:v>个</x:v>
      </x:c>
      <x:c r="D7" s="150" t="str">
        <x:v>另含两个中间层单差异铰链。</x:v>
      </x:c>
      <x:c r="F7" s="195" t="str">
        <x:v>R1</x:v>
      </x:c>
      <x:c r="G7" s="150" t="str">
        <x:v>按硬件键匹配，不按版本名称</x:v>
      </x:c>
      <x:c r="H7" s="150"/>
      <x:c r="I7" s="150"/>
      <x:c r="J7" s="150"/>
      <x:c r="K7" s="150" t="str">
        <x:v>YU7长续航匹配SU7 Pro的电池/电驱；YU7 Pro匹配其底盘。</x:v>
      </x:c>
      <x:c r="L7" s="150"/>
      <x:c r="M7" s="150"/>
      <x:c r="N7" s="150" t="str">
        <x:v>名称只能作展示，不能作因果配对键。</x:v>
      </x:c>
      <x:c r="O7" s="150"/>
    </x:row>
    <x:row r="8" ht="50" customHeight="1">
      <x:c r="A8" s="19" t="str">
        <x:v>标准强锚未税价差</x:v>
      </x:c>
      <x:c r="B8" s="177" t="n">
        <x:f>'20_已知差异桥'!$C$21</x:f>
        <x:v>12035.398230088496</x:v>
      </x:c>
      <x:c r="C8" s="19" t="str">
        <x:v>元</x:v>
      </x:c>
      <x:c r="D8" s="19" t="str">
        <x:v>YU7标准版−SU7标准版。</x:v>
      </x:c>
      <x:c r="F8" s="195" t="str">
        <x:v>R2</x:v>
      </x:c>
      <x:c r="G8" s="192" t="str">
        <x:v>标准与Max是两端强锚</x:v>
      </x:c>
      <x:c r="H8" s="192"/>
      <x:c r="I8" s="192"/>
      <x:c r="J8" s="192"/>
      <x:c r="K8" s="192" t="str">
        <x:v>两对四个核心分组完全一致。</x:v>
      </x:c>
      <x:c r="L8" s="192"/>
      <x:c r="M8" s="192"/>
      <x:c r="N8" s="192" t="str">
        <x:v>Phase 2.3B优先用两端锚测试基础车身差。</x:v>
      </x:c>
      <x:c r="O8" s="192"/>
    </x:row>
    <x:row r="9" ht="50" customHeight="1">
      <x:c r="A9" s="150" t="str">
        <x:v>Max强锚未税价差</x:v>
      </x:c>
      <x:c r="B9" s="177" t="n">
        <x:f>'20_已知差异桥'!$C$24</x:f>
        <x:v>23008.849557522102</x:v>
      </x:c>
      <x:c r="C9" s="150" t="str">
        <x:v>元</x:v>
      </x:c>
      <x:c r="D9" s="150" t="str">
        <x:v>YU7 Max−SU7 Max。</x:v>
      </x:c>
      <x:c r="F9" s="195" t="str">
        <x:v>R3</x:v>
      </x:c>
      <x:c r="G9" s="150" t="str">
        <x:v>SU7 Pro是中间层铰链</x:v>
      </x:c>
      <x:c r="H9" s="150"/>
      <x:c r="I9" s="150"/>
      <x:c r="J9" s="150"/>
      <x:c r="K9" s="150" t="str">
        <x:v>一个对手保持后驱，一个对手保持空悬。</x:v>
      </x:c>
      <x:c r="L9" s="150"/>
      <x:c r="M9" s="150"/>
      <x:c r="N9" s="150" t="str">
        <x:v>中间层必须报告上下界，不能只选一个。</x:v>
      </x:c>
      <x:c r="O9" s="150"/>
    </x:row>
    <x:row r="10" ht="50" customHeight="1">
      <x:c r="A10" s="19" t="str">
        <x:v>Max/标准强锚倍数</x:v>
      </x:c>
      <x:c r="B10" s="180" t="n">
        <x:f>B9/B8</x:f>
        <x:v>1.911764705882351</x:v>
      </x:c>
      <x:c r="C10" s="19" t="str">
        <x:v>倍</x:v>
      </x:c>
      <x:c r="D10" s="19" t="str">
        <x:v>跨车系原始价差不是常数。</x:v>
      </x:c>
      <x:c r="F10" s="195" t="str">
        <x:v>R4</x:v>
      </x:c>
      <x:c r="G10" s="192" t="str">
        <x:v>配对选择是一阶不确定性</x:v>
      </x:c>
      <x:c r="H10" s="192"/>
      <x:c r="I10" s="192"/>
      <x:c r="J10" s="192"/>
      <x:c r="K10" s="192" t="str">
        <x:v>中间配对跨度大于Low/High成本情景跨度。</x:v>
      </x:c>
      <x:c r="L10" s="192"/>
      <x:c r="M10" s="192"/>
      <x:c r="N10" s="192" t="str">
        <x:v>先解决可比性，再收窄成本区间。</x:v>
      </x:c>
      <x:c r="O10" s="192"/>
    </x:row>
    <x:row r="11" ht="50" customHeight="1">
      <x:c r="A11" s="150" t="str">
        <x:v>强锚原始价差跨度</x:v>
      </x:c>
      <x:c r="B11" s="177" t="n">
        <x:f>B9-B8</x:f>
        <x:v>10973.451327433606</x:v>
      </x:c>
      <x:c r="C11" s="150" t="str">
        <x:v>元</x:v>
      </x:c>
      <x:c r="D11" s="150" t="str">
        <x:v>高配锚比标准锚多出的未税价差。</x:v>
      </x:c>
      <x:c r="F11" s="195" t="str">
        <x:v>R5</x:v>
      </x:c>
      <x:c r="G11" s="150" t="str">
        <x:v>未分配价差不是已识别价值</x:v>
      </x:c>
      <x:c r="H11" s="150"/>
      <x:c r="I11" s="150"/>
      <x:c r="J11" s="150"/>
      <x:c r="K11" s="150" t="str">
        <x:v>车身BOM、空间、显示/座椅、固定成本与期间费用仍混合其中。</x:v>
      </x:c>
      <x:c r="L11" s="150"/>
      <x:c r="M11" s="150"/>
      <x:c r="N11" s="150" t="str">
        <x:v>2.3B先补成本桥；2.3C再讨论价值捕获。</x:v>
      </x:c>
      <x:c r="O11" s="150"/>
    </x:row>
    <x:row r="12" ht="36" customHeight="1">
      <x:c r="A12" s="19" t="str">
        <x:v>后驱铰链未分配价差_中</x:v>
      </x:c>
      <x:c r="B12" s="177" t="n">
        <x:f>'20_已知差异桥'!$Q$22</x:f>
        <x:v>7739.84</x:v>
      </x:c>
      <x:c r="C12" s="19" t="str">
        <x:v>元</x:v>
      </x:c>
      <x:c r="D12" s="19" t="str">
        <x:v>SU7 Pro↔YU7长续航，已调空悬与后排屏。</x:v>
      </x:c>
    </x:row>
    <x:row r="13" ht="36" customHeight="1">
      <x:c r="A13" s="150" t="str">
        <x:v>底盘铰链未分配价差_中</x:v>
      </x:c>
      <x:c r="B13" s="177" t="n">
        <x:f>'20_已知差异桥'!$Q$23</x:f>
        <x:v>20235.17</x:v>
      </x:c>
      <x:c r="C13" s="150" t="str">
        <x:v>元</x:v>
      </x:c>
      <x:c r="D13" s="150" t="str">
        <x:v>SU7 Pro↔YU7 Pro，已调前驱与后排屏。</x:v>
      </x:c>
    </x:row>
    <x:row r="14" ht="36" customHeight="1">
      <x:c r="A14" s="19" t="str">
        <x:v>中间配对选择跨度</x:v>
      </x:c>
      <x:c r="B14" s="177" t="n">
        <x:f>B13-B12</x:f>
        <x:v>12495.329999999998</x:v>
      </x:c>
      <x:c r="C14" s="19" t="str">
        <x:v>元</x:v>
      </x:c>
      <x:c r="D14" s="19" t="str">
        <x:v>同一SU7 Pro选择不同YU7对手导致的差异。</x:v>
      </x:c>
    </x:row>
    <x:row r="15" ht="36" customHeight="1">
      <x:c r="A15" s="150" t="str">
        <x:v>YU7长续航→Pro残余</x:v>
      </x:c>
      <x:c r="B15" s="177" t="n">
        <x:f>'12_价差总览'!$J$11</x:f>
        <x:v>12495.33</x:v>
      </x:c>
      <x:c r="C15" s="150" t="str">
        <x:v>元</x:v>
      </x:c>
      <x:c r="D15" s="150" t="str">
        <x:v>Phase 2.2中情景定价残余。</x:v>
      </x:c>
    </x:row>
    <x:row r="16" ht="36" customHeight="1">
      <x:c r="A16" s="19" t="str">
        <x:v>双重差分校验</x:v>
      </x:c>
      <x:c r="B16" s="177" t="n">
        <x:f>ROUND(B14-B15,2)</x:f>
        <x:v>0</x:v>
      </x:c>
      <x:c r="C16" s="19" t="str">
        <x:v>元</x:v>
      </x:c>
      <x:c r="D16" s="19" t="str">
        <x:v>应为0；中间配对跨度不是新增独立证据。</x:v>
      </x:c>
    </x:row>
    <x:row r="17" ht="36" customHeight="1">
      <x:c r="A17" s="150" t="str">
        <x:v>中间桥最大成本情景跨度</x:v>
      </x:c>
      <x:c r="B17" s="177" t="n">
        <x:f>MAX('20_已知差异桥'!$T$22-'20_已知差异桥'!$S$22,'20_已知差异桥'!$T$23-'20_已知差异桥'!$S$23)</x:f>
        <x:v>4468.5</x:v>
      </x:c>
      <x:c r="C17" s="150" t="str">
        <x:v>元</x:v>
      </x:c>
      <x:c r="D17" s="150" t="str">
        <x:v>Low/High原子成本带来的最大跨度。</x:v>
      </x:c>
    </x:row>
    <x:row r="18" ht="36" customHeight="1">
      <x:c r="A18" s="19" t="str">
        <x:v>配对不确定性/成本不确定性</x:v>
      </x:c>
      <x:c r="B18" s="180" t="n">
        <x:f>B14/B17</x:f>
        <x:v>2.79631419939577</x:v>
      </x:c>
      <x:c r="C18" s="19" t="str">
        <x:v>倍</x:v>
      </x:c>
      <x:c r="D18" s="19" t="str">
        <x:v>若&gt;1，首要不确定性来自可比版本选择。</x:v>
      </x:c>
    </x:row>
    <x:row r="22" ht="38" customHeight="1">
      <x:c r="A22" s="149" t="str">
        <x:v>配对</x:v>
      </x:c>
      <x:c r="B22" s="149" t="str">
        <x:v>原始未税价差</x:v>
      </x:c>
      <x:c r="C22" s="149" t="str">
        <x:v>已知差异调整后未分配价差_中</x:v>
      </x:c>
    </x:row>
    <x:row r="23" ht="36" customHeight="1">
      <x:c r="A23" s="19" t="str">
        <x:f>'20_已知差异桥'!$B$21</x:f>
        <x:v>标准强锚</x:v>
      </x:c>
      <x:c r="B23" s="21" t="n">
        <x:f>'20_已知差异桥'!$C$21</x:f>
        <x:v>12035.398230088496</x:v>
      </x:c>
      <x:c r="C23" s="170" t="n">
        <x:f>'20_已知差异桥'!$Q$21</x:f>
        <x:v>12035.4</x:v>
      </x:c>
    </x:row>
    <x:row r="24" ht="36" customHeight="1">
      <x:c r="A24" s="150" t="str">
        <x:f>'20_已知差异桥'!$B$22</x:f>
        <x:v>96kWh后驱铰链</x:v>
      </x:c>
      <x:c r="B24" s="151" t="n">
        <x:f>'20_已知差异桥'!$C$22</x:f>
        <x:v>3185.840707964613</x:v>
      </x:c>
      <x:c r="C24" s="170" t="n">
        <x:f>'20_已知差异桥'!$Q$22</x:f>
        <x:v>7739.84</x:v>
      </x:c>
    </x:row>
    <x:row r="25" ht="36" customHeight="1">
      <x:c r="A25" s="19" t="str">
        <x:f>'20_已知差异桥'!$B$23</x:f>
        <x:v>96kWh底盘铰链</x:v>
      </x:c>
      <x:c r="B25" s="21" t="n">
        <x:f>'20_已知差异桥'!$C$23</x:f>
        <x:v>26548.672566371708</x:v>
      </x:c>
      <x:c r="C25" s="170" t="n">
        <x:f>'20_已知差异桥'!$Q$23</x:f>
        <x:v>20235.17</x:v>
      </x:c>
    </x:row>
    <x:row r="26" ht="36" customHeight="1">
      <x:c r="A26" s="150" t="str">
        <x:f>'20_已知差异桥'!$B$24</x:f>
        <x:v>Max强锚</x:v>
      </x:c>
      <x:c r="B26" s="151" t="n">
        <x:f>'20_已知差异桥'!$C$24</x:f>
        <x:v>23008.849557522102</x:v>
      </x:c>
      <x:c r="C26" s="170" t="n">
        <x:f>'20_已知差异桥'!$Q$24</x:f>
        <x:v>23422.85</x:v>
      </x:c>
    </x:row>
    <x:row r="29">
      <x:c r="A29" s="183" t="str">
        <x:v>Phase 2.3B 执行门槛</x:v>
      </x:c>
      <x:c r="B29" s="183"/>
      <x:c r="C29" s="183"/>
      <x:c r="D29" s="183"/>
    </x:row>
    <x:row r="30" ht="42" customHeight="1">
      <x:c r="A30" s="150" t="str">
        <x:v>1</x:v>
      </x:c>
      <x:c r="B30" s="150" t="str">
        <x:v>基础车身硬件差必须用独立低/中/高假设或物理证据建立，不得用售价残余反推。</x:v>
      </x:c>
      <x:c r="C30" s="150"/>
      <x:c r="D30" s="150"/>
    </x:row>
    <x:row r="31" ht="42" customHeight="1">
      <x:c r="A31" s="192" t="str">
        <x:v>2</x:v>
      </x:c>
      <x:c r="B31" s="192" t="str">
        <x:v>先以标准与Max两端强锚测试，再用两个中间铰链交叉验证。</x:v>
      </x:c>
      <x:c r="C31" s="192"/>
      <x:c r="D31" s="192"/>
    </x:row>
    <x:row r="32" ht="42" customHeight="1">
      <x:c r="A32" s="150" t="str">
        <x:v>3</x:v>
      </x:c>
      <x:c r="B32" s="150" t="str">
        <x:v>显示架构、后排座椅与碳纤维外饰等未估项继续单列，不做0处理。</x:v>
      </x:c>
      <x:c r="C32" s="150"/>
      <x:c r="D32" s="150"/>
    </x:row>
    <x:row r="33" ht="42" customHeight="1">
      <x:c r="A33" s="192" t="str">
        <x:v>4</x:v>
      </x:c>
      <x:c r="B33" s="192" t="str">
        <x:v>只有完成成本桥后，Phase 2.3C才能讨论空间价值与版本定位的价值捕获。</x:v>
      </x:c>
      <x:c r="C33" s="192"/>
      <x:c r="D33" s="192"/>
    </x:row>
    <x:row r="35">
      <x:c r="A35" s="199" t="str">
        <x:v>边界声明：本阶段的未分配价差是“未被现有已识别原子成本解释的跨车系未税价差”，未计固定研发、期间费用及实际促销；它不是SUV空间价值，也不等于已实现毛利或利润。</x:v>
      </x:c>
      <x:c r="B35" s="199"/>
      <x:c r="C35" s="199"/>
      <x:c r="D35" s="199"/>
      <x:c r="E35" s="199"/>
      <x:c r="F35" s="199"/>
      <x:c r="G35" s="199"/>
      <x:c r="H35" s="199"/>
      <x:c r="I35" s="199"/>
      <x:c r="J35" s="199"/>
      <x:c r="K35" s="199"/>
      <x:c r="L35" s="199"/>
      <x:c r="M35" s="199"/>
      <x:c r="N35" s="199"/>
      <x:c r="O35" s="199"/>
    </x:row>
    <x:row r="36">
      <x:c r="A36" s="199"/>
      <x:c r="B36" s="199"/>
      <x:c r="C36" s="199"/>
      <x:c r="D36" s="199"/>
      <x:c r="E36" s="199"/>
      <x:c r="F36" s="199"/>
      <x:c r="G36" s="199"/>
      <x:c r="H36" s="199"/>
      <x:c r="I36" s="199"/>
      <x:c r="J36" s="199"/>
      <x:c r="K36" s="199"/>
      <x:c r="L36" s="199"/>
      <x:c r="M36" s="199"/>
      <x:c r="N36" s="199"/>
      <x:c r="O36" s="199"/>
    </x:row>
    <x:row r="39">
      <x:c r="A39" s="183" t="str">
        <x:v>模块三角验证｜同一硬件升级在两条车系中的成本恒等关系</x:v>
      </x:c>
      <x:c r="B39" s="183"/>
      <x:c r="C39" s="183"/>
      <x:c r="D39" s="183"/>
      <x:c r="E39" s="183"/>
      <x:c r="F39" s="183"/>
      <x:c r="G39" s="183"/>
      <x:c r="H39" s="183"/>
      <x:c r="I39" s="183"/>
      <x:c r="J39" s="183"/>
      <x:c r="K39" s="183"/>
      <x:c r="L39" s="183"/>
      <x:c r="M39" s="183"/>
      <x:c r="N39" s="183"/>
      <x:c r="O39" s="183"/>
    </x:row>
    <x:row r="40" ht="46" customHeight="1">
      <x:c r="A40" s="149" t="str">
        <x:v>relation_id</x:v>
      </x:c>
      <x:c r="B40" s="149" t="str">
        <x:v>模块</x:v>
      </x:c>
      <x:c r="C40" s="149" t="str">
        <x:v>左侧关系</x:v>
      </x:c>
      <x:c r="D40" s="149" t="str">
        <x:v>左_低</x:v>
      </x:c>
      <x:c r="E40" s="149" t="str">
        <x:v>左_中</x:v>
      </x:c>
      <x:c r="F40" s="149" t="str">
        <x:v>左_高</x:v>
      </x:c>
      <x:c r="G40" s="149" t="str">
        <x:v>右侧关系</x:v>
      </x:c>
      <x:c r="H40" s="149" t="str">
        <x:v>右_低</x:v>
      </x:c>
      <x:c r="I40" s="149" t="str">
        <x:v>右_中</x:v>
      </x:c>
      <x:c r="J40" s="149" t="str">
        <x:v>右_高</x:v>
      </x:c>
      <x:c r="K40" s="149" t="str">
        <x:v>差异_低</x:v>
      </x:c>
      <x:c r="L40" s="149" t="str">
        <x:v>差异_中</x:v>
      </x:c>
      <x:c r="M40" s="149" t="str">
        <x:v>差异_高</x:v>
      </x:c>
      <x:c r="N40" s="149" t="str">
        <x:v>状态</x:v>
      </x:c>
      <x:c r="O40" s="149" t="str">
        <x:v>解释</x:v>
      </x:c>
    </x:row>
    <x:row r="41" ht="48" customHeight="1">
      <x:c r="A41" s="19" t="str">
        <x:v>X01_BAT_73_96</x:v>
      </x:c>
      <x:c r="B41" s="19" t="str">
        <x:v>M01_BATTERY</x:v>
      </x:c>
      <x:c r="C41" s="19" t="str">
        <x:v>SU7 标准→Pro</x:v>
      </x:c>
      <x:c r="D41" s="21" t="n">
        <x:f>SUMIFS('03_模块汇总'!$D$7:$D$56,'03_模块汇总'!$A$7:$A$56,"BR-SU7-STD-PRO",'03_模块汇总'!$C$7:$C$56,"M01_BATTERY")</x:f>
        <x:v>11650</x:v>
      </x:c>
      <x:c r="E41" s="21" t="n">
        <x:f>SUMIFS('03_模块汇总'!$E$7:$E$56,'03_模块汇总'!$A$7:$A$56,"BR-SU7-STD-PRO",'03_模块汇总'!$C$7:$C$56,"M01_BATTERY")</x:f>
        <x:v>13514</x:v>
      </x:c>
      <x:c r="F41" s="21" t="n">
        <x:f>SUMIFS('03_模块汇总'!$F$7:$F$56,'03_模块汇总'!$A$7:$A$56,"BR-SU7-STD-PRO",'03_模块汇总'!$C$7:$C$56,"M01_BATTERY")</x:f>
        <x:v>15844</x:v>
      </x:c>
      <x:c r="G41" s="21" t="str">
        <x:v>YU7 标准→长续航</x:v>
      </x:c>
      <x:c r="H41" s="21" t="n">
        <x:f>SUMIFS('03_模块汇总'!$D$7:$D$56,'03_模块汇总'!$A$7:$A$56,"BR-YU7-STD-LR",'03_模块汇总'!$C$7:$C$56,"M01_BATTERY")</x:f>
        <x:v>11650</x:v>
      </x:c>
      <x:c r="I41" s="21" t="n">
        <x:f>SUMIFS('03_模块汇总'!$E$7:$E$56,'03_模块汇总'!$A$7:$A$56,"BR-YU7-STD-LR",'03_模块汇总'!$C$7:$C$56,"M01_BATTERY")</x:f>
        <x:v>13514</x:v>
      </x:c>
      <x:c r="J41" s="21" t="n">
        <x:f>SUMIFS('03_模块汇总'!$F$7:$F$56,'03_模块汇总'!$A$7:$A$56,"BR-YU7-STD-LR",'03_模块汇总'!$C$7:$C$56,"M01_BATTERY")</x:f>
        <x:v>15844</x:v>
      </x:c>
      <x:c r="K41" s="177" t="n">
        <x:f>D41-H41</x:f>
        <x:v>0</x:v>
      </x:c>
      <x:c r="L41" s="177" t="n">
        <x:f>E41-I41</x:f>
        <x:v>0</x:v>
      </x:c>
      <x:c r="M41" s="177" t="n">
        <x:f>F41-J41</x:f>
        <x:v>0</x:v>
      </x:c>
      <x:c r="N41" s="19" t="str">
        <x:f>IF(MAX(ABS(K41),ABS(L41),ABS(M41))&lt;=0.01,"PASS","FAIL")</x:f>
        <x:v>PASS</x:v>
      </x:c>
      <x:c r="O41" s="19" t="str">
        <x:v>两车共享+23.3kWh LFP整包成本锚。</x:v>
      </x:c>
    </x:row>
    <x:row r="42" ht="48" customHeight="1">
      <x:c r="A42" s="150" t="str">
        <x:v>X02_CHASSIS_BUILD</x:v>
      </x:c>
      <x:c r="B42" s="150" t="str">
        <x:v>M04_CHASSIS</x:v>
      </x:c>
      <x:c r="C42" s="150" t="str">
        <x:v>SU7 标准→Pro</x:v>
      </x:c>
      <x:c r="D42" s="151" t="n">
        <x:f>SUMIFS('03_模块汇总'!$D$7:$D$56,'03_模块汇总'!$A$7:$A$56,"BR-SU7-STD-PRO",'03_模块汇总'!$C$7:$C$56,"M04_CHASSIS")</x:f>
        <x:v>5600</x:v>
      </x:c>
      <x:c r="E42" s="151" t="n">
        <x:f>SUMIFS('03_模块汇总'!$E$7:$E$56,'03_模块汇总'!$A$7:$A$56,"BR-SU7-STD-PRO",'03_模块汇总'!$C$7:$C$56,"M04_CHASSIS")</x:f>
        <x:v>7500</x:v>
      </x:c>
      <x:c r="F42" s="151" t="n">
        <x:f>SUMIFS('03_模块汇总'!$F$7:$F$56,'03_模块汇总'!$A$7:$A$56,"BR-SU7-STD-PRO",'03_模块汇总'!$C$7:$C$56,"M04_CHASSIS")</x:f>
        <x:v>9500</x:v>
      </x:c>
      <x:c r="G42" s="151" t="str">
        <x:v>YU7 标准→长续航 + 长续航→Pro</x:v>
      </x:c>
      <x:c r="H42" s="151" t="n">
        <x:f>SUMIFS('03_模块汇总'!$D$7:$D$56,'03_模块汇总'!$A$7:$A$56,"BR-YU7-STD-LR",'03_模块汇总'!$C$7:$C$56,"M04_CHASSIS")+SUMIFS('03_模块汇总'!$D$7:$D$56,'03_模块汇总'!$A$7:$A$56,"BR-YU7-LR-PRO",'03_模块汇总'!$C$7:$C$56,"M04_CHASSIS")</x:f>
        <x:v>5600</x:v>
      </x:c>
      <x:c r="I42" s="151" t="n">
        <x:f>SUMIFS('03_模块汇总'!$E$7:$E$56,'03_模块汇总'!$A$7:$A$56,"BR-YU7-STD-LR",'03_模块汇总'!$C$7:$C$56,"M04_CHASSIS")+SUMIFS('03_模块汇总'!$E$7:$E$56,'03_模块汇总'!$A$7:$A$56,"BR-YU7-LR-PRO",'03_模块汇总'!$C$7:$C$56,"M04_CHASSIS")</x:f>
        <x:v>7500</x:v>
      </x:c>
      <x:c r="J42" s="151" t="n">
        <x:f>SUMIFS('03_模块汇总'!$F$7:$F$56,'03_模块汇总'!$A$7:$A$56,"BR-YU7-STD-LR",'03_模块汇总'!$C$7:$C$56,"M04_CHASSIS")+SUMIFS('03_模块汇总'!$F$7:$F$56,'03_模块汇总'!$A$7:$A$56,"BR-YU7-LR-PRO",'03_模块汇总'!$C$7:$C$56,"M04_CHASSIS")</x:f>
        <x:v>9500</x:v>
      </x:c>
      <x:c r="K42" s="177" t="n">
        <x:f>D42-H42</x:f>
        <x:v>0</x:v>
      </x:c>
      <x:c r="L42" s="177" t="n">
        <x:f>E42-I42</x:f>
        <x:v>0</x:v>
      </x:c>
      <x:c r="M42" s="177" t="n">
        <x:f>F42-J42</x:f>
        <x:v>0</x:v>
      </x:c>
      <x:c r="N42" s="150" t="str">
        <x:f>IF(MAX(ABS(K42),ABS(L42),ABS(M42))&lt;=0.01,"PASS","FAIL")</x:f>
        <x:v>PASS</x:v>
      </x:c>
      <x:c r="O42" s="150" t="str">
        <x:v>SU7一次获得CDC+空悬；YU7分两级获得。</x:v>
      </x:c>
    </x:row>
    <x:row r="43" ht="48" customHeight="1">
      <x:c r="A43" s="19" t="str">
        <x:v>X03_EDRIVE_BUILD</x:v>
      </x:c>
      <x:c r="B43" s="19" t="str">
        <x:v>M02_EDRIVE</x:v>
      </x:c>
      <x:c r="C43" s="19" t="str">
        <x:v>SU7 Pro→Max</x:v>
      </x:c>
      <x:c r="D43" s="21" t="n">
        <x:f>SUMIFS('03_模块汇总'!$D$7:$D$56,'03_模块汇总'!$A$7:$A$56,"BR-SU7-PRO-MAX",'03_模块汇总'!$C$7:$C$56,"M02_EDRIVE")</x:f>
        <x:v>7000</x:v>
      </x:c>
      <x:c r="E43" s="21" t="n">
        <x:f>SUMIFS('03_模块汇总'!$E$7:$E$56,'03_模块汇总'!$A$7:$A$56,"BR-SU7-PRO-MAX",'03_模块汇总'!$C$7:$C$56,"M02_EDRIVE")</x:f>
        <x:v>9500</x:v>
      </x:c>
      <x:c r="F43" s="21" t="n">
        <x:f>SUMIFS('03_模块汇总'!$F$7:$F$56,'03_模块汇总'!$A$7:$A$56,"BR-SU7-PRO-MAX",'03_模块汇总'!$C$7:$C$56,"M02_EDRIVE")</x:f>
        <x:v>12500</x:v>
      </x:c>
      <x:c r="G43" s="21" t="str">
        <x:v>YU7 长续航→Pro + Pro→Max</x:v>
      </x:c>
      <x:c r="H43" s="21" t="n">
        <x:f>SUMIFS('03_模块汇总'!$D$7:$D$56,'03_模块汇总'!$A$7:$A$56,"BR-YU7-LR-PRO",'03_模块汇总'!$C$7:$C$56,"M02_EDRIVE")+SUMIFS('03_模块汇总'!$D$7:$D$56,'03_模块汇总'!$A$7:$A$56,"BR-YU7-PRO-MAX",'03_模块汇总'!$C$7:$C$56,"M02_EDRIVE")</x:f>
        <x:v>7000</x:v>
      </x:c>
      <x:c r="I43" s="21" t="n">
        <x:f>SUMIFS('03_模块汇总'!$E$7:$E$56,'03_模块汇总'!$A$7:$A$56,"BR-YU7-LR-PRO",'03_模块汇总'!$C$7:$C$56,"M02_EDRIVE")+SUMIFS('03_模块汇总'!$E$7:$E$56,'03_模块汇总'!$A$7:$A$56,"BR-YU7-PRO-MAX",'03_模块汇总'!$C$7:$C$56,"M02_EDRIVE")</x:f>
        <x:v>9500</x:v>
      </x:c>
      <x:c r="J43" s="21" t="n">
        <x:f>SUMIFS('03_模块汇总'!$F$7:$F$56,'03_模块汇总'!$A$7:$A$56,"BR-YU7-LR-PRO",'03_模块汇总'!$C$7:$C$56,"M02_EDRIVE")+SUMIFS('03_模块汇总'!$F$7:$F$56,'03_模块汇总'!$A$7:$A$56,"BR-YU7-PRO-MAX",'03_模块汇总'!$C$7:$C$56,"M02_EDRIVE")</x:f>
        <x:v>12500</x:v>
      </x:c>
      <x:c r="K43" s="177" t="n">
        <x:f>D43-H43</x:f>
        <x:v>0</x:v>
      </x:c>
      <x:c r="L43" s="177" t="n">
        <x:f>E43-I43</x:f>
        <x:v>0</x:v>
      </x:c>
      <x:c r="M43" s="177" t="n">
        <x:f>F43-J43</x:f>
        <x:v>0</x:v>
      </x:c>
      <x:c r="N43" s="19" t="str">
        <x:f>IF(MAX(ABS(K43),ABS(L43),ABS(M43))&lt;=0.01,"PASS","FAIL")</x:f>
        <x:v>PASS</x:v>
      </x:c>
      <x:c r="O43" s="19" t="str">
        <x:v>SU7从235直升508；YU7以235→365→508两步完成。</x:v>
      </x:c>
    </x:row>
    <x:row r="44" ht="48" customHeight="1">
      <x:c r="A44" s="150" t="str">
        <x:v>X04_BAT_MAX</x:v>
      </x:c>
      <x:c r="B44" s="150" t="str">
        <x:v>M01_BATTERY</x:v>
      </x:c>
      <x:c r="C44" s="150" t="str">
        <x:v>SU7 Pro→Max</x:v>
      </x:c>
      <x:c r="D44" s="151" t="n">
        <x:f>SUMIFS('03_模块汇总'!$D$7:$D$56,'03_模块汇总'!$A$7:$A$56,"BR-SU7-PRO-MAX",'03_模块汇总'!$C$7:$C$56,"M01_BATTERY")</x:f>
        <x:v>21006</x:v>
      </x:c>
      <x:c r="E44" s="151" t="n">
        <x:f>SUMIFS('03_模块汇总'!$E$7:$E$56,'03_模块汇总'!$A$7:$A$56,"BR-SU7-PRO-MAX",'03_模块汇总'!$C$7:$C$56,"M01_BATTERY")</x:f>
        <x:v>25506</x:v>
      </x:c>
      <x:c r="F44" s="151" t="n">
        <x:f>SUMIFS('03_模块汇总'!$F$7:$F$56,'03_模块汇总'!$A$7:$A$56,"BR-SU7-PRO-MAX",'03_模块汇总'!$C$7:$C$56,"M01_BATTERY")</x:f>
        <x:v>29097</x:v>
      </x:c>
      <x:c r="G44" s="151" t="str">
        <x:v>YU7 Pro→Max</x:v>
      </x:c>
      <x:c r="H44" s="151" t="n">
        <x:f>SUMIFS('03_模块汇总'!$D$7:$D$56,'03_模块汇总'!$A$7:$A$56,"BR-YU7-PRO-MAX",'03_模块汇总'!$C$7:$C$56,"M01_BATTERY")</x:f>
        <x:v>21006</x:v>
      </x:c>
      <x:c r="I44" s="151" t="n">
        <x:f>SUMIFS('03_模块汇总'!$E$7:$E$56,'03_模块汇总'!$A$7:$A$56,"BR-YU7-PRO-MAX",'03_模块汇总'!$C$7:$C$56,"M01_BATTERY")</x:f>
        <x:v>25506</x:v>
      </x:c>
      <x:c r="J44" s="151" t="n">
        <x:f>SUMIFS('03_模块汇总'!$F$7:$F$56,'03_模块汇总'!$A$7:$A$56,"BR-YU7-PRO-MAX",'03_模块汇总'!$C$7:$C$56,"M01_BATTERY")</x:f>
        <x:v>29097</x:v>
      </x:c>
      <x:c r="K44" s="177" t="n">
        <x:f>D44-H44</x:f>
        <x:v>0</x:v>
      </x:c>
      <x:c r="L44" s="177" t="n">
        <x:f>E44-I44</x:f>
        <x:v>0</x:v>
      </x:c>
      <x:c r="M44" s="177" t="n">
        <x:f>F44-J44</x:f>
        <x:v>0</x:v>
      </x:c>
      <x:c r="N44" s="150" t="str">
        <x:f>IF(MAX(ABS(K44),ABS(L44),ABS(M44))&lt;=0.01,"PASS","FAIL")</x:f>
        <x:v>PASS</x:v>
      </x:c>
      <x:c r="O44" s="150" t="str">
        <x:v>两条Max桥共享96.3LFP→101.7三元整包置换。</x:v>
      </x:c>
    </x:row>
    <x:row r="45" ht="48" customHeight="1">
      <x:c r="A45" s="19" t="str">
        <x:v>X05_HV_MAX</x:v>
      </x:c>
      <x:c r="B45" s="19" t="str">
        <x:v>M03_HIGH_VOLTAGE</x:v>
      </x:c>
      <x:c r="C45" s="19" t="str">
        <x:v>SU7 Pro→Max</x:v>
      </x:c>
      <x:c r="D45" s="21" t="n">
        <x:f>SUMIFS('03_模块汇总'!$D$7:$D$56,'03_模块汇总'!$A$7:$A$56,"BR-SU7-PRO-MAX",'03_模块汇总'!$C$7:$C$56,"M03_HIGH_VOLTAGE")</x:f>
        <x:v>800</x:v>
      </x:c>
      <x:c r="E45" s="21" t="n">
        <x:f>SUMIFS('03_模块汇总'!$E$7:$E$56,'03_模块汇总'!$A$7:$A$56,"BR-SU7-PRO-MAX",'03_模块汇总'!$C$7:$C$56,"M03_HIGH_VOLTAGE")</x:f>
        <x:v>1500</x:v>
      </x:c>
      <x:c r="F45" s="21" t="n">
        <x:f>SUMIFS('03_模块汇总'!$F$7:$F$56,'03_模块汇总'!$A$7:$A$56,"BR-SU7-PRO-MAX",'03_模块汇总'!$C$7:$C$56,"M03_HIGH_VOLTAGE")</x:f>
        <x:v>2500</x:v>
      </x:c>
      <x:c r="G45" s="21" t="str">
        <x:v>YU7 Pro→Max</x:v>
      </x:c>
      <x:c r="H45" s="21" t="n">
        <x:f>SUMIFS('03_模块汇总'!$D$7:$D$56,'03_模块汇总'!$A$7:$A$56,"BR-YU7-PRO-MAX",'03_模块汇总'!$C$7:$C$56,"M03_HIGH_VOLTAGE")</x:f>
        <x:v>800</x:v>
      </x:c>
      <x:c r="I45" s="21" t="n">
        <x:f>SUMIFS('03_模块汇总'!$E$7:$E$56,'03_模块汇总'!$A$7:$A$56,"BR-YU7-PRO-MAX",'03_模块汇总'!$C$7:$C$56,"M03_HIGH_VOLTAGE")</x:f>
        <x:v>1500</x:v>
      </x:c>
      <x:c r="J45" s="21" t="n">
        <x:f>SUMIFS('03_模块汇总'!$F$7:$F$56,'03_模块汇总'!$A$7:$A$56,"BR-YU7-PRO-MAX",'03_模块汇总'!$C$7:$C$56,"M03_HIGH_VOLTAGE")</x:f>
        <x:v>2500</x:v>
      </x:c>
      <x:c r="K45" s="177" t="n">
        <x:f>D45-H45</x:f>
        <x:v>0</x:v>
      </x:c>
      <x:c r="L45" s="177" t="n">
        <x:f>E45-I45</x:f>
        <x:v>0</x:v>
      </x:c>
      <x:c r="M45" s="177" t="n">
        <x:f>F45-J45</x:f>
        <x:v>0</x:v>
      </x:c>
      <x:c r="N45" s="19" t="str">
        <x:f>IF(MAX(ABS(K45),ABS(L45),ABS(M45))&lt;=0.01,"PASS","FAIL")</x:f>
        <x:v>PASS</x:v>
      </x:c>
      <x:c r="O45" s="19" t="str">
        <x:v>两条Max桥共享752→897V包外高压增量。</x:v>
      </x:c>
    </x:row>
  </x:sheetData>
  <x:mergeCells>
    <x:mergeCell ref="A1:O1"/>
    <x:mergeCell ref="A2:O2"/>
    <x:mergeCell ref="A3:O3"/>
    <x:mergeCell ref="F5:O5"/>
    <x:mergeCell ref="G7:J7"/>
    <x:mergeCell ref="K7:M7"/>
    <x:mergeCell ref="N7:O7"/>
    <x:mergeCell ref="G8:J8"/>
    <x:mergeCell ref="K8:M8"/>
    <x:mergeCell ref="N8:O8"/>
    <x:mergeCell ref="G9:J9"/>
    <x:mergeCell ref="K9:M9"/>
    <x:mergeCell ref="N9:O9"/>
    <x:mergeCell ref="G10:J10"/>
    <x:mergeCell ref="K10:M10"/>
    <x:mergeCell ref="N10:O10"/>
    <x:mergeCell ref="G11:J11"/>
    <x:mergeCell ref="K11:M11"/>
    <x:mergeCell ref="N11:O11"/>
    <x:mergeCell ref="A29:D29"/>
    <x:mergeCell ref="B30:D30"/>
    <x:mergeCell ref="B31:D31"/>
    <x:mergeCell ref="B32:D32"/>
    <x:mergeCell ref="B33:D33"/>
    <x:mergeCell ref="A35:O35"/>
    <x:mergeCell ref="A36:O36"/>
    <x:mergeCell ref="A39:O39"/>
  </x:mergeCells>
  <x:conditionalFormatting sqref="N41:N45">
    <x:cfRule type="containsText" dxfId="116" priority="1" operator="containsText" text="PASS"/>
    <x:cfRule type="containsText" dxfId="117" priority="2" operator="containsText" text="READY"/>
    <x:cfRule type="containsText" dxfId="118" priority="3" operator="containsText" text="SELECT"/>
    <x:cfRule type="containsText" dxfId="119" priority="4" operator="containsText" text="A_STRICT"/>
    <x:cfRule type="containsText" dxfId="120" priority="5" operator="containsText" text="B_"/>
    <x:cfRule type="containsText" dxfId="121" priority="6" operator="containsText" text="EXCLUDE"/>
    <x:cfRule type="containsText" dxfId="122" priority="7" operator="containsText" text="FAIL"/>
    <x:cfRule type="containsText" dxfId="123" priority="8" operator="containsText" text="REVIEW"/>
  </x:conditionalFormatting>
  <x:pageMargins left="0.7" right="0.7" top="0.75" bottom="0.75" header="0.3" footer="0.3"/>
  <x:drawing xmlns:r="http://schemas.openxmlformats.org/officeDocument/2006/relationships" r:id="Rec5728b96aa0451b"/>
</x:worksheet>
</file>

<file path=xl/worksheets/sheet2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49" hidden="0" customWidth="1"/>
    <x:col min="3" max="3" width="20" hidden="0" customWidth="1"/>
    <x:col min="4" max="4" width="20" hidden="0" customWidth="1"/>
    <x:col min="5" max="5" width="14" hidden="0" customWidth="1"/>
    <x:col min="6" max="6" width="13" hidden="0" customWidth="1"/>
    <x:col min="7" max="7" width="58" hidden="0" customWidth="1"/>
  </x:cols>
  <x:sheetData>
    <x:row r="1" ht="30" customHeight="1">
      <x:c r="A1" s="137" t="str">
        <x:v>22｜Phase 2.3A 模型校验</x:v>
      </x:c>
      <x:c r="B1" s="137"/>
      <x:c r="C1" s="137"/>
      <x:c r="D1" s="137"/>
      <x:c r="E1" s="137"/>
      <x:c r="F1" s="137"/>
      <x:c r="G1" s="137"/>
    </x:row>
    <x:row r="2" ht="22" customHeight="1">
      <x:c r="A2" s="140" t="str">
        <x:v>上游Phase 2.2 + 七车底表 + 12候选配对 + 4入选桥 + 10条已知差异原子 + 5条模块三角关系｜所有Actual均由公式回链</x:v>
      </x:c>
      <x:c r="B2" s="140"/>
      <x:c r="C2" s="140"/>
      <x:c r="D2" s="140"/>
      <x:c r="E2" s="140"/>
      <x:c r="F2" s="140"/>
      <x:c r="G2" s="140"/>
    </x:row>
    <x:row r="3" ht="42" customHeight="1">
      <x:c r="A3" s="144" t="str">
        <x:v>PASS仅表示配对逻辑、来源回链和恒等式成立，不表示跨车身绝对BOM或消费者愿付价值已被精确识别。</x:v>
      </x:c>
      <x:c r="B3" s="144"/>
      <x:c r="C3" s="144"/>
      <x:c r="D3" s="144"/>
      <x:c r="E3" s="144"/>
      <x:c r="F3" s="144"/>
      <x:c r="G3" s="144"/>
    </x:row>
    <x:row r="5">
      <x:c r="A5" s="200" t="str">
        <x:v>MODEL STATUS由全部校验聚合；任一FAIL均不得进入Phase 2.3B。</x:v>
      </x:c>
      <x:c r="B5" s="200"/>
      <x:c r="C5" s="200"/>
      <x:c r="D5" s="200"/>
      <x:c r="E5" s="200"/>
      <x:c r="F5" s="200"/>
      <x:c r="G5" s="200"/>
    </x:row>
    <x:row r="6" ht="40" customHeight="1">
      <x:c r="A6" s="149" t="str">
        <x:v>check_id</x:v>
      </x:c>
      <x:c r="B6" s="149" t="str">
        <x:v>校验内容</x:v>
      </x:c>
      <x:c r="C6" s="149" t="str">
        <x:v>Expected</x:v>
      </x:c>
      <x:c r="D6" s="149" t="str">
        <x:v>Actual</x:v>
      </x:c>
      <x:c r="E6" s="149" t="str">
        <x:v>Tolerance</x:v>
      </x:c>
      <x:c r="F6" s="149" t="str">
        <x:v>Status</x:v>
      </x:c>
      <x:c r="G6" s="149" t="str">
        <x:v>说明</x:v>
      </x:c>
    </x:row>
    <x:row r="7" ht="34" customHeight="1">
      <x:c r="A7" s="19" t="str">
        <x:v>C01_UPSTREAM_FAIL</x:v>
      </x:c>
      <x:c r="B7" s="19" t="str">
        <x:v>Phase 2.2上游失败项</x:v>
      </x:c>
      <x:c r="C7" s="203" t="n">
        <x:v>0</x:v>
      </x:c>
      <x:c r="D7" s="133" t="n">
        <x:f>COUNTIF('17_校验'!$E$7:$E$54,"FAIL")</x:f>
        <x:v>0</x:v>
      </x:c>
      <x:c r="E7" s="62" t="n">
        <x:v>0</x:v>
      </x:c>
      <x:c r="F7" s="19" t="str">
        <x:f>IF(ABS(D7-C7)&lt;=E7,"PASS","FAIL")</x:f>
        <x:v>PASS</x:v>
      </x:c>
      <x:c r="G7" s="19" t="str">
        <x:v>上游48项必须全过。</x:v>
      </x:c>
    </x:row>
    <x:row r="8" ht="34" customHeight="1">
      <x:c r="A8" s="150" t="str">
        <x:v>C02_BASE_SAMPLES</x:v>
      </x:c>
      <x:c r="B8" s="150" t="str">
        <x:v>跨系底表样本数</x:v>
      </x:c>
      <x:c r="C8" s="203" t="n">
        <x:v>7</x:v>
      </x:c>
      <x:c r="D8" s="204" t="n">
        <x:f>COUNTA('18_跨系底表'!$A$7:$A$13)</x:f>
        <x:v>7</x:v>
      </x:c>
      <x:c r="E8" s="201" t="n">
        <x:v>0</x:v>
      </x:c>
      <x:c r="F8" s="150" t="str">
        <x:f>IF(ABS(D8-C8)&lt;=E8,"PASS","FAIL")</x:f>
        <x:v>PASS</x:v>
      </x:c>
      <x:c r="G8" s="150" t="str">
        <x:v>3款SU7+4款YU7。</x:v>
      </x:c>
    </x:row>
    <x:row r="9" ht="34" customHeight="1">
      <x:c r="A9" s="19" t="str">
        <x:v>C03_SU7_SAMPLES</x:v>
      </x:c>
      <x:c r="B9" s="19" t="str">
        <x:v>SU7样本数</x:v>
      </x:c>
      <x:c r="C9" s="203" t="n">
        <x:v>3</x:v>
      </x:c>
      <x:c r="D9" s="133" t="n">
        <x:f>COUNTIF('18_跨系底表'!$B$7:$B$13,"SU7")</x:f>
        <x:v>3</x:v>
      </x:c>
      <x:c r="E9" s="62" t="n">
        <x:v>0</x:v>
      </x:c>
      <x:c r="F9" s="19" t="str">
        <x:f>IF(ABS(D9-C9)&lt;=E9,"PASS","FAIL")</x:f>
        <x:v>PASS</x:v>
      </x:c>
      <x:c r="G9" s="19" t="str">
        <x:v>普通梯度3款。</x:v>
      </x:c>
    </x:row>
    <x:row r="10" ht="34" customHeight="1">
      <x:c r="A10" s="150" t="str">
        <x:v>C04_YU7_SAMPLES</x:v>
      </x:c>
      <x:c r="B10" s="150" t="str">
        <x:v>YU7样本数</x:v>
      </x:c>
      <x:c r="C10" s="203" t="n">
        <x:v>4</x:v>
      </x:c>
      <x:c r="D10" s="204" t="n">
        <x:f>COUNTIF('18_跨系底表'!$B$7:$B$13,"YU7")</x:f>
        <x:v>4</x:v>
      </x:c>
      <x:c r="E10" s="201" t="n">
        <x:v>0</x:v>
      </x:c>
      <x:c r="F10" s="150" t="str">
        <x:f>IF(ABS(D10-C10)&lt;=E10,"PASS","FAIL")</x:f>
        <x:v>PASS</x:v>
      </x:c>
      <x:c r="G10" s="150" t="str">
        <x:v>普通梯度4款。</x:v>
      </x:c>
    </x:row>
    <x:row r="11" ht="34" customHeight="1">
      <x:c r="A11" s="19" t="str">
        <x:v>C05_GT_EXCLUDED</x:v>
      </x:c>
      <x:c r="B11" s="19" t="str">
        <x:v>新页GT出现次数</x:v>
      </x:c>
      <x:c r="C11" s="203" t="n">
        <x:v>0</x:v>
      </x:c>
      <x:c r="D11" s="133" t="n">
        <x:f>COUNTIF('18_跨系底表'!$A$7:$D$13,"*GT*")+COUNTIF('19_同硬件匹配'!$A$7:$N$31,"*GT*")</x:f>
        <x:v>0</x:v>
      </x:c>
      <x:c r="E11" s="62" t="n">
        <x:v>0</x:v>
      </x:c>
      <x:c r="F11" s="19" t="str">
        <x:f>IF(ABS(D11-C11)&lt;=E11,"PASS","FAIL")</x:f>
        <x:v>PASS</x:v>
      </x:c>
      <x:c r="G11" s="19" t="str">
        <x:v>GT不进入普通梯度匹配。</x:v>
      </x:c>
    </x:row>
    <x:row r="12" ht="34" customHeight="1">
      <x:c r="A12" s="150" t="str">
        <x:v>C06_PAIR_GRID</x:v>
      </x:c>
      <x:c r="B12" s="150" t="str">
        <x:v>完整候选配对数</x:v>
      </x:c>
      <x:c r="C12" s="203" t="n">
        <x:v>12</x:v>
      </x:c>
      <x:c r="D12" s="204" t="n">
        <x:f>COUNTA('19_同硬件匹配'!$A$8:$A$19)</x:f>
        <x:v>12</x:v>
      </x:c>
      <x:c r="E12" s="201" t="n">
        <x:v>0</x:v>
      </x:c>
      <x:c r="F12" s="150" t="str">
        <x:f>IF(ABS(D12-C12)&lt;=E12,"PASS","FAIL")</x:f>
        <x:v>PASS</x:v>
      </x:c>
      <x:c r="G12" s="150" t="str">
        <x:v>3×4完整枚举。</x:v>
      </x:c>
    </x:row>
    <x:row r="13" ht="34" customHeight="1">
      <x:c r="A13" s="19" t="str">
        <x:v>C07_SELECTED</x:v>
      </x:c>
      <x:c r="B13" s="19" t="str">
        <x:v>入选配对数</x:v>
      </x:c>
      <x:c r="C13" s="203" t="n">
        <x:v>4</x:v>
      </x:c>
      <x:c r="D13" s="133" t="n">
        <x:f>COUNTIF('19_同硬件匹配'!$K$8:$K$19,"SELECT")</x:f>
        <x:v>4</x:v>
      </x:c>
      <x:c r="E13" s="62" t="n">
        <x:v>0</x:v>
      </x:c>
      <x:c r="F13" s="19" t="str">
        <x:f>IF(ABS(D13-C13)&lt;=E13,"PASS","FAIL")</x:f>
        <x:v>PASS</x:v>
      </x:c>
      <x:c r="G13" s="19" t="str">
        <x:v>2强锚+2铰链。</x:v>
      </x:c>
    </x:row>
    <x:row r="14" ht="34" customHeight="1">
      <x:c r="A14" s="150" t="str">
        <x:v>C08_STRICT</x:v>
      </x:c>
      <x:c r="B14" s="150" t="str">
        <x:v>严格强锚数</x:v>
      </x:c>
      <x:c r="C14" s="203" t="n">
        <x:v>2</x:v>
      </x:c>
      <x:c r="D14" s="204" t="n">
        <x:f>COUNTIF('19_同硬件匹配'!$J$8:$J$19,"A_STRICT")</x:f>
        <x:v>2</x:v>
      </x:c>
      <x:c r="E14" s="201" t="n">
        <x:v>0</x:v>
      </x:c>
      <x:c r="F14" s="150" t="str">
        <x:f>IF(ABS(D14-C14)&lt;=E14,"PASS","FAIL")</x:f>
        <x:v>PASS</x:v>
      </x:c>
      <x:c r="G14" s="150" t="str">
        <x:v>标准与Max。</x:v>
      </x:c>
    </x:row>
    <x:row r="15" ht="34" customHeight="1">
      <x:c r="A15" s="19" t="str">
        <x:v>C09_CHASSIS_ADJ</x:v>
      </x:c>
      <x:c r="B15" s="19" t="str">
        <x:v>底盘调整配对数</x:v>
      </x:c>
      <x:c r="C15" s="203" t="n">
        <x:v>1</x:v>
      </x:c>
      <x:c r="D15" s="133" t="n">
        <x:f>COUNTIF('19_同硬件匹配'!$J$8:$J$19,"B_CHASSIS_ADJ")</x:f>
        <x:v>1</x:v>
      </x:c>
      <x:c r="E15" s="62" t="n">
        <x:v>0</x:v>
      </x:c>
      <x:c r="F15" s="19" t="str">
        <x:f>IF(ABS(D15-C15)&lt;=E15,"PASS","FAIL")</x:f>
        <x:v>PASS</x:v>
      </x:c>
      <x:c r="G15" s="19" t="str">
        <x:v>SU7 Pro↔YU7长续航。</x:v>
      </x:c>
    </x:row>
    <x:row r="16" ht="34" customHeight="1">
      <x:c r="A16" s="150" t="str">
        <x:v>C10_DRIVE_ADJ</x:v>
      </x:c>
      <x:c r="B16" s="150" t="str">
        <x:v>电驱调整配对数</x:v>
      </x:c>
      <x:c r="C16" s="203" t="n">
        <x:v>1</x:v>
      </x:c>
      <x:c r="D16" s="204" t="n">
        <x:f>COUNTIF('19_同硬件匹配'!$J$8:$J$19,"B_DRIVE_ADJ")</x:f>
        <x:v>1</x:v>
      </x:c>
      <x:c r="E16" s="201" t="n">
        <x:v>0</x:v>
      </x:c>
      <x:c r="F16" s="150" t="str">
        <x:f>IF(ABS(D16-C16)&lt;=E16,"PASS","FAIL")</x:f>
        <x:v>PASS</x:v>
      </x:c>
      <x:c r="G16" s="150" t="str">
        <x:v>SU7 Pro↔YU7 Pro。</x:v>
      </x:c>
    </x:row>
    <x:row r="17" ht="34" customHeight="1">
      <x:c r="A17" s="19" t="str">
        <x:v>C11_EXCLUDED</x:v>
      </x:c>
      <x:c r="B17" s="19" t="str">
        <x:v>排除配对数</x:v>
      </x:c>
      <x:c r="C17" s="203" t="n">
        <x:v>8</x:v>
      </x:c>
      <x:c r="D17" s="133" t="n">
        <x:f>COUNTIF('19_同硬件匹配'!$K$8:$K$19,"EXCLUDE")</x:f>
        <x:v>8</x:v>
      </x:c>
      <x:c r="E17" s="62" t="n">
        <x:v>0</x:v>
      </x:c>
      <x:c r="F17" s="19" t="str">
        <x:f>IF(ABS(D17-C17)&lt;=E17,"PASS","FAIL")</x:f>
        <x:v>PASS</x:v>
      </x:c>
      <x:c r="G17" s="19" t="str">
        <x:v>其余至少两个核心组不一致。</x:v>
      </x:c>
    </x:row>
    <x:row r="18" ht="34" customHeight="1">
      <x:c r="A18" s="150" t="str">
        <x:v>C12_DIRECTION_POSITIVE</x:v>
      </x:c>
      <x:c r="B18" s="150" t="str">
        <x:v>入选桥未税价差为正的数量</x:v>
      </x:c>
      <x:c r="C18" s="203" t="n">
        <x:v>4</x:v>
      </x:c>
      <x:c r="D18" s="204" t="n">
        <x:f>COUNTIFS('19_同硬件匹配'!$K$8:$K$19,"SELECT",'19_同硬件匹配'!$M$8:$M$19,"&gt;0")</x:f>
        <x:v>4</x:v>
      </x:c>
      <x:c r="E18" s="201" t="n">
        <x:v>0</x:v>
      </x:c>
      <x:c r="F18" s="150" t="str">
        <x:f>IF(ABS(D18-C18)&lt;=E18,"PASS","FAIL")</x:f>
        <x:v>PASS</x:v>
      </x:c>
      <x:c r="G18" s="150" t="str">
        <x:v>方向统一YU7−SU7。</x:v>
      </x:c>
    </x:row>
    <x:row r="19" ht="34" customHeight="1">
      <x:c r="A19" s="19" t="str">
        <x:v>C13_VAT_UNIQUE</x:v>
      </x:c>
      <x:c r="B19" s="19" t="str">
        <x:v>VAT低中高最大差异</x:v>
      </x:c>
      <x:c r="C19" s="203" t="n">
        <x:v>0</x:v>
      </x:c>
      <x:c r="D19" s="133" t="n">
        <x:f>MAX('01_原子成本假设'!$E$49:$G$49)-MIN('01_原子成本假设'!$E$49:$G$49)</x:f>
        <x:v>0</x:v>
      </x:c>
      <x:c r="E19" s="62" t="n">
        <x:v>1e-7</x:v>
      </x:c>
      <x:c r="F19" s="19" t="str">
        <x:f>IF(ABS(D19-C19)&lt;=E19,"PASS","FAIL")</x:f>
        <x:v>PASS</x:v>
      </x:c>
      <x:c r="G19" s="19" t="str">
        <x:v>统一13%。</x:v>
      </x:c>
    </x:row>
    <x:row r="20" ht="34" customHeight="1">
      <x:c r="A20" s="150" t="str">
        <x:v>C14_EXVAT_PRICE</x:v>
      </x:c>
      <x:c r="B20" s="150" t="str">
        <x:v>七车未税基础售价回勾最大差异</x:v>
      </x:c>
      <x:c r="C20" s="203" t="n">
        <x:v>0</x:v>
      </x:c>
      <x:c r="D20" s="204" t="n">
        <x:f>MAX(ABS('18_跨系底表'!G7-'18_跨系底表'!F7/(1+'18_跨系底表'!$B$18)),ABS('18_跨系底表'!G8-'18_跨系底表'!F8/(1+'18_跨系底表'!$B$18)),ABS('18_跨系底表'!G9-'18_跨系底表'!F9/(1+'18_跨系底表'!$B$18)),ABS('18_跨系底表'!G10-'18_跨系底表'!F10/(1+'18_跨系底表'!$B$18)),ABS('18_跨系底表'!G11-'18_跨系底表'!F11/(1+'18_跨系底表'!$B$18)),ABS('18_跨系底表'!G12-'18_跨系底表'!F12/(1+'18_跨系底表'!$B$18)),ABS('18_跨系底表'!G13-'18_跨系底表'!F13/(1+'18_跨系底表'!$B$18)))</x:f>
        <x:v>0</x:v>
      </x:c>
      <x:c r="E20" s="201" t="n">
        <x:v>0.01</x:v>
      </x:c>
      <x:c r="F20" s="150" t="str">
        <x:f>IF(ABS(D20-C20)&lt;=E20,"PASS","FAIL")</x:f>
        <x:v>PASS</x:v>
      </x:c>
      <x:c r="G20" s="150" t="str">
        <x:v>未税价=含税价÷1.13。</x:v>
      </x:c>
    </x:row>
    <x:row r="21" ht="34" customHeight="1">
      <x:c r="A21" s="19" t="str">
        <x:v>C15_PAIR_EXVAT</x:v>
      </x:c>
      <x:c r="B21" s="19" t="str">
        <x:v>12桥未税价差回勾最大差异</x:v>
      </x:c>
      <x:c r="C21" s="203" t="n">
        <x:v>0</x:v>
      </x:c>
      <x:c r="D21" s="133" t="n">
        <x:f>MAX(ABS('19_同硬件匹配'!M8-'19_同硬件匹配'!L8/(1+'18_跨系底表'!$B$18)),ABS('19_同硬件匹配'!M9-'19_同硬件匹配'!L9/(1+'18_跨系底表'!$B$18)),ABS('19_同硬件匹配'!M10-'19_同硬件匹配'!L10/(1+'18_跨系底表'!$B$18)),ABS('19_同硬件匹配'!M11-'19_同硬件匹配'!L11/(1+'18_跨系底表'!$B$18)),ABS('19_同硬件匹配'!M12-'19_同硬件匹配'!L12/(1+'18_跨系底表'!$B$18)),ABS('19_同硬件匹配'!M13-'19_同硬件匹配'!L13/(1+'18_跨系底表'!$B$18)),ABS('19_同硬件匹配'!M14-'19_同硬件匹配'!L14/(1+'18_跨系底表'!$B$18)),ABS('19_同硬件匹配'!M15-'19_同硬件匹配'!L15/(1+'18_跨系底表'!$B$18)),ABS('19_同硬件匹配'!M16-'19_同硬件匹配'!L16/(1+'18_跨系底表'!$B$18)),ABS('19_同硬件匹配'!M17-'19_同硬件匹配'!L17/(1+'18_跨系底表'!$B$18)),ABS('19_同硬件匹配'!M18-'19_同硬件匹配'!L18/(1+'18_跨系底表'!$B$18)),ABS('19_同硬件匹配'!M19-'19_同硬件匹配'!L19/(1+'18_跨系底表'!$B$18)))</x:f>
        <x:v>2.546585164964199e-11</x:v>
      </x:c>
      <x:c r="E21" s="62" t="n">
        <x:v>0.01</x:v>
      </x:c>
      <x:c r="F21" s="19" t="str">
        <x:f>IF(ABS(D21-C21)&lt;=E21,"PASS","FAIL")</x:f>
        <x:v>PASS</x:v>
      </x:c>
      <x:c r="G21" s="19" t="str">
        <x:v>同税率下价差同样除以1.13。</x:v>
      </x:c>
    </x:row>
    <x:row r="22" ht="34" customHeight="1">
      <x:c r="A22" s="150" t="str">
        <x:v>C16_STD_STRICT</x:v>
      </x:c>
      <x:c r="B22" s="150" t="str">
        <x:v>标准锚核心差异组数</x:v>
      </x:c>
      <x:c r="C22" s="203" t="n">
        <x:v>0</x:v>
      </x:c>
      <x:c r="D22" s="204" t="n">
        <x:f>'19_同硬件匹配'!$I$8</x:f>
        <x:v>0</x:v>
      </x:c>
      <x:c r="E22" s="201" t="n">
        <x:v>0</x:v>
      </x:c>
      <x:c r="F22" s="150" t="str">
        <x:f>IF(ABS(D22-C22)&lt;=E22,"PASS","FAIL")</x:f>
        <x:v>PASS</x:v>
      </x:c>
      <x:c r="G22" s="150" t="str">
        <x:v>四个核心组完全相同。</x:v>
      </x:c>
    </x:row>
    <x:row r="23" ht="34" customHeight="1">
      <x:c r="A23" s="19" t="str">
        <x:v>C17_MAX_STRICT</x:v>
      </x:c>
      <x:c r="B23" s="19" t="str">
        <x:v>Max锚核心差异组数</x:v>
      </x:c>
      <x:c r="C23" s="203" t="n">
        <x:v>0</x:v>
      </x:c>
      <x:c r="D23" s="133" t="n">
        <x:f>'19_同硬件匹配'!$I$19</x:f>
        <x:v>0</x:v>
      </x:c>
      <x:c r="E23" s="62" t="n">
        <x:v>0</x:v>
      </x:c>
      <x:c r="F23" s="19" t="str">
        <x:f>IF(ABS(D23-C23)&lt;=E23,"PASS","FAIL")</x:f>
        <x:v>PASS</x:v>
      </x:c>
      <x:c r="G23" s="19" t="str">
        <x:v>四个核心组完全相同。</x:v>
      </x:c>
    </x:row>
    <x:row r="24" ht="34" customHeight="1">
      <x:c r="A24" s="150" t="str">
        <x:v>C18_RWD96_MISMATCH</x:v>
      </x:c>
      <x:c r="B24" s="150" t="str">
        <x:v>后驱铰链核心差异组数</x:v>
      </x:c>
      <x:c r="C24" s="203" t="n">
        <x:v>1</x:v>
      </x:c>
      <x:c r="D24" s="204" t="n">
        <x:f>'19_同硬件匹配'!$I$13</x:f>
        <x:v>1</x:v>
      </x:c>
      <x:c r="E24" s="201" t="n">
        <x:v>0</x:v>
      </x:c>
      <x:c r="F24" s="150" t="str">
        <x:f>IF(ABS(D24-C24)&lt;=E24,"PASS","FAIL")</x:f>
        <x:v>PASS</x:v>
      </x:c>
      <x:c r="G24" s="150" t="str">
        <x:v>仅底盘组。</x:v>
      </x:c>
    </x:row>
    <x:row r="25" ht="34" customHeight="1">
      <x:c r="A25" s="19" t="str">
        <x:v>C19_RWD96_GRADE</x:v>
      </x:c>
      <x:c r="B25" s="19" t="str">
        <x:v>后驱铰链等级正确</x:v>
      </x:c>
      <x:c r="C25" s="203" t="n">
        <x:v>1</x:v>
      </x:c>
      <x:c r="D25" s="133" t="n">
        <x:f>IF('19_同硬件匹配'!$J$13="B_CHASSIS_ADJ",1,0)</x:f>
        <x:v>1</x:v>
      </x:c>
      <x:c r="E25" s="62" t="n">
        <x:v>0</x:v>
      </x:c>
      <x:c r="F25" s="19" t="str">
        <x:f>IF(ABS(D25-C25)&lt;=E25,"PASS","FAIL")</x:f>
        <x:v>PASS</x:v>
      </x:c>
      <x:c r="G25" s="19" t="str">
        <x:v>必须显式调双腔空悬。</x:v>
      </x:c>
    </x:row>
    <x:row r="26" ht="34" customHeight="1">
      <x:c r="A26" s="150" t="str">
        <x:v>C20_CHASSIS96_MISMATCH</x:v>
      </x:c>
      <x:c r="B26" s="150" t="str">
        <x:v>底盘铰链核心差异组数</x:v>
      </x:c>
      <x:c r="C26" s="203" t="n">
        <x:v>1</x:v>
      </x:c>
      <x:c r="D26" s="204" t="n">
        <x:f>'19_同硬件匹配'!$I$14</x:f>
        <x:v>1</x:v>
      </x:c>
      <x:c r="E26" s="201" t="n">
        <x:v>0</x:v>
      </x:c>
      <x:c r="F26" s="150" t="str">
        <x:f>IF(ABS(D26-C26)&lt;=E26,"PASS","FAIL")</x:f>
        <x:v>PASS</x:v>
      </x:c>
      <x:c r="G26" s="150" t="str">
        <x:v>仅电驱组。</x:v>
      </x:c>
    </x:row>
    <x:row r="27" ht="34" customHeight="1">
      <x:c r="A27" s="19" t="str">
        <x:v>C21_CHASSIS96_GRADE</x:v>
      </x:c>
      <x:c r="B27" s="19" t="str">
        <x:v>底盘铰链等级正确</x:v>
      </x:c>
      <x:c r="C27" s="203" t="n">
        <x:v>1</x:v>
      </x:c>
      <x:c r="D27" s="133" t="n">
        <x:f>IF('19_同硬件匹配'!$J$14="B_DRIVE_ADJ",1,0)</x:f>
        <x:v>1</x:v>
      </x:c>
      <x:c r="E27" s="62" t="n">
        <x:v>0</x:v>
      </x:c>
      <x:c r="F27" s="19" t="str">
        <x:f>IF(ABS(D27-C27)&lt;=E27,"PASS","FAIL")</x:f>
        <x:v>PASS</x:v>
      </x:c>
      <x:c r="G27" s="19" t="str">
        <x:v>必须显式调前桥电驱。</x:v>
      </x:c>
    </x:row>
    <x:row r="28" ht="34" customHeight="1">
      <x:c r="A28" s="150" t="str">
        <x:v>C22_DETAIL_ROWS</x:v>
      </x:c>
      <x:c r="B28" s="150" t="str">
        <x:v>已知差异原子行数</x:v>
      </x:c>
      <x:c r="C28" s="203" t="n">
        <x:v>10</x:v>
      </x:c>
      <x:c r="D28" s="204" t="n">
        <x:f>COUNTA('20_已知差异桥'!$C$7:$C$16)</x:f>
        <x:v>10</x:v>
      </x:c>
      <x:c r="E28" s="201" t="n">
        <x:v>0</x:v>
      </x:c>
      <x:c r="F28" s="150" t="str">
        <x:f>IF(ABS(D28-C28)&lt;=E28,"PASS","FAIL")</x:f>
        <x:v>PASS</x:v>
      </x:c>
      <x:c r="G28" s="150" t="str">
        <x:v>2+2+6。</x:v>
      </x:c>
    </x:row>
    <x:row r="29" ht="34" customHeight="1">
      <x:c r="A29" s="19" t="str">
        <x:v>C23_ASSUMPTION_LINK</x:v>
      </x:c>
      <x:c r="B29" s="19" t="str">
        <x:v>原子假设回链失败数</x:v>
      </x:c>
      <x:c r="C29" s="203" t="n">
        <x:v>0</x:v>
      </x:c>
      <x:c r="D29" s="133" t="n">
        <x:f>COUNTIF('20_已知差异桥'!$M$7:$M$16,"REVIEW")</x:f>
        <x:v>0</x:v>
      </x:c>
      <x:c r="E29" s="62" t="n">
        <x:v>0</x:v>
      </x:c>
      <x:c r="F29" s="19" t="str">
        <x:f>IF(ABS(D29-C29)&lt;=E29,"PASS","FAIL")</x:f>
        <x:v>PASS</x:v>
      </x:c>
      <x:c r="G29" s="19" t="str">
        <x:v>每个assumption_id唯一存在。</x:v>
      </x:c>
    </x:row>
    <x:row r="30" ht="34" customHeight="1">
      <x:c r="A30" s="150" t="str">
        <x:v>C24_DETAIL_SIGNED</x:v>
      </x:c>
      <x:c r="B30" s="150" t="str">
        <x:v>原子差异=数量×单价最大差异</x:v>
      </x:c>
      <x:c r="C30" s="203" t="n">
        <x:v>0</x:v>
      </x:c>
      <x:c r="D30" s="204" t="n">
        <x:f>MAX(ABS('20_已知差异桥'!J7-'20_已知差异桥'!F7*'20_已知差异桥'!G7),ABS('20_已知差异桥'!K7-'20_已知差异桥'!F7*'20_已知差异桥'!H7),ABS('20_已知差异桥'!L7-'20_已知差异桥'!F7*'20_已知差异桥'!I7),ABS('20_已知差异桥'!J8-'20_已知差异桥'!F8*'20_已知差异桥'!G8),ABS('20_已知差异桥'!K8-'20_已知差异桥'!F8*'20_已知差异桥'!H8),ABS('20_已知差异桥'!L8-'20_已知差异桥'!F8*'20_已知差异桥'!I8),ABS('20_已知差异桥'!J9-'20_已知差异桥'!F9*'20_已知差异桥'!G9),ABS('20_已知差异桥'!K9-'20_已知差异桥'!F9*'20_已知差异桥'!H9),ABS('20_已知差异桥'!L9-'20_已知差异桥'!F9*'20_已知差异桥'!I9),ABS('20_已知差异桥'!J10-'20_已知差异桥'!F10*'20_已知差异桥'!G10),ABS('20_已知差异桥'!K10-'20_已知差异桥'!F10*'20_已知差异桥'!H10),ABS('20_已知差异桥'!L10-'20_已知差异桥'!F10*'20_已知差异桥'!I10),ABS('20_已知差异桥'!J11-'20_已知差异桥'!F11*'20_已知差异桥'!G11),ABS('20_已知差异桥'!K11-'20_已知差异桥'!F11*'20_已知差异桥'!H11),ABS('20_已知差异桥'!L11-'20_已知差异桥'!F11*'20_已知差异桥'!I11),ABS('20_已知差异桥'!J12-'20_已知差异桥'!F12*'20_已知差异桥'!G12),ABS('20_已知差异桥'!K12-'20_已知差异桥'!F12*'20_已知差异桥'!H12),ABS('20_已知差异桥'!L12-'20_已知差异桥'!F12*'20_已知差异桥'!I12),ABS('20_已知差异桥'!J13-'20_已知差异桥'!F13*'20_已知差异桥'!G13),ABS('20_已知差异桥'!K13-'20_已知差异桥'!F13*'20_已知差异桥'!H13),ABS('20_已知差异桥'!L13-'20_已知差异桥'!F13*'20_已知差异桥'!I13),ABS('20_已知差异桥'!J14-'20_已知差异桥'!F14*'20_已知差异桥'!G14),ABS('20_已知差异桥'!K14-'20_已知差异桥'!F14*'20_已知差异桥'!H14),ABS('20_已知差异桥'!L14-'20_已知差异桥'!F14*'20_已知差异桥'!I14),ABS('20_已知差异桥'!J15-'20_已知差异桥'!F15*'20_已知差异桥'!G15),ABS('20_已知差异桥'!K15-'20_已知差异桥'!F15*'20_已知差异桥'!H15),ABS('20_已知差异桥'!L15-'20_已知差异桥'!F15*'20_已知差异桥'!I15),ABS('20_已知差异桥'!J16-'20_已知差异桥'!F16*'20_已知差异桥'!G16),ABS('20_已知差异桥'!K16-'20_已知差异桥'!F16*'20_已知差异桥'!H16),ABS('20_已知差异桥'!L16-'20_已知差异桥'!F16*'20_已知差异桥'!I16))</x:f>
        <x:v>0</x:v>
      </x:c>
      <x:c r="E30" s="201" t="n">
        <x:v>0.01</x:v>
      </x:c>
      <x:c r="F30" s="150" t="str">
        <x:f>IF(ABS(D30-C30)&lt;=E30,"PASS","FAIL")</x:f>
        <x:v>PASS</x:v>
      </x:c>
      <x:c r="G30" s="150" t="str">
        <x:v>方向保持YU7−SU7。</x:v>
      </x:c>
    </x:row>
    <x:row r="31" ht="34" customHeight="1">
      <x:c r="A31" s="19" t="str">
        <x:v>C25_PHYSICAL_TIE</x:v>
      </x:c>
      <x:c r="B31" s="19" t="str">
        <x:v>配对物理差汇总回勾最大差异</x:v>
      </x:c>
      <x:c r="C31" s="203" t="n">
        <x:v>0</x:v>
      </x:c>
      <x:c r="D31" s="133" t="n">
        <x:f>MAX(ABS('20_已知差异桥'!D21-SUMIFS('20_已知差异桥'!$J$7:$J$16,'20_已知差异桥'!$A$7:$A$16,'20_已知差异桥'!A21)),ABS('20_已知差异桥'!E21-SUMIFS('20_已知差异桥'!$K$7:$K$16,'20_已知差异桥'!$A$7:$A$16,'20_已知差异桥'!A21)),ABS('20_已知差异桥'!F21-SUMIFS('20_已知差异桥'!$L$7:$L$16,'20_已知差异桥'!$A$7:$A$16,'20_已知差异桥'!A21)),ABS('20_已知差异桥'!D22-SUMIFS('20_已知差异桥'!$J$7:$J$16,'20_已知差异桥'!$A$7:$A$16,'20_已知差异桥'!A22)),ABS('20_已知差异桥'!E22-SUMIFS('20_已知差异桥'!$K$7:$K$16,'20_已知差异桥'!$A$7:$A$16,'20_已知差异桥'!A22)),ABS('20_已知差异桥'!F22-SUMIFS('20_已知差异桥'!$L$7:$L$16,'20_已知差异桥'!$A$7:$A$16,'20_已知差异桥'!A22)),ABS('20_已知差异桥'!D23-SUMIFS('20_已知差异桥'!$J$7:$J$16,'20_已知差异桥'!$A$7:$A$16,'20_已知差异桥'!A23)),ABS('20_已知差异桥'!E23-SUMIFS('20_已知差异桥'!$K$7:$K$16,'20_已知差异桥'!$A$7:$A$16,'20_已知差异桥'!A23)),ABS('20_已知差异桥'!F23-SUMIFS('20_已知差异桥'!$L$7:$L$16,'20_已知差异桥'!$A$7:$A$16,'20_已知差异桥'!A23)),ABS('20_已知差异桥'!D24-SUMIFS('20_已知差异桥'!$J$7:$J$16,'20_已知差异桥'!$A$7:$A$16,'20_已知差异桥'!A24)),ABS('20_已知差异桥'!E24-SUMIFS('20_已知差异桥'!$K$7:$K$16,'20_已知差异桥'!$A$7:$A$16,'20_已知差异桥'!A24)),ABS('20_已知差异桥'!F24-SUMIFS('20_已知差异桥'!$L$7:$L$16,'20_已知差异桥'!$A$7:$A$16,'20_已知差异桥'!A24)))</x:f>
        <x:v>0</x:v>
      </x:c>
      <x:c r="E31" s="62" t="n">
        <x:v>0.01</x:v>
      </x:c>
      <x:c r="F31" s="19" t="str">
        <x:f>IF(ABS(D31-C31)&lt;=E31,"PASS","FAIL")</x:f>
        <x:v>PASS</x:v>
      </x:c>
      <x:c r="G31" s="19" t="str">
        <x:v>十条原子按pair汇总。</x:v>
      </x:c>
    </x:row>
    <x:row r="32" ht="34" customHeight="1">
      <x:c r="A32" s="150" t="str">
        <x:v>C26_M09_LOW</x:v>
      </x:c>
      <x:c r="B32" s="150" t="str">
        <x:v>M09 Low费率回勾最大差异</x:v>
      </x:c>
      <x:c r="C32" s="203" t="n">
        <x:v>0</x:v>
      </x:c>
      <x:c r="D32" s="204" t="n">
        <x:f>MAX(ABS('20_已知差异桥'!G21-'20_已知差异桥'!D21*'18_跨系底表'!$B$19),ABS('20_已知差异桥'!G22-'20_已知差异桥'!D22*'18_跨系底表'!$B$19),ABS('20_已知差异桥'!G23-'20_已知差异桥'!D23*'18_跨系底表'!$B$19),ABS('20_已知差异桥'!G24-'20_已知差异桥'!D24*'18_跨系底表'!$B$19))</x:f>
        <x:v>0</x:v>
      </x:c>
      <x:c r="E32" s="201" t="n">
        <x:v>0.01</x:v>
      </x:c>
      <x:c r="F32" s="150" t="str">
        <x:f>IF(ABS(D32-C32)&lt;=E32,"PASS","FAIL")</x:f>
        <x:v>PASS</x:v>
      </x:c>
      <x:c r="G32" s="150" t="str">
        <x:v>物理差×1%。</x:v>
      </x:c>
    </x:row>
    <x:row r="33" ht="34" customHeight="1">
      <x:c r="A33" s="19" t="str">
        <x:v>C27_M09_MID</x:v>
      </x:c>
      <x:c r="B33" s="19" t="str">
        <x:v>M09 Mid费率回勾最大差异</x:v>
      </x:c>
      <x:c r="C33" s="203" t="n">
        <x:v>0</x:v>
      </x:c>
      <x:c r="D33" s="133" t="n">
        <x:f>MAX(ABS('20_已知差异桥'!H21-'20_已知差异桥'!E21*'18_跨系底表'!$B$20),ABS('20_已知差异桥'!H22-'20_已知差异桥'!E22*'18_跨系底表'!$B$20),ABS('20_已知差异桥'!H23-'20_已知差异桥'!E23*'18_跨系底表'!$B$20),ABS('20_已知差异桥'!H24-'20_已知差异桥'!E24*'18_跨系底表'!$B$20))</x:f>
        <x:v>0</x:v>
      </x:c>
      <x:c r="E33" s="62" t="n">
        <x:v>0.01</x:v>
      </x:c>
      <x:c r="F33" s="19" t="str">
        <x:f>IF(ABS(D33-C33)&lt;=E33,"PASS","FAIL")</x:f>
        <x:v>PASS</x:v>
      </x:c>
      <x:c r="G33" s="19" t="str">
        <x:v>物理差×2%。</x:v>
      </x:c>
    </x:row>
    <x:row r="34" ht="34" customHeight="1">
      <x:c r="A34" s="150" t="str">
        <x:v>C28_M09_HIGH</x:v>
      </x:c>
      <x:c r="B34" s="150" t="str">
        <x:v>M09 High费率回勾最大差异</x:v>
      </x:c>
      <x:c r="C34" s="203" t="n">
        <x:v>0</x:v>
      </x:c>
      <x:c r="D34" s="204" t="n">
        <x:f>MAX(ABS('20_已知差异桥'!I21-'20_已知差异桥'!F21*'18_跨系底表'!$B$21),ABS('20_已知差异桥'!I22-'20_已知差异桥'!F22*'18_跨系底表'!$B$21),ABS('20_已知差异桥'!I23-'20_已知差异桥'!F23*'18_跨系底表'!$B$21),ABS('20_已知差异桥'!I24-'20_已知差异桥'!F24*'18_跨系底表'!$B$21))</x:f>
        <x:v>0</x:v>
      </x:c>
      <x:c r="E34" s="201" t="n">
        <x:v>0.01</x:v>
      </x:c>
      <x:c r="F34" s="150" t="str">
        <x:f>IF(ABS(D34-C34)&lt;=E34,"PASS","FAIL")</x:f>
        <x:v>PASS</x:v>
      </x:c>
      <x:c r="G34" s="150" t="str">
        <x:v>物理差×4%。</x:v>
      </x:c>
    </x:row>
    <x:row r="35" ht="34" customHeight="1">
      <x:c r="A35" s="19" t="str">
        <x:v>C29_M10_RATES</x:v>
      </x:c>
      <x:c r="B35" s="19" t="str">
        <x:v>M10三情景费率回勾最大差异</x:v>
      </x:c>
      <x:c r="C35" s="203" t="n">
        <x:v>0</x:v>
      </x:c>
      <x:c r="D35" s="133" t="n">
        <x:f>MAX(ABS('20_已知差异桥'!J21-'20_已知差异桥'!D21*'18_跨系底表'!$B$22),ABS('20_已知差异桥'!K21-'20_已知差异桥'!E21*'18_跨系底表'!$B$23),ABS('20_已知差异桥'!L21-'20_已知差异桥'!F21*'18_跨系底表'!$B$24),ABS('20_已知差异桥'!J22-'20_已知差异桥'!D22*'18_跨系底表'!$B$22),ABS('20_已知差异桥'!K22-'20_已知差异桥'!E22*'18_跨系底表'!$B$23),ABS('20_已知差异桥'!L22-'20_已知差异桥'!F22*'18_跨系底表'!$B$24),ABS('20_已知差异桥'!J23-'20_已知差异桥'!D23*'18_跨系底表'!$B$22),ABS('20_已知差异桥'!K23-'20_已知差异桥'!E23*'18_跨系底表'!$B$23),ABS('20_已知差异桥'!L23-'20_已知差异桥'!F23*'18_跨系底表'!$B$24),ABS('20_已知差异桥'!J24-'20_已知差异桥'!D24*'18_跨系底表'!$B$22),ABS('20_已知差异桥'!K24-'20_已知差异桥'!E24*'18_跨系底表'!$B$23),ABS('20_已知差异桥'!L24-'20_已知差异桥'!F24*'18_跨系底表'!$B$24))</x:f>
        <x:v>0</x:v>
      </x:c>
      <x:c r="E35" s="62" t="n">
        <x:v>0.01</x:v>
      </x:c>
      <x:c r="F35" s="19" t="str">
        <x:f>IF(ABS(D35-C35)&lt;=E35,"PASS","FAIL")</x:f>
        <x:v>PASS</x:v>
      </x:c>
      <x:c r="G35" s="19" t="str">
        <x:v>0.5%/1.5%/3%。</x:v>
      </x:c>
    </x:row>
    <x:row r="36" ht="34" customHeight="1">
      <x:c r="A36" s="150" t="str">
        <x:v>C30_TOTAL_IDENTITY</x:v>
      </x:c>
      <x:c r="B36" s="150" t="str">
        <x:v>已知总成本差恒等式最大差异</x:v>
      </x:c>
      <x:c r="C36" s="203" t="n">
        <x:v>0</x:v>
      </x:c>
      <x:c r="D36" s="204" t="n">
        <x:f>MAX(ABS('20_已知差异桥'!M21-SUM('20_已知差异桥'!D21,'20_已知差异桥'!G21,'20_已知差异桥'!J21)),ABS('20_已知差异桥'!N21-SUM('20_已知差异桥'!E21,'20_已知差异桥'!H21,'20_已知差异桥'!K21)),ABS('20_已知差异桥'!O21-SUM('20_已知差异桥'!F21,'20_已知差异桥'!I21,'20_已知差异桥'!L21)),ABS('20_已知差异桥'!M22-SUM('20_已知差异桥'!D22,'20_已知差异桥'!G22,'20_已知差异桥'!J22)),ABS('20_已知差异桥'!N22-SUM('20_已知差异桥'!E22,'20_已知差异桥'!H22,'20_已知差异桥'!K22)),ABS('20_已知差异桥'!O22-SUM('20_已知差异桥'!F22,'20_已知差异桥'!I22,'20_已知差异桥'!L22)),ABS('20_已知差异桥'!M23-SUM('20_已知差异桥'!D23,'20_已知差异桥'!G23,'20_已知差异桥'!J23)),ABS('20_已知差异桥'!N23-SUM('20_已知差异桥'!E23,'20_已知差异桥'!H23,'20_已知差异桥'!K23)),ABS('20_已知差异桥'!O23-SUM('20_已知差异桥'!F23,'20_已知差异桥'!I23,'20_已知差异桥'!L23)),ABS('20_已知差异桥'!M24-SUM('20_已知差异桥'!D24,'20_已知差异桥'!G24,'20_已知差异桥'!J24)),ABS('20_已知差异桥'!N24-SUM('20_已知差异桥'!E24,'20_已知差异桥'!H24,'20_已知差异桥'!K24)),ABS('20_已知差异桥'!O24-SUM('20_已知差异桥'!F24,'20_已知差异桥'!I24,'20_已知差异桥'!L24)))</x:f>
        <x:v>0</x:v>
      </x:c>
      <x:c r="E36" s="201" t="n">
        <x:v>0.01</x:v>
      </x:c>
      <x:c r="F36" s="150" t="str">
        <x:f>IF(ABS(D36-C36)&lt;=E36,"PASS","FAIL")</x:f>
        <x:v>PASS</x:v>
      </x:c>
      <x:c r="G36" s="150" t="str">
        <x:v>物理差+M09+M10。</x:v>
      </x:c>
    </x:row>
    <x:row r="37" ht="34" customHeight="1">
      <x:c r="A37" s="19" t="str">
        <x:v>C31_UNALLOCATED_IDENTITY</x:v>
      </x:c>
      <x:c r="B37" s="19" t="str">
        <x:v>未分配价差恒等式最大差异</x:v>
      </x:c>
      <x:c r="C37" s="203" t="n">
        <x:v>0</x:v>
      </x:c>
      <x:c r="D37" s="133" t="n">
        <x:f>MAX(ABS('20_已知差异桥'!P21-('20_已知差异桥'!C21-'20_已知差异桥'!M21)),ABS('20_已知差异桥'!Q21-('20_已知差异桥'!C21-'20_已知差异桥'!N21)),ABS('20_已知差异桥'!R21-('20_已知差异桥'!C21-'20_已知差异桥'!O21)),ABS('20_已知差异桥'!P22-('20_已知差异桥'!C22-'20_已知差异桥'!M22)),ABS('20_已知差异桥'!Q22-('20_已知差异桥'!C22-'20_已知差异桥'!N22)),ABS('20_已知差异桥'!R22-('20_已知差异桥'!C22-'20_已知差异桥'!O22)),ABS('20_已知差异桥'!P23-('20_已知差异桥'!C23-'20_已知差异桥'!M23)),ABS('20_已知差异桥'!Q23-('20_已知差异桥'!C23-'20_已知差异桥'!N23)),ABS('20_已知差异桥'!R23-('20_已知差异桥'!C23-'20_已知差异桥'!O23)),ABS('20_已知差异桥'!P24-('20_已知差异桥'!C24-'20_已知差异桥'!M24)),ABS('20_已知差异桥'!Q24-('20_已知差异桥'!C24-'20_已知差异桥'!N24)),ABS('20_已知差异桥'!R24-('20_已知差异桥'!C24-'20_已知差异桥'!O24)))</x:f>
        <x:v>0.0025663717096904293</x:v>
      </x:c>
      <x:c r="E37" s="62" t="n">
        <x:v>0.01</x:v>
      </x:c>
      <x:c r="F37" s="19" t="str">
        <x:f>IF(ABS(D37-C37)&lt;=E37,"PASS","FAIL")</x:f>
        <x:v>PASS</x:v>
      </x:c>
      <x:c r="G37" s="19" t="str">
        <x:v>未税价差−已知总成本差。</x:v>
      </x:c>
    </x:row>
    <x:row r="38" ht="34" customHeight="1">
      <x:c r="A38" s="150" t="str">
        <x:v>C32_RANGE_ORDER</x:v>
      </x:c>
      <x:c r="B38" s="150" t="str">
        <x:v>情景区间最小/最大错序数</x:v>
      </x:c>
      <x:c r="C38" s="203" t="n">
        <x:v>0</x:v>
      </x:c>
      <x:c r="D38" s="204" t="n">
        <x:f>IF('20_已知差异桥'!S21&lt;='20_已知差异桥'!T21,0,1)+IF('20_已知差异桥'!S22&lt;='20_已知差异桥'!T22,0,1)+IF('20_已知差异桥'!S23&lt;='20_已知差异桥'!T23,0,1)+IF('20_已知差异桥'!S24&lt;='20_已知差异桥'!T24,0,1)</x:f>
        <x:v>0</x:v>
      </x:c>
      <x:c r="E38" s="201" t="n">
        <x:v>0</x:v>
      </x:c>
      <x:c r="F38" s="150" t="str">
        <x:f>IF(ABS(D38-C38)&lt;=E38,"PASS","FAIL")</x:f>
        <x:v>PASS</x:v>
      </x:c>
      <x:c r="G38" s="150" t="str">
        <x:v>不强行要求有符号差分单调，只检查区间。</x:v>
      </x:c>
    </x:row>
    <x:row r="39" ht="34" customHeight="1">
      <x:c r="A39" s="19" t="str">
        <x:v>C33_RAW_DOUBLE_DIFF</x:v>
      </x:c>
      <x:c r="B39" s="19" t="str">
        <x:v>中间桥原始价差双重差分</x:v>
      </x:c>
      <x:c r="C39" s="203" t="n">
        <x:v>0</x:v>
      </x:c>
      <x:c r="D39" s="133" t="n">
        <x:f>('20_已知差异桥'!C23-'20_已知差异桥'!C22)-'04_售价成本校准'!G10</x:f>
        <x:v>0.0018584070930955932</x:v>
      </x:c>
      <x:c r="E39" s="62" t="n">
        <x:v>0.01</x:v>
      </x:c>
      <x:c r="F39" s="19" t="str">
        <x:f>IF(ABS(D39-C39)&lt;=E39,"PASS","FAIL")</x:f>
        <x:v>PASS</x:v>
      </x:c>
      <x:c r="G39" s="19" t="str">
        <x:v>应等于YU7长续航→Pro未税价差。</x:v>
      </x:c>
    </x:row>
    <x:row r="40" ht="34" customHeight="1">
      <x:c r="A40" s="150" t="str">
        <x:v>C34_COST_DOUBLE_DIFF</x:v>
      </x:c>
      <x:c r="B40" s="150" t="str">
        <x:v>中间桥已知成本双重差分</x:v>
      </x:c>
      <x:c r="C40" s="203" t="n">
        <x:v>0</x:v>
      </x:c>
      <x:c r="D40" s="204" t="n">
        <x:f>('20_已知差异桥'!N23-'20_已知差异桥'!N22)-'04_售价成本校准'!L10</x:f>
        <x:v>0</x:v>
      </x:c>
      <x:c r="E40" s="201" t="n">
        <x:v>0.01</x:v>
      </x:c>
      <x:c r="F40" s="150" t="str">
        <x:f>IF(ABS(D40-C40)&lt;=E40,"PASS","FAIL")</x:f>
        <x:v>PASS</x:v>
      </x:c>
      <x:c r="G40" s="150" t="str">
        <x:v>应等于该桥中情景总成本。</x:v>
      </x:c>
    </x:row>
    <x:row r="41" ht="34" customHeight="1">
      <x:c r="A41" s="19" t="str">
        <x:v>C35_RESIDUAL_DOUBLE_DIFF</x:v>
      </x:c>
      <x:c r="B41" s="19" t="str">
        <x:v>中间桥未分配价差双重差分</x:v>
      </x:c>
      <x:c r="C41" s="203" t="n">
        <x:v>0</x:v>
      </x:c>
      <x:c r="D41" s="133" t="n">
        <x:f>('20_已知差异桥'!Q23-'20_已知差异桥'!Q22)-'04_售价成本校准'!R10</x:f>
        <x:v>-1.8189894035458565e-12</x:v>
      </x:c>
      <x:c r="E41" s="62" t="n">
        <x:v>0.01</x:v>
      </x:c>
      <x:c r="F41" s="19" t="str">
        <x:f>IF(ABS(D41-C41)&lt;=E41,"PASS","FAIL")</x:f>
        <x:v>PASS</x:v>
      </x:c>
      <x:c r="G41" s="19" t="str">
        <x:v>应等于12,495.33元；不是新证据。</x:v>
      </x:c>
    </x:row>
    <x:row r="42" ht="34" customHeight="1">
      <x:c r="A42" s="150" t="str">
        <x:v>C36_PAIRING_FIRST_ORDER</x:v>
      </x:c>
      <x:c r="B42" s="150" t="str">
        <x:v>配对跨度大于成本情景跨度</x:v>
      </x:c>
      <x:c r="C42" s="203" t="n">
        <x:v>1</x:v>
      </x:c>
      <x:c r="D42" s="204" t="n">
        <x:f>IF(('20_已知差异桥'!Q23-'20_已知差异桥'!Q22)&gt;MAX('20_已知差异桥'!T22-'20_已知差异桥'!S22,'20_已知差异桥'!T23-'20_已知差异桥'!S23),1,0)</x:f>
        <x:v>1</x:v>
      </x:c>
      <x:c r="E42" s="201" t="n">
        <x:v>0</x:v>
      </x:c>
      <x:c r="F42" s="150" t="str">
        <x:f>IF(ABS(D42-C42)&lt;=E42,"PASS","FAIL")</x:f>
        <x:v>PASS</x:v>
      </x:c>
      <x:c r="G42" s="150" t="str">
        <x:v>先解决可比性。</x:v>
      </x:c>
    </x:row>
    <x:row r="43" ht="34" customHeight="1">
      <x:c r="A43" s="19" t="str">
        <x:v>C37_STD_PRICE_ANCHOR</x:v>
      </x:c>
      <x:c r="B43" s="19" t="str">
        <x:v>标准强锚未税价差</x:v>
      </x:c>
      <x:c r="C43" s="203" t="n">
        <x:v>12035.3982300885</x:v>
      </x:c>
      <x:c r="D43" s="133" t="n">
        <x:f>'20_已知差异桥'!C21</x:f>
        <x:v>12035.398230088496</x:v>
      </x:c>
      <x:c r="E43" s="62" t="n">
        <x:v>0.01</x:v>
      </x:c>
      <x:c r="F43" s="19" t="str">
        <x:f>IF(ABS(D43-C43)&lt;=E43,"PASS","FAIL")</x:f>
        <x:v>PASS</x:v>
      </x:c>
      <x:c r="G43" s="19" t="str">
        <x:v>13,600÷1.13。</x:v>
      </x:c>
    </x:row>
    <x:row r="44" ht="34" customHeight="1">
      <x:c r="A44" s="150" t="str">
        <x:v>C38_MAX_PRICE_ANCHOR</x:v>
      </x:c>
      <x:c r="B44" s="150" t="str">
        <x:v>Max强锚未税价差</x:v>
      </x:c>
      <x:c r="C44" s="203" t="n">
        <x:v>23008.8495575221</x:v>
      </x:c>
      <x:c r="D44" s="204" t="n">
        <x:f>'20_已知差异桥'!C24</x:f>
        <x:v>23008.849557522102</x:v>
      </x:c>
      <x:c r="E44" s="201" t="n">
        <x:v>0.01</x:v>
      </x:c>
      <x:c r="F44" s="150" t="str">
        <x:f>IF(ABS(D44-C44)&lt;=E44,"PASS","FAIL")</x:f>
        <x:v>PASS</x:v>
      </x:c>
      <x:c r="G44" s="150" t="str">
        <x:v>26,000÷1.13。</x:v>
      </x:c>
    </x:row>
    <x:row r="45" ht="34" customHeight="1">
      <x:c r="A45" s="19" t="str">
        <x:v>C39_SOURCE_COMPLETE</x:v>
      </x:c>
      <x:c r="B45" s="19" t="str">
        <x:v>七车来源定位空白数</x:v>
      </x:c>
      <x:c r="C45" s="203" t="n">
        <x:v>0</x:v>
      </x:c>
      <x:c r="D45" s="133" t="n">
        <x:f>COUNTBLANK('18_跨系底表'!$AD$7:$AD$13)</x:f>
        <x:v>0</x:v>
      </x:c>
      <x:c r="E45" s="62" t="n">
        <x:v>0</x:v>
      </x:c>
      <x:c r="F45" s="19" t="str">
        <x:f>IF(ABS(D45-C45)&lt;=E45,"PASS","FAIL")</x:f>
        <x:v>PASS</x:v>
      </x:c>
      <x:c r="G45" s="19" t="str">
        <x:v>每车均可回Phase1.3C。</x:v>
      </x:c>
    </x:row>
    <x:row r="46" ht="34" customHeight="1">
      <x:c r="A46" s="150" t="str">
        <x:v>C40_FORBIDDEN_TERM</x:v>
      </x:c>
      <x:c r="B46" s="150" t="str">
        <x:v>新增分析区“毛利”词频</x:v>
      </x:c>
      <x:c r="C46" s="203" t="n">
        <x:v>0</x:v>
      </x:c>
      <x:c r="D46" s="204" t="n">
        <x:f>COUNTIF('18_跨系底表'!$A$1:$AI$30,"*毛利*")+COUNTIF('19_同硬件匹配'!$A$1:$N$33,"*毛利*")+COUNTIF('20_已知差异桥'!$A$1:$U$30,"*毛利*")+COUNTIF('21_规则提炼'!$A$1:$O$34,"*毛利*")</x:f>
        <x:v>0</x:v>
      </x:c>
      <x:c r="E46" s="201" t="n">
        <x:v>0</x:v>
      </x:c>
      <x:c r="F46" s="150" t="str">
        <x:f>IF(ABS(D46-C46)&lt;=E46,"PASS","FAIL")</x:f>
        <x:v>PASS</x:v>
      </x:c>
      <x:c r="G46" s="150" t="str">
        <x:v>边界声明单列在35行，不把未分配价差命名为毛利。</x:v>
      </x:c>
    </x:row>
    <x:row r="47" ht="34" customHeight="1">
      <x:c r="A47" s="19" t="str">
        <x:v>C41_BOUNDARY_NOTE</x:v>
      </x:c>
      <x:c r="B47" s="19" t="str">
        <x:v>边界声明存在</x:v>
      </x:c>
      <x:c r="C47" s="203" t="n">
        <x:v>1</x:v>
      </x:c>
      <x:c r="D47" s="133" t="n">
        <x:f>IF('21_规则提炼'!$A$35&lt;&gt;"",1,0)</x:f>
        <x:v>1</x:v>
      </x:c>
      <x:c r="E47" s="62" t="n">
        <x:v>0</x:v>
      </x:c>
      <x:c r="F47" s="19" t="str">
        <x:f>IF(ABS(D47-C47)&lt;=E47,"PASS","FAIL")</x:f>
        <x:v>PASS</x:v>
      </x:c>
      <x:c r="G47" s="19" t="str">
        <x:v>明确不是空间价值或利润。</x:v>
      </x:c>
    </x:row>
    <x:row r="48" ht="34" customHeight="1">
      <x:c r="A48" s="150" t="str">
        <x:v>C42_CHART_SOURCE_TIE</x:v>
      </x:c>
      <x:c r="B48" s="150" t="str">
        <x:v>图表驱动区最大回勾差异</x:v>
      </x:c>
      <x:c r="C48" s="203" t="n">
        <x:v>0</x:v>
      </x:c>
      <x:c r="D48" s="204" t="n">
        <x:f>MAX(ABS('21_规则提炼'!B23-'20_已知差异桥'!C21),ABS('21_规则提炼'!C23-'20_已知差异桥'!Q21),ABS('21_规则提炼'!B24-'20_已知差异桥'!C22),ABS('21_规则提炼'!C24-'20_已知差异桥'!Q22),ABS('21_规则提炼'!B25-'20_已知差异桥'!C23),ABS('21_规则提炼'!C25-'20_已知差异桥'!Q23),ABS('21_规则提炼'!B26-'20_已知差异桥'!C24),ABS('21_规则提炼'!C26-'20_已知差异桥'!Q24))</x:f>
        <x:v>0</x:v>
      </x:c>
      <x:c r="E48" s="201" t="n">
        <x:v>0.01</x:v>
      </x:c>
      <x:c r="F48" s="150" t="str">
        <x:f>IF(ABS(D48-C48)&lt;=E48,"PASS","FAIL")</x:f>
        <x:v>PASS</x:v>
      </x:c>
      <x:c r="G48" s="150" t="str">
        <x:v>图表使用公式驱动。</x:v>
      </x:c>
    </x:row>
    <x:row r="49" ht="34" customHeight="1">
      <x:c r="A49" s="19" t="str">
        <x:v>C43_TRIANGLE_ROWS</x:v>
      </x:c>
      <x:c r="B49" s="19" t="str">
        <x:v>模块三角关系数量</x:v>
      </x:c>
      <x:c r="C49" s="203" t="n">
        <x:v>5</x:v>
      </x:c>
      <x:c r="D49" s="133" t="n">
        <x:f>COUNTA('21_规则提炼'!$A$41:$A$45)</x:f>
        <x:v>5</x:v>
      </x:c>
      <x:c r="E49" s="62" t="n">
        <x:v>0</x:v>
      </x:c>
      <x:c r="F49" s="19" t="str">
        <x:f>IF(ABS(D49-C49)&lt;=E49,"PASS","FAIL")</x:f>
        <x:v>PASS</x:v>
      </x:c>
      <x:c r="G49" s="19" t="str">
        <x:v>X01—X05。</x:v>
      </x:c>
    </x:row>
    <x:row r="50" ht="34" customHeight="1">
      <x:c r="A50" s="150" t="str">
        <x:v>C44_TRIANGLE_DIFF</x:v>
      </x:c>
      <x:c r="B50" s="150" t="str">
        <x:v>模块三角关系最大差异</x:v>
      </x:c>
      <x:c r="C50" s="203" t="n">
        <x:v>0</x:v>
      </x:c>
      <x:c r="D50" s="204" t="n">
        <x:f>MAX(ABS('21_规则提炼'!K41),ABS('21_规则提炼'!L41),ABS('21_规则提炼'!M41),ABS('21_规则提炼'!K42),ABS('21_规则提炼'!L42),ABS('21_规则提炼'!M42),ABS('21_规则提炼'!K43),ABS('21_规则提炼'!L43),ABS('21_规则提炼'!M43),ABS('21_规则提炼'!K44),ABS('21_规则提炼'!L44),ABS('21_规则提炼'!M44),ABS('21_规则提炼'!K45),ABS('21_规则提炼'!L45),ABS('21_规则提炼'!M45))</x:f>
        <x:v>0</x:v>
      </x:c>
      <x:c r="E50" s="201" t="n">
        <x:v>0.01</x:v>
      </x:c>
      <x:c r="F50" s="150" t="str">
        <x:f>IF(ABS(D50-C50)&lt;=E50,"PASS","FAIL")</x:f>
        <x:v>PASS</x:v>
      </x:c>
      <x:c r="G50" s="150" t="str">
        <x:v>Low/Mid/High均应闭合。</x:v>
      </x:c>
    </x:row>
    <x:row r="51" ht="34" customHeight="1">
      <x:c r="A51" s="19" t="str">
        <x:v>C45_TRIANGLE_FAIL</x:v>
      </x:c>
      <x:c r="B51" s="19" t="str">
        <x:v>模块三角关系失败数</x:v>
      </x:c>
      <x:c r="C51" s="203" t="n">
        <x:v>0</x:v>
      </x:c>
      <x:c r="D51" s="133" t="n">
        <x:f>COUNTIF('21_规则提炼'!$N$41:$N$45,"FAIL")</x:f>
        <x:v>0</x:v>
      </x:c>
      <x:c r="E51" s="62" t="n">
        <x:v>0</x:v>
      </x:c>
      <x:c r="F51" s="19" t="str">
        <x:f>IF(ABS(D51-C51)&lt;=E51,"PASS","FAIL")</x:f>
        <x:v>PASS</x:v>
      </x:c>
      <x:c r="G51" s="19" t="str">
        <x:v>五条关系全部通过。</x:v>
      </x:c>
    </x:row>
    <x:row r="52" ht="34" customHeight="1">
      <x:c r="A52" s="150" t="str">
        <x:v>C46_MAX_PHYSICAL_MID</x:v>
      </x:c>
      <x:c r="B52" s="150" t="str">
        <x:v>Max强锚已知物理差_中</x:v>
      </x:c>
      <x:c r="C52" s="203" t="n">
        <x:v>-400</x:v>
      </x:c>
      <x:c r="D52" s="204" t="n">
        <x:f>'20_已知差异桥'!$E$24</x:f>
        <x:v>-400</x:v>
      </x:c>
      <x:c r="E52" s="201" t="n">
        <x:v>0.01</x:v>
      </x:c>
      <x:c r="F52" s="150" t="str">
        <x:f>IF(ABS(D52-C52)&lt;=E52,"PASS","FAIL")</x:f>
        <x:v>PASS</x:v>
      </x:c>
      <x:c r="G52" s="150" t="str">
        <x:v>后盘+静谧+后排屏−WHUD−尾翼−Nappa。</x:v>
      </x:c>
    </x:row>
    <x:row r="53" ht="34" customHeight="1">
      <x:c r="A53" s="19" t="str">
        <x:v>C47_MAX_TOTAL_MID</x:v>
      </x:c>
      <x:c r="B53" s="19" t="str">
        <x:v>Max强锚已知总成本差_中</x:v>
      </x:c>
      <x:c r="C53" s="203" t="n">
        <x:v>-414</x:v>
      </x:c>
      <x:c r="D53" s="133" t="n">
        <x:f>'20_已知差异桥'!$N$24</x:f>
        <x:v>-414</x:v>
      </x:c>
      <x:c r="E53" s="62" t="n">
        <x:v>0.01</x:v>
      </x:c>
      <x:c r="F53" s="19" t="str">
        <x:f>IF(ABS(D53-C53)&lt;=E53,"PASS","FAIL")</x:f>
        <x:v>PASS</x:v>
      </x:c>
      <x:c r="G53" s="19" t="str">
        <x:v>物理差叠加M09/M10。</x:v>
      </x:c>
    </x:row>
  </x:sheetData>
  <x:mergeCells>
    <x:mergeCell ref="A1:G1"/>
    <x:mergeCell ref="A2:G2"/>
    <x:mergeCell ref="A3:G3"/>
    <x:mergeCell ref="A5:G5"/>
  </x:mergeCells>
  <x:conditionalFormatting sqref="F7:F53">
    <x:cfRule type="containsText" dxfId="124" priority="1" operator="containsText" text="PASS"/>
    <x:cfRule type="containsText" dxfId="125" priority="2" operator="containsText" text="READY"/>
    <x:cfRule type="containsText" dxfId="126" priority="3" operator="containsText" text="SELECT"/>
    <x:cfRule type="containsText" dxfId="127" priority="4" operator="containsText" text="A_STRICT"/>
    <x:cfRule type="containsText" dxfId="128" priority="5" operator="containsText" text="B_"/>
    <x:cfRule type="containsText" dxfId="129" priority="6" operator="containsText" text="EXCLUDE"/>
    <x:cfRule type="containsText" dxfId="130" priority="7" operator="containsText" text="FAIL"/>
    <x:cfRule type="containsText" dxfId="131" priority="8" operator="containsText" text="REVIEW"/>
  </x:conditionalFormatting>
  <x:pageMargins left="0.7" right="0.7" top="0.75" bottom="0.75" header="0.3" footer="0.3"/>
</x:worksheet>
</file>

<file path=xl/worksheets/sheet2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8" hidden="0" customWidth="1"/>
    <x:col min="3" max="3" width="38" hidden="0" customWidth="1"/>
    <x:col min="4" max="4" width="50" hidden="0" customWidth="1"/>
    <x:col min="5" max="5" width="26" hidden="0" customWidth="1"/>
    <x:col min="6" max="6" width="25" hidden="0" customWidth="1"/>
    <x:col min="7" max="7" width="20" hidden="0" customWidth="1"/>
    <x:col min="8" max="8" width="52" hidden="0" customWidth="1"/>
    <x:col min="9" max="9" width="18" hidden="0" customWidth="1"/>
    <x:col min="10" max="10" width="13" hidden="0" customWidth="1"/>
    <x:col min="11" max="11" width="13" hidden="0" customWidth="1"/>
    <x:col min="12" max="12" width="13" hidden="0" customWidth="1"/>
  </x:cols>
  <x:sheetData>
    <x:row r="1" ht="30" customHeight="1">
      <x:c r="A1" s="207" t="str">
        <x:v>23｜Phase 2.3B 交叉验证口径</x:v>
      </x:c>
      <x:c r="B1" s="207"/>
      <x:c r="C1" s="207"/>
      <x:c r="D1" s="207"/>
      <x:c r="E1" s="207"/>
      <x:c r="F1" s="207"/>
      <x:c r="G1" s="207"/>
      <x:c r="H1" s="207"/>
      <x:c r="I1" s="207"/>
      <x:c r="J1" s="207"/>
      <x:c r="K1" s="207"/>
      <x:c r="L1" s="207"/>
    </x:row>
    <x:row r="2" ht="22" customHeight="1">
      <x:c r="A2" s="210" t="str">
        <x:v>方向统一为 YU7－SU7｜未税元/车｜2 个强锚 + 1 个相关的中间铰链块</x:v>
      </x:c>
      <x:c r="B2" s="210"/>
      <x:c r="C2" s="210"/>
      <x:c r="D2" s="210"/>
      <x:c r="E2" s="210"/>
      <x:c r="F2" s="210"/>
      <x:c r="G2" s="210"/>
      <x:c r="H2" s="210"/>
      <x:c r="I2" s="210"/>
      <x:c r="J2" s="210"/>
      <x:c r="K2" s="210"/>
      <x:c r="L2" s="210"/>
    </x:row>
    <x:row r="3" ht="44" customHeight="1">
      <x:c r="A3" s="214" t="str">
        <x:v>独立BOM只取物理量、供应链公开数据与透明工程情景；售价与残差只进入验证端，禁止反向写回成本假设。</x:v>
      </x:c>
      <x:c r="B3" s="214"/>
      <x:c r="C3" s="214"/>
      <x:c r="D3" s="214"/>
      <x:c r="E3" s="214"/>
      <x:c r="F3" s="214"/>
      <x:c r="G3" s="214"/>
      <x:c r="H3" s="214"/>
      <x:c r="I3" s="214"/>
      <x:c r="J3" s="214"/>
      <x:c r="K3" s="214"/>
      <x:c r="L3" s="214"/>
    </x:row>
    <x:row r="5" ht="40" customHeight="1">
      <x:c r="A5" s="219" t="str">
        <x:v>模型对象</x:v>
      </x:c>
      <x:c r="B5" s="219" t="str">
        <x:v>符号/取值</x:v>
      </x:c>
      <x:c r="C5" s="219" t="str">
        <x:v>来源</x:v>
      </x:c>
      <x:c r="D5" s="219" t="str">
        <x:v>解释</x:v>
      </x:c>
      <x:c r="F5" s="219" t="str">
        <x:v>参数</x:v>
      </x:c>
      <x:c r="G5" s="219" t="str">
        <x:v>主值</x:v>
      </x:c>
      <x:c r="H5" s="219" t="str">
        <x:v>敏感性下界</x:v>
      </x:c>
      <x:c r="I5" s="219" t="str">
        <x:v>敏感性上界</x:v>
      </x:c>
    </x:row>
    <x:row r="6" ht="38" customHeight="1">
      <x:c r="A6" s="19" t="str">
        <x:v>价格差</x:v>
      </x:c>
      <x:c r="B6" s="19" t="str">
        <x:v>ΔP_i</x:v>
      </x:c>
      <x:c r="C6" s="19" t="str">
        <x:v>20_已知差异桥｜C21:C24</x:v>
      </x:c>
      <x:c r="D6" s="19" t="str">
        <x:v>四座桥未税指导价差。</x:v>
      </x:c>
      <x:c r="F6" s="19" t="str">
        <x:v>绝对容差_元</x:v>
      </x:c>
      <x:c r="G6" s="224" t="n">
        <x:v>2000</x:v>
      </x:c>
      <x:c r="H6" s="224" t="n">
        <x:v>1000</x:v>
      </x:c>
      <x:c r="I6" s="224" t="n">
        <x:v>3000</x:v>
      </x:c>
    </x:row>
    <x:row r="7" ht="38" customHeight="1">
      <x:c r="A7" s="220" t="str">
        <x:v>已知配置成本</x:v>
      </x:c>
      <x:c r="B7" s="220" t="str">
        <x:v>K_i,k</x:v>
      </x:c>
      <x:c r="C7" s="220" t="str">
        <x:v>20_已知差异桥｜M:O</x:v>
      </x:c>
      <x:c r="D7" s="220" t="str">
        <x:v>Phase 2.3A 已识别硬件差。</x:v>
      </x:c>
      <x:c r="E7" s="221"/>
      <x:c r="F7" s="220" t="str">
        <x:v>相对容差</x:v>
      </x:c>
      <x:c r="G7" s="225" t="n">
        <x:v>0.1</x:v>
      </x:c>
      <x:c r="H7" s="225" t="n">
        <x:v>0.05</x:v>
      </x:c>
      <x:c r="I7" s="225" t="n">
        <x:v>0.15</x:v>
      </x:c>
    </x:row>
    <x:row r="8" ht="38" customHeight="1">
      <x:c r="A8" s="19" t="str">
        <x:v>2.3A未分配价差</x:v>
      </x:c>
      <x:c r="B8" s="19" t="str">
        <x:v>U_i,k=ΔP_i−K_i,k</x:v>
      </x:c>
      <x:c r="C8" s="19" t="str">
        <x:v>20_已知差异桥｜P:R</x:v>
      </x:c>
      <x:c r="D8" s="19" t="str">
        <x:v>仍混合车身、座舱、定位与定价因素。</x:v>
      </x:c>
      <x:c r="F8" s="19" t="str">
        <x:v>M09制造覆盖_L/M/H</x:v>
      </x:c>
      <x:c r="G8" s="225" t="n">
        <x:f>'18_跨系底表'!$B$19</x:f>
        <x:v>0.01</x:v>
      </x:c>
      <x:c r="H8" s="225" t="n">
        <x:f>'18_跨系底表'!$B$20</x:f>
        <x:v>0.02</x:v>
      </x:c>
      <x:c r="I8" s="225" t="n">
        <x:f>'18_跨系底表'!$B$21</x:f>
        <x:v>0.04</x:v>
      </x:c>
    </x:row>
    <x:row r="9" ht="38" customHeight="1">
      <x:c r="A9" s="220" t="str">
        <x:v>独立跨车身BOM</x:v>
      </x:c>
      <x:c r="B9" s="220" t="str">
        <x:v>B_i,b</x:v>
      </x:c>
      <x:c r="C9" s="220" t="str">
        <x:v>25—27页</x:v>
      </x:c>
      <x:c r="D9" s="220" t="str">
        <x:v>b=Low/Mid/High；不得引用售价。</x:v>
      </x:c>
      <x:c r="E9" s="221"/>
      <x:c r="F9" s="220" t="str">
        <x:v>M10质保覆盖_L/M/H</x:v>
      </x:c>
      <x:c r="G9" s="225" t="n">
        <x:f>'18_跨系底表'!$B$22</x:f>
        <x:v>0.005</x:v>
      </x:c>
      <x:c r="H9" s="225" t="n">
        <x:f>'18_跨系底表'!$B$23</x:f>
        <x:v>0.015</x:v>
      </x:c>
      <x:c r="I9" s="225" t="n">
        <x:f>'18_跨系底表'!$B$24</x:f>
        <x:v>0.03</x:v>
      </x:c>
    </x:row>
    <x:row r="10" ht="38" customHeight="1">
      <x:c r="A10" s="19" t="str">
        <x:v>最终验证残差</x:v>
      </x:c>
      <x:c r="B10" s="19" t="str">
        <x:v>R_i,k,b=U_i,k−B_i,b</x:v>
      </x:c>
      <x:c r="C10" s="19" t="str">
        <x:v>28_四桥残差</x:v>
      </x:c>
      <x:c r="D10" s="19" t="str">
        <x:v>保留3×3九组合，只称待解释价差。</x:v>
      </x:c>
      <x:c r="F10" s="19" t="str">
        <x:v>价格时点</x:v>
      </x:c>
      <x:c r="G10" s="19" t="str">
        <x:v>2026-08-01</x:v>
      </x:c>
      <x:c r="H10" s="19" t="str">
        <x:v>—</x:v>
      </x:c>
      <x:c r="I10" s="19" t="str">
        <x:v>—</x:v>
      </x:c>
    </x:row>
    <x:row r="11" ht="38" customHeight="1">
      <x:c r="A11" s="220" t="str">
        <x:v>成本平移预测</x:v>
      </x:c>
      <x:c r="B11" s="220" t="str">
        <x:v>P̂_Y=P_S+K+B</x:v>
      </x:c>
      <x:c r="C11" s="220" t="str">
        <x:v>28_四桥残差</x:v>
      </x:c>
      <x:c r="D11" s="220" t="str">
        <x:v>1:1平移仅为记账，不代表真实传导率。</x:v>
      </x:c>
      <x:c r="E11" s="221"/>
      <x:c r="F11" s="220" t="str">
        <x:v>方向</x:v>
      </x:c>
      <x:c r="G11" s="220" t="str">
        <x:v>YU7−SU7</x:v>
      </x:c>
      <x:c r="H11" s="220" t="str">
        <x:v>—</x:v>
      </x:c>
      <x:c r="I11" s="220" t="str">
        <x:v>—</x:v>
      </x:c>
    </x:row>
    <x:row r="12" ht="38" customHeight="1">
      <x:c r="A12" s="19" t="str">
        <x:v>强锚</x:v>
      </x:c>
      <x:c r="B12" s="19" t="str">
        <x:v>标准 / Max</x:v>
      </x:c>
      <x:c r="C12" s="19" t="str">
        <x:v>19_同硬件匹配</x:v>
      </x:c>
      <x:c r="D12" s="19" t="str">
        <x:v>分别测试低端与高端。</x:v>
      </x:c>
      <x:c r="F12" s="19" t="str">
        <x:v>base口径</x:v>
      </x:c>
      <x:c r="G12" s="19" t="str">
        <x:v>不含限时权益/付费选装</x:v>
      </x:c>
      <x:c r="H12" s="19" t="str">
        <x:v>—</x:v>
      </x:c>
      <x:c r="I12" s="19" t="str">
        <x:v>—</x:v>
      </x:c>
    </x:row>
    <x:row r="13" ht="40" customHeight="1">
      <x:c r="A13" s="220" t="str">
        <x:v>相关铰链块</x:v>
      </x:c>
      <x:c r="B13" s="220" t="str">
        <x:v>RWD96 / CHASSIS96</x:v>
      </x:c>
      <x:c r="C13" s="220" t="str">
        <x:v>19_同硬件匹配</x:v>
      </x:c>
      <x:c r="D13" s="220" t="str">
        <x:v>共享SU7 Pro，不能当两个独立样本。</x:v>
      </x:c>
    </x:row>
    <x:row r="14" ht="40" customHeight="1">
      <x:c r="A14" s="19" t="str">
        <x:v>反向预测</x:v>
      </x:c>
      <x:c r="B14" s="19" t="str">
        <x:v>残差符号相反</x:v>
      </x:c>
      <x:c r="C14" s="19" t="str">
        <x:v>仅校验</x:v>
      </x:c>
      <x:c r="D14" s="19" t="str">
        <x:v>不是第二个验证样本。</x:v>
      </x:c>
    </x:row>
    <x:row r="17">
      <x:c r="A17" s="227" t="str">
        <x:v>七条硬规则</x:v>
      </x:c>
      <x:c r="B17" s="227"/>
      <x:c r="C17" s="227"/>
      <x:c r="D17" s="227"/>
      <x:c r="E17" s="227"/>
      <x:c r="F17" s="227"/>
      <x:c r="G17" s="227"/>
      <x:c r="H17" s="227"/>
      <x:c r="I17" s="227"/>
      <x:c r="J17" s="227"/>
      <x:c r="K17" s="227"/>
      <x:c r="L17" s="227"/>
    </x:row>
    <x:row r="18" ht="42" customHeight="1">
      <x:c r="A18" s="229" t="str">
        <x:v>G01</x:v>
      </x:c>
      <x:c r="B18" s="19" t="str">
        <x:v>禁止售价反推</x:v>
      </x:c>
      <x:c r="C18" s="19" t="str">
        <x:v>price_derived_flag必须全部为NO。</x:v>
      </x:c>
      <x:c r="E18" s="227" t="str">
        <x:v>当前模型状态</x:v>
      </x:c>
      <x:c r="F18" s="227"/>
      <x:c r="G18" s="227"/>
      <x:c r="H18" s="227"/>
      <x:c r="I18" s="227"/>
      <x:c r="J18" s="227"/>
      <x:c r="K18" s="227"/>
      <x:c r="L18" s="227"/>
    </x:row>
    <x:row r="19" ht="40" customHeight="1">
      <x:c r="A19" s="229" t="str">
        <x:v>G02</x:v>
      </x:c>
      <x:c r="B19" s="220" t="str">
        <x:v>共同模块共用成本ID</x:v>
      </x:c>
      <x:c r="C19" s="220" t="str">
        <x:v>四桥只能调用同一成本项，不得复制自由输入。</x:v>
      </x:c>
      <x:c r="E19" s="219" t="str">
        <x:v>指标</x:v>
      </x:c>
      <x:c r="F19" s="219" t="str">
        <x:v>值</x:v>
      </x:c>
      <x:c r="G19" s="219" t="str">
        <x:v>状态</x:v>
      </x:c>
      <x:c r="H19" s="219" t="str">
        <x:v>解释</x:v>
      </x:c>
    </x:row>
    <x:row r="20" ht="42" customHeight="1">
      <x:c r="A20" s="229" t="str">
        <x:v>G03</x:v>
      </x:c>
      <x:c r="B20" s="19" t="str">
        <x:v>质量只是总约束</x:v>
      </x:c>
      <x:c r="C20" s="19" t="str">
        <x:v>125—145kg不是白车身重量；清洁比例显式列示。</x:v>
      </x:c>
      <x:c r="E20" s="19" t="str">
        <x:v>售价衍生BOM项</x:v>
      </x:c>
      <x:c r="F20" s="232" t="n">
        <x:f>COUNTIF('25_BOM假设'!$J$27:$J$31,"YES")</x:f>
        <x:v>0</x:v>
      </x:c>
      <x:c r="G20" s="19" t="str">
        <x:f>IF(F20=0,"PASS","FAIL")</x:f>
        <x:v>PASS</x:v>
      </x:c>
      <x:c r="H20" s="19" t="str">
        <x:v>必须为0。</x:v>
      </x:c>
    </x:row>
    <x:row r="21" ht="42" customHeight="1">
      <x:c r="A21" s="230" t="str">
        <x:v>G04</x:v>
      </x:c>
      <x:c r="B21" s="220" t="str">
        <x:v>已单列模块须剔除</x:v>
      </x:c>
      <x:c r="C21" s="220" t="str">
        <x:v>屏幕、座椅、气囊等质量不得完整重复进入基础代理。</x:v>
      </x:c>
      <x:c r="D21" s="221"/>
      <x:c r="E21" s="220" t="str">
        <x:v>严格跨零桥数</x:v>
      </x:c>
      <x:c r="F21" s="232" t="n">
        <x:f>COUNTIF('28_四桥残差'!$W$6:$W$9,"CROSSES_ZERO")</x:f>
        <x:v>1</x:v>
      </x:c>
      <x:c r="G21" s="220" t="str">
        <x:f>IF(F21=1,"PASS","REVIEW")</x:f>
        <x:v>PASS</x:v>
      </x:c>
      <x:c r="H21" s="220" t="str">
        <x:v>当前应只有RWD96。</x:v>
      </x:c>
    </x:row>
    <x:row r="22" ht="42" customHeight="1">
      <x:c r="A22" s="229" t="str">
        <x:v>G05</x:v>
      </x:c>
      <x:c r="B22" s="19" t="str">
        <x:v>制造/质保只计一次</x:v>
      </x:c>
      <x:c r="C22" s="19" t="str">
        <x:v>供应商制造与小米总装覆盖分栏。</x:v>
      </x:c>
      <x:c r="E22" s="19" t="str">
        <x:v>强锚中值残差差</x:v>
      </x:c>
      <x:c r="F22" s="232" t="n">
        <x:f>'29_交叉验证'!$B$10</x:f>
        <x:v>11387.45</x:v>
      </x:c>
      <x:c r="G22" s="19" t="str">
        <x:f>IF(ABS(F22)&gt;5000,"REVIEW","PASS")</x:f>
        <x:v>REVIEW</x:v>
      </x:c>
      <x:c r="H22" s="19" t="str">
        <x:v>仍大则共同车身成本不能形成常数。</x:v>
      </x:c>
    </x:row>
    <x:row r="23" ht="42" customHeight="1">
      <x:c r="A23" s="230" t="str">
        <x:v>G06</x:v>
      </x:c>
      <x:c r="B23" s="220" t="str">
        <x:v>区间用九组合</x:v>
      </x:c>
      <x:c r="C23" s="220" t="str">
        <x:v>负数量时用MIN/MAX，不假定残差单调。</x:v>
      </x:c>
      <x:c r="D23" s="221"/>
      <x:c r="E23" s="220" t="str">
        <x:v>中间双差权重</x:v>
      </x:c>
      <x:c r="F23" s="232" t="n">
        <x:v>0</x:v>
      </x:c>
      <x:c r="G23" s="220" t="str">
        <x:f>IF(F23=0,"PASS","FAIL")</x:f>
        <x:v>PASS</x:v>
      </x:c>
      <x:c r="H23" s="220" t="str">
        <x:v>相关诊断，不贡献独立证据。</x:v>
      </x:c>
    </x:row>
    <x:row r="24" ht="42" customHeight="1">
      <x:c r="A24" s="229" t="str">
        <x:v>G07</x:v>
      </x:c>
      <x:c r="B24" s="19" t="str">
        <x:v>残差不是利润</x:v>
      </x:c>
      <x:c r="C24" s="19" t="str">
        <x:v>固定成本、期间费用、促销与定位留到后续。</x:v>
      </x:c>
      <x:c r="E24" s="19" t="str">
        <x:v>模型用途</x:v>
      </x:c>
      <x:c r="F24" s="233" t="str">
        <x:v>DIAGNOSTIC_ONLY</x:v>
      </x:c>
      <x:c r="G24" s="19" t="str">
        <x:f>IF(F24="DIAGNOSTIC_ONLY","READY","REVIEW")</x:f>
        <x:v>READY</x:v>
      </x:c>
      <x:c r="H24" s="19" t="str">
        <x:v>用于残差边界与反证，不声称真实成本。</x:v>
      </x:c>
    </x:row>
    <x:row r="25" ht="42" customHeight="1">
      <x:c r="A25" s="221"/>
      <x:c r="B25" s="221"/>
      <x:c r="C25" s="221"/>
      <x:c r="D25" s="221"/>
      <x:c r="E25" s="220" t="str">
        <x:v>下一阶段入口</x:v>
      </x:c>
      <x:c r="F25" s="233" t="str">
        <x:v>PHASE_2.3C_WITH_BOUNDARY</x:v>
      </x:c>
      <x:c r="G25" s="220" t="str">
        <x:f>IF(F25="PHASE_2.3C_WITH_BOUNDARY","READY","REVIEW")</x:f>
        <x:v>READY</x:v>
      </x:c>
      <x:c r="H25" s="220" t="str">
        <x:v>只研究版本相关价值/定价项。</x:v>
      </x:c>
    </x:row>
  </x:sheetData>
  <x:mergeCells>
    <x:mergeCell ref="A1:L1"/>
    <x:mergeCell ref="A2:L2"/>
    <x:mergeCell ref="A3:L3"/>
    <x:mergeCell ref="A17:L17"/>
    <x:mergeCell ref="E18:L18"/>
  </x:mergeCells>
  <x:conditionalFormatting sqref="G20:G25">
    <x:cfRule type="containsText" dxfId="140" priority="1" operator="containsText" text="PASS"/>
    <x:cfRule type="containsText" dxfId="141" priority="2" operator="containsText" text="READY"/>
    <x:cfRule type="containsText" dxfId="142" priority="3" operator="containsText" text="POSITIVE"/>
    <x:cfRule type="containsText" dxfId="143" priority="4" operator="containsText" text="CROSSES_ZERO"/>
    <x:cfRule type="containsText" dxfId="144" priority="5" operator="containsText" text="COMPATIBLE"/>
    <x:cfRule type="containsText" dxfId="145" priority="6" operator="containsText" text="NEGATIVE"/>
    <x:cfRule type="containsText" dxfId="146" priority="7" operator="containsText" text="REVIEW"/>
    <x:cfRule type="containsText" dxfId="147" priority="8" operator="containsText" text="FAIL"/>
    <x:cfRule type="containsText" dxfId="148" priority="9" operator="containsText" text="PROVISIONAL"/>
  </x:conditionalFormatting>
  <x:pageMargins left="0.7" right="0.7" top="0.75" bottom="0.75" header="0.3" footer="0.3"/>
</x:worksheet>
</file>

<file path=xl/worksheets/sheet2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16" hidden="0" customWidth="1"/>
    <x:col min="3" max="3" width="29" hidden="0" customWidth="1"/>
    <x:col min="4" max="4" width="19" hidden="0" customWidth="1"/>
    <x:col min="5" max="5" width="19" hidden="0" customWidth="1"/>
    <x:col min="6" max="6" width="17" hidden="0" customWidth="1"/>
    <x:col min="7" max="7" width="11" hidden="0" customWidth="1"/>
    <x:col min="8" max="8" width="30" hidden="0" customWidth="1"/>
    <x:col min="9" max="9" width="11" hidden="0" customWidth="1"/>
    <x:col min="10" max="10" width="20" hidden="0" customWidth="1"/>
    <x:col min="11" max="11" width="13" hidden="0" customWidth="1"/>
    <x:col min="12" max="12" width="46" hidden="0" customWidth="1"/>
    <x:col min="13" max="13" width="32" hidden="0" customWidth="1"/>
    <x:col min="14" max="14" width="25" hidden="0" customWidth="1"/>
  </x:cols>
  <x:sheetData>
    <x:row r="1" ht="30" customHeight="1">
      <x:c r="A1" s="207" t="str">
        <x:v>24｜跨车身独立物理证据</x:v>
      </x:c>
      <x:c r="B1" s="207"/>
      <x:c r="C1" s="207"/>
      <x:c r="D1" s="207"/>
      <x:c r="E1" s="207"/>
      <x:c r="F1" s="207"/>
      <x:c r="G1" s="207"/>
      <x:c r="H1" s="207"/>
      <x:c r="I1" s="207"/>
      <x:c r="J1" s="207"/>
      <x:c r="K1" s="207"/>
      <x:c r="L1" s="207"/>
      <x:c r="M1" s="207"/>
      <x:c r="N1" s="207"/>
    </x:row>
    <x:row r="2" ht="22" customHeight="1">
      <x:c r="A2" s="210" t="str">
        <x:v>工信部 + 小米官方页/App + 供应商披露 + 工程研究｜与售价残差隔离</x:v>
      </x:c>
      <x:c r="B2" s="210"/>
      <x:c r="C2" s="210"/>
      <x:c r="D2" s="210"/>
      <x:c r="E2" s="210"/>
      <x:c r="F2" s="210"/>
      <x:c r="G2" s="210"/>
      <x:c r="H2" s="210"/>
      <x:c r="I2" s="210"/>
      <x:c r="J2" s="210"/>
      <x:c r="K2" s="210"/>
      <x:c r="L2" s="210"/>
      <x:c r="M2" s="210"/>
      <x:c r="N2" s="210"/>
    </x:row>
    <x:row r="3" ht="44" customHeight="1">
      <x:c r="A3" s="214" t="str">
        <x:v>125—145kg是同三电条件下的非电池整车净增量，不是白车身重量；几何、容积、材料强度和NVH处数均不能单独直接换算成本。</x:v>
      </x:c>
      <x:c r="B3" s="214"/>
      <x:c r="C3" s="214"/>
      <x:c r="D3" s="214"/>
      <x:c r="E3" s="214"/>
      <x:c r="F3" s="214"/>
      <x:c r="G3" s="214"/>
      <x:c r="H3" s="214"/>
      <x:c r="I3" s="214"/>
      <x:c r="J3" s="214"/>
      <x:c r="K3" s="214"/>
      <x:c r="L3" s="214"/>
      <x:c r="M3" s="214"/>
      <x:c r="N3" s="214"/>
    </x:row>
    <x:row r="5" ht="42" customHeight="1">
      <x:c r="A5" s="219" t="str">
        <x:v>source_id</x:v>
      </x:c>
      <x:c r="B5" s="219" t="str">
        <x:v>来源</x:v>
      </x:c>
      <x:c r="C5" s="219" t="str">
        <x:v>发布日期/时点</x:v>
      </x:c>
      <x:c r="D5" s="219" t="str">
        <x:v>等级</x:v>
      </x:c>
      <x:c r="E5" s="219" t="str">
        <x:v>字段用途</x:v>
      </x:c>
      <x:c r="F5" s="219" t="str">
        <x:v>URL/本地定位</x:v>
      </x:c>
      <x:c r="G5" s="219" t="str">
        <x:v>用于成本</x:v>
      </x:c>
      <x:c r="H5" s="219" t="str">
        <x:v>边界</x:v>
      </x:c>
    </x:row>
    <x:row r="6" ht="46" customHeight="1">
      <x:c r="A6" s="229" t="str">
        <x:v>S_MII_SU7_403</x:v>
      </x:c>
      <x:c r="B6" s="19" t="str">
        <x:v>工信部第403批新SU7公告</x:v>
      </x:c>
      <x:c r="C6" s="19" t="str">
        <x:v>2026</x:v>
      </x:c>
      <x:c r="D6" s="19" t="str">
        <x:v>A</x:v>
      </x:c>
      <x:c r="E6" s="19" t="str">
        <x:v>SU7尺寸、整备质量、动力/电池映射</x:v>
      </x:c>
      <x:c r="F6" s="234" t="str">
        <x:v>https://www.miit.gov.cn/jgsj/zbys/wjfb/art/2026/art_a9711faa88734c56b4218efc091c503c.html</x:v>
      </x:c>
      <x:c r="G6" s="19" t="str">
        <x:v>物理量</x:v>
      </x:c>
      <x:c r="H6" s="19" t="str">
        <x:v>正式公告。</x:v>
      </x:c>
    </x:row>
    <x:row r="7" ht="46" customHeight="1">
      <x:c r="A7" s="229" t="str">
        <x:v>S_MII_YU7_406</x:v>
      </x:c>
      <x:c r="B7" s="220" t="str">
        <x:v>工信部第406批YU7公告</x:v>
      </x:c>
      <x:c r="C7" s="220" t="str">
        <x:v>2026</x:v>
      </x:c>
      <x:c r="D7" s="220" t="str">
        <x:v>A</x:v>
      </x:c>
      <x:c r="E7" s="220" t="str">
        <x:v>YU7标准版尺寸、整备质量</x:v>
      </x:c>
      <x:c r="F7" s="235" t="str">
        <x:v>https://www.miit.gov.cn/jgsj/zbys/wjfb/art/2026/art_421a049da25f4b088bdb18a20fa8a690.html</x:v>
      </x:c>
      <x:c r="G7" s="220" t="str">
        <x:v>物理量</x:v>
      </x:c>
      <x:c r="H7" s="220" t="str">
        <x:v>正式公告。</x:v>
      </x:c>
    </x:row>
    <x:row r="8" ht="46" customHeight="1">
      <x:c r="A8" s="229" t="str">
        <x:v>S_MII_YU7_R3</x:v>
      </x:c>
      <x:c r="B8" s="19" t="str">
        <x:v>工信部YU7长续航R3详情</x:v>
      </x:c>
      <x:c r="C8" s="19" t="str">
        <x:v>2025</x:v>
      </x:c>
      <x:c r="D8" s="19" t="str">
        <x:v>A</x:v>
      </x:c>
      <x:c r="E8" s="19" t="str">
        <x:v>96.3kWh后驱整备/包质量</x:v>
      </x:c>
      <x:c r="F8" s="234" t="str">
        <x:v>https://www.miit.gov.cn/datainfo/dljdclscqyjcpgg/xcpgs391sqwimf/art/2025/art_273bcba72bcb4b2da92e2ca38b7cbe4a.html</x:v>
      </x:c>
      <x:c r="G8" s="19" t="str">
        <x:v>物理量</x:v>
      </x:c>
      <x:c r="H8" s="19" t="str">
        <x:v>与SU7 Pro同三电桥。</x:v>
      </x:c>
    </x:row>
    <x:row r="9" ht="46" customHeight="1">
      <x:c r="A9" s="229" t="str">
        <x:v>S_MII_YU7_MAX</x:v>
      </x:c>
      <x:c r="B9" s="220" t="str">
        <x:v>工信部YU7 Max A1详情</x:v>
      </x:c>
      <x:c r="C9" s="220" t="str">
        <x:v>2024</x:v>
      </x:c>
      <x:c r="D9" s="220" t="str">
        <x:v>A</x:v>
      </x:c>
      <x:c r="E9" s="220" t="str">
        <x:v>101.7kWh四驱整备/包质量</x:v>
      </x:c>
      <x:c r="F9" s="235" t="str">
        <x:v>https://www.miit.gov.cn/datainfo/dljdclscqyjcpgg/xcpgs390ssew/art/2024/art_4dc6c6c7a56d4dcfb0303cf9748c1b2d.html</x:v>
      </x:c>
      <x:c r="G9" s="220" t="str">
        <x:v>物理量</x:v>
      </x:c>
      <x:c r="H9" s="220" t="str">
        <x:v>与SU7 Max同三电桥。</x:v>
      </x:c>
    </x:row>
    <x:row r="10" ht="46" customHeight="1">
      <x:c r="A10" s="229" t="str">
        <x:v>S_XM_SU7</x:v>
      </x:c>
      <x:c r="B10" s="19" t="str">
        <x:v>小米SU7当前官方车型页</x:v>
      </x:c>
      <x:c r="C10" s="19" t="str">
        <x:v>访问2026-08-03</x:v>
      </x:c>
      <x:c r="D10" s="19" t="str">
        <x:v>A</x:v>
      </x:c>
      <x:c r="E10" s="19" t="str">
        <x:v>9气囊、结构、玻璃、后排信息</x:v>
      </x:c>
      <x:c r="F10" s="234" t="str">
        <x:v>https://www.xiaomiev.com/su7</x:v>
      </x:c>
      <x:c r="G10" s="19" t="str">
        <x:v>物理量</x:v>
      </x:c>
      <x:c r="H10" s="19" t="str">
        <x:v>营销措辞不直接成本化。</x:v>
      </x:c>
    </x:row>
    <x:row r="11" ht="46" customHeight="1">
      <x:c r="A11" s="229" t="str">
        <x:v>S_XM_YU7</x:v>
      </x:c>
      <x:c r="B11" s="220" t="str">
        <x:v>小米YU7当前官方车型页</x:v>
      </x:c>
      <x:c r="C11" s="220" t="str">
        <x:v>访问2026-08-03</x:v>
      </x:c>
      <x:c r="D11" s="220" t="str">
        <x:v>A</x:v>
      </x:c>
      <x:c r="E11" s="220" t="str">
        <x:v>7气囊、尾门/储物、后排电调、结构、玻璃</x:v>
      </x:c>
      <x:c r="F11" s="235" t="str">
        <x:v>https://www.xiaomiev.com/yu7</x:v>
      </x:c>
      <x:c r="G11" s="220" t="str">
        <x:v>物理量</x:v>
      </x:c>
      <x:c r="H11" s="220" t="str">
        <x:v>MPa/Cd/NVH处数不直接成本化。</x:v>
      </x:c>
    </x:row>
    <x:row r="12" ht="46" customHeight="1">
      <x:c r="A12" s="229" t="str">
        <x:v>S_XM_YU7_LAUNCH</x:v>
      </x:c>
      <x:c r="B12" s="19" t="str">
        <x:v>小米YU7发布资料</x:v>
      </x:c>
      <x:c r="C12" s="19" t="str">
        <x:v>2025</x:v>
      </x:c>
      <x:c r="D12" s="19" t="str">
        <x:v>A</x:v>
      </x:c>
      <x:c r="E12" s="19" t="str">
        <x:v>HyperVision约为普通HUD成本2—3倍</x:v>
      </x:c>
      <x:c r="F12" s="234" t="str">
        <x:v>https://www.mi.com/global/discover/article?id=5174</x:v>
      </x:c>
      <x:c r="G12" s="19" t="str">
        <x:v>相对成本</x:v>
      </x:c>
      <x:c r="H12" s="19" t="str">
        <x:v>只披露倍数。</x:v>
      </x:c>
    </x:row>
    <x:row r="13" ht="46" customHeight="1">
      <x:c r="A13" s="229" t="str">
        <x:v>S_APP_LOCAL</x:v>
      </x:c>
      <x:c r="B13" s="220" t="str">
        <x:v>用户提供官方App录屏与截图</x:v>
      </x:c>
      <x:c r="C13" s="220" t="str">
        <x:v>2026-08-01</x:v>
      </x:c>
      <x:c r="D13" s="220" t="str">
        <x:v>A-</x:v>
      </x:c>
      <x:c r="E13" s="220" t="str">
        <x:v>储物容积、base配置复核</x:v>
      </x:c>
      <x:c r="F13" s="235" t="str">
        <x:v>C:\Users\GinMos\OneDrive\文档\小米澎程售价及配置预估\sources\xiaomi\2026-08-01_小米汽车App配置表录屏证据清单.md</x:v>
      </x:c>
      <x:c r="G13" s="220" t="str">
        <x:v>物理量</x:v>
      </x:c>
      <x:c r="H13" s="220" t="str">
        <x:v>限时权益与base分离。</x:v>
      </x:c>
    </x:row>
    <x:row r="14" ht="46" customHeight="1">
      <x:c r="A14" s="229" t="str">
        <x:v>S_STATS_MATERIAL</x:v>
      </x:c>
      <x:c r="B14" s="19" t="str">
        <x:v>国家统计局生产资料价格</x:v>
      </x:c>
      <x:c r="C14" s="19" t="str">
        <x:v>2026-07</x:v>
      </x:c>
      <x:c r="D14" s="19" t="str">
        <x:v>A/C</x:v>
      </x:c>
      <x:c r="E14" s="19" t="str">
        <x:v>钢、铝、塑料原料指数</x:v>
      </x:c>
      <x:c r="F14" s="234" t="str">
        <x:v>https://www.stats.gov.cn/sj/zxfbhjd/202607/t20260723_1964185.html</x:v>
      </x:c>
      <x:c r="G14" s="19" t="str">
        <x:v>工程先验</x:v>
      </x:c>
      <x:c r="H14" s="19" t="str">
        <x:v>不是汽车板材或小米采购价。</x:v>
      </x:c>
    </x:row>
    <x:row r="15" ht="46" customHeight="1">
      <x:c r="A15" s="229" t="str">
        <x:v>S_FUYAO_2025</x:v>
      </x:c>
      <x:c r="B15" s="220" t="str">
        <x:v>福耀玻璃2025年年报</x:v>
      </x:c>
      <x:c r="C15" s="220" t="str">
        <x:v>2026-03-18</x:v>
      </x:c>
      <x:c r="D15" s="220" t="str">
        <x:v>B</x:v>
      </x:c>
      <x:c r="E15" s="220" t="str">
        <x:v>汽车玻璃收入/成本/销量均价</x:v>
      </x:c>
      <x:c r="F15" s="235" t="str">
        <x:v>https://static.cninfo.com.cn/finalpage/2026-03-18/1225014577.PDF</x:v>
      </x:c>
      <x:c r="G15" s="220" t="str">
        <x:v>工程先验</x:v>
      </x:c>
      <x:c r="H15" s="220" t="str">
        <x:v>产品结构混合。</x:v>
      </x:c>
    </x:row>
    <x:row r="16" ht="46" customHeight="1">
      <x:c r="A16" s="229" t="str">
        <x:v>S_SEAT_WIPER_IPO</x:v>
      </x:c>
      <x:c r="B16" s="19" t="str">
        <x:v>座椅电机/雨刮供应商IPO</x:v>
      </x:c>
      <x:c r="C16" s="19" t="str">
        <x:v>2023-03-02</x:v>
      </x:c>
      <x:c r="D16" s="19" t="str">
        <x:v>B/C</x:v>
      </x:c>
      <x:c r="E16" s="19" t="str">
        <x:v>座椅电机与后雨刮均价锚</x:v>
      </x:c>
      <x:c r="F16" s="234" t="str">
        <x:v>https://static.sse.com.cn/stock/disclosure/announcement/c/202303/001632_20230302_3Y0B.pdf</x:v>
      </x:c>
      <x:c r="G16" s="19" t="str">
        <x:v>单位成本</x:v>
      </x:c>
      <x:c r="H16" s="19" t="str">
        <x:v>历史混合ASP。</x:v>
      </x:c>
    </x:row>
    <x:row r="17" ht="46" customHeight="1">
      <x:c r="A17" s="229" t="str">
        <x:v>S_AIRBAG_IPO</x:v>
      </x:c>
      <x:c r="B17" s="220" t="str">
        <x:v>安全气囊供应商披露</x:v>
      </x:c>
      <x:c r="C17" s="220" t="str">
        <x:v>2023-06-29</x:v>
      </x:c>
      <x:c r="D17" s="220" t="str">
        <x:v>B/C</x:v>
      </x:c>
      <x:c r="E17" s="220" t="str">
        <x:v>气囊单元平均售价/成本锚</x:v>
      </x:c>
      <x:c r="F17" s="235" t="str">
        <x:v>https://static.cninfo.com.cn/finalpage/2023-06-29/1217156171.PDF</x:v>
      </x:c>
      <x:c r="G17" s="220" t="str">
        <x:v>单位成本</x:v>
      </x:c>
      <x:c r="H17" s="220" t="str">
        <x:v>历史混合ASP。</x:v>
      </x:c>
    </x:row>
    <x:row r="18" ht="46" customHeight="1">
      <x:c r="A18" s="229" t="str">
        <x:v>S_ANL_MATERIAL</x:v>
      </x:c>
      <x:c r="B18" s="19" t="str">
        <x:v>Argonne/A2Mac1车辆材料研究</x:v>
      </x:c>
      <x:c r="C18" s="19" t="str">
        <x:v>2025</x:v>
      </x:c>
      <x:c r="D18" s="19" t="str">
        <x:v>B/C</x:v>
      </x:c>
      <x:c r="E18" s="19" t="str">
        <x:v>材料篮子边界与个体差异</x:v>
      </x:c>
      <x:c r="F18" s="234" t="str">
        <x:v>https://www.nature.com/articles/s44458-025-00032-4</x:v>
      </x:c>
      <x:c r="G18" s="19" t="str">
        <x:v>工程先验</x:v>
      </x:c>
      <x:c r="H18" s="19" t="str">
        <x:v>不能替代小米材料清单。</x:v>
      </x:c>
    </x:row>
    <x:row r="19" ht="46" customHeight="1">
      <x:c r="A19" s="229" t="str">
        <x:v>S_EPA_BODY</x:v>
      </x:c>
      <x:c r="B19" s="220" t="str">
        <x:v>EPA/Lotus车身减重研究</x:v>
      </x:c>
      <x:c r="C19" s="220" t="str">
        <x:v>2012/2016</x:v>
      </x:c>
      <x:c r="D19" s="220" t="str">
        <x:v>C</x:v>
      </x:c>
      <x:c r="E19" s="220" t="str">
        <x:v>403.24kg车身完整质量量级</x:v>
      </x:c>
      <x:c r="F19" s="235" t="str">
        <x:v>https://www.epa.gov/sites/default/files/2016-11/documents/final-arb-phase2-rpt-r1.pdf</x:v>
      </x:c>
      <x:c r="G19" s="220" t="str">
        <x:v>外部校验</x:v>
      </x:c>
      <x:c r="H19" s="220" t="str">
        <x:v>美国历史车型，不进主公式。</x:v>
      </x:c>
    </x:row>
    <x:row r="20" ht="46" customHeight="1">
      <x:c r="A20" s="229" t="str">
        <x:v>S_PHASE21B_HUD</x:v>
      </x:c>
      <x:c r="B20" s="19" t="str">
        <x:v>Phase 2.1B INC_SU7_HUD</x:v>
      </x:c>
      <x:c r="C20" s="19" t="str">
        <x:v>2026-08-01</x:v>
      </x:c>
      <x:c r="D20" s="19" t="str">
        <x:v>C</x:v>
      </x:c>
      <x:c r="E20" s="19" t="str">
        <x:v>WHUD绝对成本区间</x:v>
      </x:c>
      <x:c r="F20" s="234" t="str">
        <x:v>01_原子成本假设｜INC_SU7_HUD</x:v>
      </x:c>
      <x:c r="G20" s="19" t="str">
        <x:v>单位成本</x:v>
      </x:c>
      <x:c r="H20" s="19" t="str">
        <x:v>工程成本库。</x:v>
      </x:c>
    </x:row>
    <x:row r="23" ht="46" customHeight="1">
      <x:c r="A23" s="219" t="str">
        <x:v>evidence_id</x:v>
      </x:c>
      <x:c r="B23" s="219" t="str">
        <x:v>模块</x:v>
      </x:c>
      <x:c r="C23" s="219" t="str">
        <x:v>指标</x:v>
      </x:c>
      <x:c r="D23" s="219" t="str">
        <x:v>SU7</x:v>
      </x:c>
      <x:c r="E23" s="219" t="str">
        <x:v>YU7</x:v>
      </x:c>
      <x:c r="F23" s="219" t="str">
        <x:v>差值</x:v>
      </x:c>
      <x:c r="G23" s="219" t="str">
        <x:v>单位</x:v>
      </x:c>
      <x:c r="H23" s="219" t="str">
        <x:v>来源ID</x:v>
      </x:c>
      <x:c r="I23" s="219" t="str">
        <x:v>等级</x:v>
      </x:c>
      <x:c r="J23" s="219" t="str">
        <x:v>模型角色</x:v>
      </x:c>
      <x:c r="K23" s="219" t="str">
        <x:v>可货币化</x:v>
      </x:c>
      <x:c r="L23" s="219" t="str">
        <x:v>限制</x:v>
      </x:c>
      <x:c r="M23" s="219" t="str">
        <x:v>计算/定位</x:v>
      </x:c>
      <x:c r="N23" s="219" t="str">
        <x:v>适用桥</x:v>
      </x:c>
    </x:row>
    <x:row r="24" ht="48" customHeight="1">
      <x:c r="A24" s="237" t="str">
        <x:v>E_MASS_STD</x:v>
      </x:c>
      <x:c r="B24" s="19" t="str">
        <x:v>总量约束</x:v>
      </x:c>
      <x:c r="C24" s="19" t="str">
        <x:v>73kWh同包非电池净质量</x:v>
      </x:c>
      <x:c r="D24" s="62" t="n">
        <x:v>1451</x:v>
      </x:c>
      <x:c r="E24" s="62" t="n">
        <x:v>1596</x:v>
      </x:c>
      <x:c r="F24" s="62" t="n">
        <x:f>E24-D24</x:f>
        <x:v>145</x:v>
      </x:c>
      <x:c r="G24" s="19" t="str">
        <x:v>kg</x:v>
      </x:c>
      <x:c r="H24" s="19" t="str">
        <x:v>S_MII_SU7_403;S_MII_YU7_406</x:v>
      </x:c>
      <x:c r="I24" s="19" t="str">
        <x:v>A</x:v>
      </x:c>
      <x:c r="J24" s="19" t="str">
        <x:v>毛质量上界</x:v>
      </x:c>
      <x:c r="K24" s="19" t="str">
        <x:v>仅代理</x:v>
      </x:c>
      <x:c r="L24" s="19" t="str">
        <x:v>仍含多个模块。</x:v>
      </x:c>
      <x:c r="M24" s="19" t="str">
        <x:v>整备−电池包</x:v>
      </x:c>
      <x:c r="N24" s="19" t="str">
        <x:v>STD</x:v>
      </x:c>
    </x:row>
    <x:row r="25" ht="48" customHeight="1">
      <x:c r="A25" s="237" t="str">
        <x:v>E_MASS_RWD96</x:v>
      </x:c>
      <x:c r="B25" s="220" t="str">
        <x:v>总量约束</x:v>
      </x:c>
      <x:c r="C25" s="220" t="str">
        <x:v>96.3kWh后驱非电池净质量</x:v>
      </x:c>
      <x:c r="D25" s="231" t="n">
        <x:v>1464</x:v>
      </x:c>
      <x:c r="E25" s="231" t="n">
        <x:v>1596</x:v>
      </x:c>
      <x:c r="F25" s="231" t="n">
        <x:f>E25-D25</x:f>
        <x:v>132</x:v>
      </x:c>
      <x:c r="G25" s="220" t="str">
        <x:v>kg</x:v>
      </x:c>
      <x:c r="H25" s="220" t="str">
        <x:v>S_MII_SU7_403;S_MII_YU7_R3</x:v>
      </x:c>
      <x:c r="I25" s="220" t="str">
        <x:v>A</x:v>
      </x:c>
      <x:c r="J25" s="220" t="str">
        <x:v>毛质量中锚</x:v>
      </x:c>
      <x:c r="K25" s="220" t="str">
        <x:v>仅代理</x:v>
      </x:c>
      <x:c r="L25" s="220" t="str">
        <x:v>包质量差3kg已扣。</x:v>
      </x:c>
      <x:c r="M25" s="220" t="str">
        <x:v>整备−电池包</x:v>
      </x:c>
      <x:c r="N25" s="220" t="str">
        <x:v>RWD96</x:v>
      </x:c>
    </x:row>
    <x:row r="26" ht="48" customHeight="1">
      <x:c r="A26" s="237" t="str">
        <x:v>E_MASS_MAX</x:v>
      </x:c>
      <x:c r="B26" s="19" t="str">
        <x:v>总量约束</x:v>
      </x:c>
      <x:c r="C26" s="19" t="str">
        <x:v>101.7kWh同包非电池净质量</x:v>
      </x:c>
      <x:c r="D26" s="62" t="n">
        <x:v>1614</x:v>
      </x:c>
      <x:c r="E26" s="62" t="n">
        <x:v>1739</x:v>
      </x:c>
      <x:c r="F26" s="62" t="n">
        <x:f>E26-D26</x:f>
        <x:v>125</x:v>
      </x:c>
      <x:c r="G26" s="19" t="str">
        <x:v>kg</x:v>
      </x:c>
      <x:c r="H26" s="19" t="str">
        <x:v>S_MII_SU7_403;S_MII_YU7_MAX</x:v>
      </x:c>
      <x:c r="I26" s="19" t="str">
        <x:v>A</x:v>
      </x:c>
      <x:c r="J26" s="19" t="str">
        <x:v>毛质量下界</x:v>
      </x:c>
      <x:c r="K26" s="19" t="str">
        <x:v>仅代理</x:v>
      </x:c>
      <x:c r="L26" s="19" t="str">
        <x:v>不是白车身重量。</x:v>
      </x:c>
      <x:c r="M26" s="19" t="str">
        <x:v>整备−电池包</x:v>
      </x:c>
      <x:c r="N26" s="19" t="str">
        <x:v>MAX</x:v>
      </x:c>
    </x:row>
    <x:row r="27" ht="48" customHeight="1">
      <x:c r="A27" s="237" t="str">
        <x:v>E_DIM_STD</x:v>
      </x:c>
      <x:c r="B27" s="220" t="str">
        <x:v>几何</x:v>
      </x:c>
      <x:c r="C27" s="220" t="str">
        <x:v>标准桥尺寸</x:v>
      </x:c>
      <x:c r="D27" s="231" t="str">
        <x:v>4997×1963×1460</x:v>
      </x:c>
      <x:c r="E27" s="231" t="str">
        <x:v>4999×1996×1608</x:v>
      </x:c>
      <x:c r="F27" s="231" t="str">
        <x:v>+2/+33/+148</x:v>
      </x:c>
      <x:c r="G27" s="220" t="str">
        <x:v>mm</x:v>
      </x:c>
      <x:c r="H27" s="220" t="str">
        <x:v>S_MII_SU7_403;S_MII_YU7_406</x:v>
      </x:c>
      <x:c r="I27" s="220" t="str">
        <x:v>A</x:v>
      </x:c>
      <x:c r="J27" s="220" t="str">
        <x:v>表面积软约束</x:v>
      </x:c>
      <x:c r="K27" s="220" t="str">
        <x:v>否</x:v>
      </x:c>
      <x:c r="L27" s="220" t="str">
        <x:v>矩形代理不等于覆盖件。</x:v>
      </x:c>
      <x:c r="M27" s="220" t="str">
        <x:v>同轴距3000</x:v>
      </x:c>
      <x:c r="N27" s="220" t="str">
        <x:v>STD</x:v>
      </x:c>
    </x:row>
    <x:row r="28" ht="48" customHeight="1">
      <x:c r="A28" s="237" t="str">
        <x:v>E_DIM_HIGH</x:v>
      </x:c>
      <x:c r="B28" s="19" t="str">
        <x:v>几何</x:v>
      </x:c>
      <x:c r="C28" s="19" t="str">
        <x:v>中高配尺寸</x:v>
      </x:c>
      <x:c r="D28" s="62" t="str">
        <x:v>4997×1963×1445</x:v>
      </x:c>
      <x:c r="E28" s="62" t="str">
        <x:v>4999×1996×1600</x:v>
      </x:c>
      <x:c r="F28" s="62" t="str">
        <x:v>+2/+33/+155</x:v>
      </x:c>
      <x:c r="G28" s="19" t="str">
        <x:v>mm</x:v>
      </x:c>
      <x:c r="H28" s="19" t="str">
        <x:v>S_MII_SU7_403;S_MII_YU7_MAX</x:v>
      </x:c>
      <x:c r="I28" s="19" t="str">
        <x:v>A</x:v>
      </x:c>
      <x:c r="J28" s="19" t="str">
        <x:v>表面积软约束</x:v>
      </x:c>
      <x:c r="K28" s="19" t="str">
        <x:v>否</x:v>
      </x:c>
      <x:c r="L28" s="19" t="str">
        <x:v>矩形代理不等于覆盖件。</x:v>
      </x:c>
      <x:c r="M28" s="19" t="str">
        <x:v>同轴距3000</x:v>
      </x:c>
      <x:c r="N28" s="19" t="str">
        <x:v>RWD96/CHASSIS96/MAX</x:v>
      </x:c>
    </x:row>
    <x:row r="29" ht="48" customHeight="1">
      <x:c r="A29" s="237" t="str">
        <x:v>E_SURFACE_STD</x:v>
      </x:c>
      <x:c r="B29" s="220" t="str">
        <x:v>几何</x:v>
      </x:c>
      <x:c r="C29" s="220" t="str">
        <x:v>矩形箱体表面积代理</x:v>
      </x:c>
      <x:c r="D29" s="231" t="n">
        <x:f>2*('18_跨系底表'!H7*'18_跨系底表'!I7+'18_跨系底表'!H7*'18_跨系底表'!J7+'18_跨系底表'!I7*'18_跨系底表'!J7)/1000000</x:f>
        <x:v>39.941422</x:v>
      </x:c>
      <x:c r="E29" s="231" t="n">
        <x:f>2*('18_跨系底表'!H10*'18_跨系底表'!I10+'18_跨系底表'!H10*'18_跨系底表'!J10+'18_跨系底表'!I10*'18_跨系底表'!J10)/1000000</x:f>
        <x:v>42.451928</x:v>
      </x:c>
      <x:c r="F29" s="231" t="n">
        <x:f>E29-D29</x:f>
        <x:v>2.5105059999999995</x:v>
      </x:c>
      <x:c r="G29" s="220" t="str">
        <x:v>m²</x:v>
      </x:c>
      <x:c r="H29" s="220" t="str">
        <x:v>E_DIM_STD</x:v>
      </x:c>
      <x:c r="I29" s="220" t="str">
        <x:v>C</x:v>
      </x:c>
      <x:c r="J29" s="220" t="str">
        <x:v>敏感性</x:v>
      </x:c>
      <x:c r="K29" s="220" t="str">
        <x:v>否</x:v>
      </x:c>
      <x:c r="L29" s="220" t="str">
        <x:v>只验证约+6%方向。</x:v>
      </x:c>
      <x:c r="M29" s="220" t="str">
        <x:v>2×(LW+LH+WH)</x:v>
      </x:c>
      <x:c r="N29" s="220" t="str">
        <x:v>STD</x:v>
      </x:c>
    </x:row>
    <x:row r="30" ht="48" customHeight="1">
      <x:c r="A30" s="237" t="str">
        <x:v>E_SURFACE_HIGH</x:v>
      </x:c>
      <x:c r="B30" s="19" t="str">
        <x:v>几何</x:v>
      </x:c>
      <x:c r="C30" s="19" t="str">
        <x:v>矩形箱体表面积代理</x:v>
      </x:c>
      <x:c r="D30" s="62" t="n">
        <x:f>2*('18_跨系底表'!H9*'18_跨系底表'!I9+'18_跨系底表'!H9*'18_跨系底表'!J9+'18_跨系底表'!I9*'18_跨系底表'!J9)/1000000</x:f>
        <x:v>39.732622</x:v>
      </x:c>
      <x:c r="E30" s="62" t="n">
        <x:f>2*('18_跨系底表'!H13*'18_跨系底表'!I13+'18_跨系底表'!H13*'18_跨系底表'!J13+'18_跨系底表'!I13*'18_跨系底表'!J13)/1000000</x:f>
        <x:v>42.340008</x:v>
      </x:c>
      <x:c r="F30" s="62" t="n">
        <x:f>E30-D30</x:f>
        <x:v>2.607385999999998</x:v>
      </x:c>
      <x:c r="G30" s="19" t="str">
        <x:v>m²</x:v>
      </x:c>
      <x:c r="H30" s="19" t="str">
        <x:v>E_DIM_HIGH</x:v>
      </x:c>
      <x:c r="I30" s="19" t="str">
        <x:v>C</x:v>
      </x:c>
      <x:c r="J30" s="19" t="str">
        <x:v>敏感性</x:v>
      </x:c>
      <x:c r="K30" s="19" t="str">
        <x:v>否</x:v>
      </x:c>
      <x:c r="L30" s="19" t="str">
        <x:v>不直接乘成本。</x:v>
      </x:c>
      <x:c r="M30" s="19" t="str">
        <x:v>2×(LW+LH+WH)</x:v>
      </x:c>
      <x:c r="N30" s="19" t="str">
        <x:v>CHASSIS96/MAX</x:v>
      </x:c>
    </x:row>
    <x:row r="31" ht="48" customHeight="1">
      <x:c r="A31" s="237" t="str">
        <x:v>E_STORAGE</x:v>
      </x:c>
      <x:c r="B31" s="220" t="str">
        <x:v>闭合件/包装</x:v>
      </x:c>
      <x:c r="C31" s="220" t="str">
        <x:v>固定储物容积合计</x:v>
      </x:c>
      <x:c r="D31" s="231" t="n">
        <x:v>598</x:v>
      </x:c>
      <x:c r="E31" s="231" t="n">
        <x:v>819</x:v>
      </x:c>
      <x:c r="F31" s="231" t="n">
        <x:f>E31-D31</x:f>
        <x:v>221</x:v>
      </x:c>
      <x:c r="G31" s="220" t="str">
        <x:v>L</x:v>
      </x:c>
      <x:c r="H31" s="220" t="str">
        <x:v>S_APP_LOCAL;S_XM_YU7</x:v>
      </x:c>
      <x:c r="I31" s="220" t="str">
        <x:v>A-</x:v>
      </x:c>
      <x:c r="J31" s="220" t="str">
        <x:v>尾门/货舱模块</x:v>
      </x:c>
      <x:c r="K31" s="220" t="str">
        <x:v>仅代理</x:v>
      </x:c>
      <x:c r="L31" s="220" t="str">
        <x:v>不能按升数计价。</x:v>
      </x:c>
      <x:c r="M31" s="220" t="str">
        <x:v>105+493；141+678</x:v>
      </x:c>
      <x:c r="N31" s="220" t="str">
        <x:v>ALL</x:v>
      </x:c>
    </x:row>
    <x:row r="32" ht="48" customHeight="1">
      <x:c r="A32" s="237" t="str">
        <x:v>E_AIRBAG</x:v>
      </x:c>
      <x:c r="B32" s="19" t="str">
        <x:v>安全</x:v>
      </x:c>
      <x:c r="C32" s="19" t="str">
        <x:v>安全气囊数量</x:v>
      </x:c>
      <x:c r="D32" s="62" t="n">
        <x:v>9</x:v>
      </x:c>
      <x:c r="E32" s="62" t="n">
        <x:v>7</x:v>
      </x:c>
      <x:c r="F32" s="62" t="n">
        <x:f>E32-D32</x:f>
        <x:v>-2</x:v>
      </x:c>
      <x:c r="G32" s="19" t="str">
        <x:v>个</x:v>
      </x:c>
      <x:c r="H32" s="19" t="str">
        <x:v>S_XM_SU7;S_XM_YU7;S_APP_LOCAL</x:v>
      </x:c>
      <x:c r="I32" s="19" t="str">
        <x:v>A-</x:v>
      </x:c>
      <x:c r="J32" s="19" t="str">
        <x:v>负向配置差</x:v>
      </x:c>
      <x:c r="K32" s="19" t="str">
        <x:v>是</x:v>
      </x:c>
      <x:c r="L32" s="19" t="str">
        <x:v>气囊类型未知。</x:v>
      </x:c>
      <x:c r="M32" s="19" t="str">
        <x:v>YU7−SU7=-2</x:v>
      </x:c>
      <x:c r="N32" s="19" t="str">
        <x:v>ALL</x:v>
      </x:c>
    </x:row>
    <x:row r="33" ht="48" customHeight="1">
      <x:c r="A33" s="237" t="str">
        <x:v>E_REAR_SEAT</x:v>
      </x:c>
      <x:c r="B33" s="220" t="str">
        <x:v>座椅</x:v>
      </x:c>
      <x:c r="C33" s="220" t="str">
        <x:v>后排电调/4:6电动放倒</x:v>
      </x:c>
      <x:c r="D33" s="231" t="n">
        <x:v>0</x:v>
      </x:c>
      <x:c r="E33" s="231" t="n">
        <x:v>1</x:v>
      </x:c>
      <x:c r="F33" s="231" t="n">
        <x:f>E33-D33</x:f>
        <x:v>1</x:v>
      </x:c>
      <x:c r="G33" s="220" t="str">
        <x:v>套</x:v>
      </x:c>
      <x:c r="H33" s="220" t="str">
        <x:v>S_XM_SU7;S_XM_YU7</x:v>
      </x:c>
      <x:c r="I33" s="220" t="str">
        <x:v>A-</x:v>
      </x:c>
      <x:c r="J33" s="220" t="str">
        <x:v>独立总成</x:v>
      </x:c>
      <x:c r="K33" s="220" t="str">
        <x:v>是</x:v>
      </x:c>
      <x:c r="L33" s="220" t="str">
        <x:v>不含面料与权益。</x:v>
      </x:c>
      <x:c r="M33" s="220" t="str">
        <x:v>执行器/线束/控制</x:v>
      </x:c>
      <x:c r="N33" s="220" t="str">
        <x:v>ALL</x:v>
      </x:c>
    </x:row>
    <x:row r="34" ht="48" customHeight="1">
      <x:c r="A34" s="237" t="str">
        <x:v>E_HYPERVISION</x:v>
      </x:c>
      <x:c r="B34" s="19" t="str">
        <x:v>座舱</x:v>
      </x:c>
      <x:c r="C34" s="19" t="str">
        <x:v>HyperVision相对普通HUD成本</x:v>
      </x:c>
      <x:c r="D34" s="62" t="n">
        <x:v>1</x:v>
      </x:c>
      <x:c r="E34" s="62" t="n">
        <x:v>2.5</x:v>
      </x:c>
      <x:c r="F34" s="62"/>
      <x:c r="G34" s="19" t="str">
        <x:v>倍</x:v>
      </x:c>
      <x:c r="H34" s="19" t="str">
        <x:v>S_XM_YU7_LAUNCH;S_PHASE21B_HUD</x:v>
      </x:c>
      <x:c r="I34" s="19" t="str">
        <x:v>A/C</x:v>
      </x:c>
      <x:c r="J34" s="19" t="str">
        <x:v>独立总成</x:v>
      </x:c>
      <x:c r="K34" s="19" t="str">
        <x:v>是</x:v>
      </x:c>
      <x:c r="L34" s="19" t="str">
        <x:v>官方仅披露2—3倍。</x:v>
      </x:c>
      <x:c r="M34" s="19" t="str">
        <x:v>2×/2.5×/3×</x:v>
      </x:c>
      <x:c r="N34" s="19" t="str">
        <x:v>ALL</x:v>
      </x:c>
    </x:row>
    <x:row r="35" ht="48" customHeight="1">
      <x:c r="A35" s="237" t="str">
        <x:v>E_GLASS</x:v>
      </x:c>
      <x:c r="B35" s="220" t="str">
        <x:v>玻璃/NVH</x:v>
      </x:c>
      <x:c r="C35" s="220" t="str">
        <x:v>四门夹层静音玻璃基线</x:v>
      </x:c>
      <x:c r="D35" s="231" t="str">
        <x:v>是</x:v>
      </x:c>
      <x:c r="E35" s="231" t="str">
        <x:v>是</x:v>
      </x:c>
      <x:c r="F35" s="231" t="str">
        <x:v>共同基线</x:v>
      </x:c>
      <x:c r="G35" s="220" t="str">
        <x:v>文本</x:v>
      </x:c>
      <x:c r="H35" s="220" t="str">
        <x:v>S_XM_SU7;S_XM_YU7</x:v>
      </x:c>
      <x:c r="I35" s="220" t="str">
        <x:v>A</x:v>
      </x:c>
      <x:c r="J35" s="220" t="str">
        <x:v>避免高估</x:v>
      </x:c>
      <x:c r="K35" s="220" t="str">
        <x:v>否</x:v>
      </x:c>
      <x:c r="L35" s="220" t="str">
        <x:v>不把全部YU7描述视作升级。</x:v>
      </x:c>
      <x:c r="M35" s="220" t="str">
        <x:v>面积/厚度未知</x:v>
      </x:c>
      <x:c r="N35" s="220" t="str">
        <x:v>ALL</x:v>
      </x:c>
    </x:row>
    <x:row r="36" ht="48" customHeight="1">
      <x:c r="A36" s="237" t="str">
        <x:v>E_HOOD</x:v>
      </x:c>
      <x:c r="B36" s="19" t="str">
        <x:v>闭合件</x:v>
      </x:c>
      <x:c r="C36" s="19" t="str">
        <x:v>YU7 3.11㎡铝制蚌式机盖</x:v>
      </x:c>
      <x:c r="D36" s="62" t="str">
        <x:v>面积未披露</x:v>
      </x:c>
      <x:c r="E36" s="62" t="str">
        <x:v>3.11㎡</x:v>
      </x:c>
      <x:c r="F36" s="62" t="str">
        <x:v>净差未知</x:v>
      </x:c>
      <x:c r="G36" s="19" t="str">
        <x:v>m²</x:v>
      </x:c>
      <x:c r="H36" s="19" t="str">
        <x:v>S_XM_YU7</x:v>
      </x:c>
      <x:c r="I36" s="19" t="str">
        <x:v>A</x:v>
      </x:c>
      <x:c r="J36" s="19" t="str">
        <x:v>已知未估项</x:v>
      </x:c>
      <x:c r="K36" s="19" t="str">
        <x:v>否</x:v>
      </x:c>
      <x:c r="L36" s="19" t="str">
        <x:v>缺SU7对照。</x:v>
      </x:c>
      <x:c r="M36" s="19" t="str">
        <x:v>不能全额计差</x:v>
      </x:c>
      <x:c r="N36" s="19" t="str">
        <x:v>ALL</x:v>
      </x:c>
    </x:row>
    <x:row r="37" ht="48" customHeight="1">
      <x:c r="A37" s="237" t="str">
        <x:v>E_BODY_COMMON</x:v>
      </x:c>
      <x:c r="B37" s="220" t="str">
        <x:v>车身结构</x:v>
      </x:c>
      <x:c r="C37" s="220" t="str">
        <x:v>钢铝混合/2200MPa共同基线</x:v>
      </x:c>
      <x:c r="D37" s="231" t="str">
        <x:v>是</x:v>
      </x:c>
      <x:c r="E37" s="231" t="str">
        <x:v>是</x:v>
      </x:c>
      <x:c r="F37" s="231" t="str">
        <x:v>共同基线</x:v>
      </x:c>
      <x:c r="G37" s="220" t="str">
        <x:v>文本</x:v>
      </x:c>
      <x:c r="H37" s="220" t="str">
        <x:v>S_XM_SU7;S_XM_YU7</x:v>
      </x:c>
      <x:c r="I37" s="220" t="str">
        <x:v>A</x:v>
      </x:c>
      <x:c r="J37" s="220" t="str">
        <x:v>约束先验</x:v>
      </x:c>
      <x:c r="K37" s="220" t="str">
        <x:v>否</x:v>
      </x:c>
      <x:c r="L37" s="220" t="str">
        <x:v>MPa不能换成本。</x:v>
      </x:c>
      <x:c r="M37" s="220" t="str">
        <x:v>材料质量未知</x:v>
      </x:c>
      <x:c r="N37" s="220" t="str">
        <x:v>ALL</x:v>
      </x:c>
    </x:row>
    <x:row r="38" ht="48" customHeight="1">
      <x:c r="A38" s="237" t="str">
        <x:v>E_EPA_BODY</x:v>
      </x:c>
      <x:c r="B38" s="19" t="str">
        <x:v>外部基准</x:v>
      </x:c>
      <x:c r="C38" s="19" t="str">
        <x:v>历史车型车身完整质量</x:v>
      </x:c>
      <x:c r="D38" s="62"/>
      <x:c r="E38" s="62" t="n">
        <x:v>403.24</x:v>
      </x:c>
      <x:c r="F38" s="62"/>
      <x:c r="G38" s="19" t="str">
        <x:v>kg</x:v>
      </x:c>
      <x:c r="H38" s="19" t="str">
        <x:v>S_EPA_BODY</x:v>
      </x:c>
      <x:c r="I38" s="19" t="str">
        <x:v>C</x:v>
      </x:c>
      <x:c r="J38" s="19" t="str">
        <x:v>量级复核</x:v>
      </x:c>
      <x:c r="K38" s="19" t="str">
        <x:v>否</x:v>
      </x:c>
      <x:c r="L38" s="19" t="str">
        <x:v>海外历史车型。</x:v>
      </x:c>
      <x:c r="M38" s="19" t="str">
        <x:v>不进主公式</x:v>
      </x:c>
      <x:c r="N38" s="19" t="str">
        <x:v>BENCHMARK</x:v>
      </x:c>
    </x:row>
  </x:sheetData>
  <x:mergeCells>
    <x:mergeCell ref="A1:N1"/>
    <x:mergeCell ref="A2:N2"/>
    <x:mergeCell ref="A3:N3"/>
  </x:mergeCells>
  <x:pageMargins left="0.7" right="0.7" top="0.75" bottom="0.75" header="0.3" footer="0.3"/>
</x:worksheet>
</file>

<file path=xl/worksheets/sheet2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8" hidden="0" customWidth="1"/>
    <x:col min="3" max="3" width="34" hidden="0" customWidth="1"/>
    <x:col min="4" max="4" width="14" hidden="0" customWidth="1"/>
    <x:col min="5" max="5" width="14" hidden="0" customWidth="1"/>
    <x:col min="6" max="6" width="14" hidden="0" customWidth="1"/>
    <x:col min="7" max="7" width="13" hidden="0" customWidth="1"/>
    <x:col min="8" max="8" width="44" hidden="0" customWidth="1"/>
    <x:col min="9" max="9" width="13" hidden="0" customWidth="1"/>
    <x:col min="10" max="10" width="21" hidden="0" customWidth="1"/>
    <x:col min="11" max="11" width="28" hidden="0" customWidth="1"/>
    <x:col min="12" max="12" width="18" hidden="0" customWidth="1"/>
    <x:col min="13" max="13" width="12" hidden="0" customWidth="1"/>
    <x:col min="14" max="14" width="52" hidden="0" customWidth="1"/>
    <x:col min="15" max="15" width="16" hidden="0" customWidth="1"/>
    <x:col min="16" max="16" width="16" hidden="0" customWidth="1"/>
  </x:cols>
  <x:sheetData>
    <x:row r="1" ht="30" customHeight="1">
      <x:c r="A1" s="207" t="str">
        <x:v>25｜独立跨车身 BOM 假设</x:v>
      </x:c>
      <x:c r="B1" s="207"/>
      <x:c r="C1" s="207"/>
      <x:c r="D1" s="207"/>
      <x:c r="E1" s="207"/>
      <x:c r="F1" s="207"/>
      <x:c r="G1" s="207"/>
      <x:c r="H1" s="207"/>
      <x:c r="I1" s="207"/>
      <x:c r="J1" s="207"/>
      <x:c r="K1" s="207"/>
      <x:c r="L1" s="207"/>
      <x:c r="M1" s="207"/>
      <x:c r="N1" s="207"/>
      <x:c r="O1" s="207"/>
      <x:c r="P1" s="207"/>
    </x:row>
    <x:row r="2" ht="22" customHeight="1">
      <x:c r="A2" s="210" t="str">
        <x:v>基础物料代理 + 尾门/货舱功能件 + HyperVision + 气囊 + 后排电动机构｜不引用售价</x:v>
      </x:c>
      <x:c r="B2" s="210"/>
      <x:c r="C2" s="210"/>
      <x:c r="D2" s="210"/>
      <x:c r="E2" s="210"/>
      <x:c r="F2" s="210"/>
      <x:c r="G2" s="210"/>
      <x:c r="H2" s="210"/>
      <x:c r="I2" s="210"/>
      <x:c r="J2" s="210"/>
      <x:c r="K2" s="210"/>
      <x:c r="L2" s="210"/>
      <x:c r="M2" s="210"/>
      <x:c r="N2" s="210"/>
      <x:c r="O2" s="210"/>
      <x:c r="P2" s="210"/>
    </x:row>
    <x:row r="3" ht="44" customHeight="1">
      <x:c r="A3" s="214" t="str">
        <x:v>基础物料代理以125/132/145kg毛约束起步，并预留10%—20%给单列模块；它是粗粒度情景，不是真实白车身成本。尾门金属壳/新增玻璃在基础代理内，功能件另列。</x:v>
      </x:c>
      <x:c r="B3" s="214"/>
      <x:c r="C3" s="214"/>
      <x:c r="D3" s="214"/>
      <x:c r="E3" s="214"/>
      <x:c r="F3" s="214"/>
      <x:c r="G3" s="214"/>
      <x:c r="H3" s="214"/>
      <x:c r="I3" s="214"/>
      <x:c r="J3" s="214"/>
      <x:c r="K3" s="214"/>
      <x:c r="L3" s="214"/>
      <x:c r="M3" s="214"/>
      <x:c r="N3" s="214"/>
      <x:c r="O3" s="214"/>
      <x:c r="P3" s="214"/>
    </x:row>
    <x:row r="5" ht="44" customHeight="1">
      <x:c r="A5" s="219" t="str">
        <x:v>parameter_id</x:v>
      </x:c>
      <x:c r="B5" s="219" t="str">
        <x:v>参数</x:v>
      </x:c>
      <x:c r="C5" s="219" t="str">
        <x:v>Low</x:v>
      </x:c>
      <x:c r="D5" s="219" t="str">
        <x:v>Mid</x:v>
      </x:c>
      <x:c r="E5" s="219" t="str">
        <x:v>High</x:v>
      </x:c>
      <x:c r="F5" s="219" t="str">
        <x:v>单位</x:v>
      </x:c>
      <x:c r="G5" s="219" t="str">
        <x:v>来源ID</x:v>
      </x:c>
      <x:c r="H5" s="219" t="str">
        <x:v>等级</x:v>
      </x:c>
      <x:c r="I5" s="219" t="str">
        <x:v>售价衍生</x:v>
      </x:c>
      <x:c r="J5" s="219" t="str">
        <x:v>用途</x:v>
      </x:c>
      <x:c r="K5" s="219" t="str">
        <x:v>边界</x:v>
      </x:c>
    </x:row>
    <x:row r="6" ht="42" customHeight="1">
      <x:c r="A6" s="19" t="str">
        <x:v>P_GROSS_MASS</x:v>
      </x:c>
      <x:c r="B6" s="19" t="str">
        <x:v>同三电非电池毛质量差</x:v>
      </x:c>
      <x:c r="C6" s="232" t="n">
        <x:v>125</x:v>
      </x:c>
      <x:c r="D6" s="232" t="n">
        <x:v>132</x:v>
      </x:c>
      <x:c r="E6" s="232" t="n">
        <x:v>145</x:v>
      </x:c>
      <x:c r="F6" s="19" t="str">
        <x:v>kg</x:v>
      </x:c>
      <x:c r="G6" s="19" t="str">
        <x:v>E_MASS_STD;E_MASS_RWD96;E_MASS_MAX</x:v>
      </x:c>
      <x:c r="H6" s="19" t="str">
        <x:v>A</x:v>
      </x:c>
      <x:c r="I6" s="19" t="str">
        <x:v>NO</x:v>
      </x:c>
      <x:c r="J6" s="19" t="str">
        <x:v>新增物料总约束</x:v>
      </x:c>
      <x:c r="K6" s="19" t="str">
        <x:v>不是白车身重量。</x:v>
      </x:c>
    </x:row>
    <x:row r="7" ht="42" customHeight="1">
      <x:c r="A7" s="220" t="str">
        <x:v>P_CLEAN_FACTOR</x:v>
      </x:c>
      <x:c r="B7" s="220" t="str">
        <x:v>基础物料清洁比例</x:v>
      </x:c>
      <x:c r="C7" s="225" t="n">
        <x:v>0.8</x:v>
      </x:c>
      <x:c r="D7" s="225" t="n">
        <x:v>0.85</x:v>
      </x:c>
      <x:c r="E7" s="225" t="n">
        <x:v>0.9</x:v>
      </x:c>
      <x:c r="F7" s="220" t="str">
        <x:v>%</x:v>
      </x:c>
      <x:c r="G7" s="220" t="str">
        <x:v>工程先验</x:v>
      </x:c>
      <x:c r="H7" s="220" t="str">
        <x:v>D</x:v>
      </x:c>
      <x:c r="I7" s="220" t="str">
        <x:v>NO</x:v>
      </x:c>
      <x:c r="J7" s="220" t="str">
        <x:v>为屏幕/座椅/气囊预留质量</x:v>
      </x:c>
      <x:c r="K7" s="220" t="str">
        <x:v>最大不确定性。</x:v>
      </x:c>
    </x:row>
    <x:row r="8" ht="42" customHeight="1">
      <x:c r="A8" s="19" t="str">
        <x:v>P_SHARE_STEEL</x:v>
      </x:c>
      <x:c r="B8" s="19" t="str">
        <x:v>钢质量占比</x:v>
      </x:c>
      <x:c r="C8" s="225" t="n">
        <x:v>0.5</x:v>
      </x:c>
      <x:c r="D8" s="225" t="n">
        <x:v>0.5</x:v>
      </x:c>
      <x:c r="E8" s="225" t="n">
        <x:v>0.5</x:v>
      </x:c>
      <x:c r="F8" s="19" t="str">
        <x:v>%</x:v>
      </x:c>
      <x:c r="G8" s="19" t="str">
        <x:v>S_ANL_MATERIAL</x:v>
      </x:c>
      <x:c r="H8" s="19" t="str">
        <x:v>D</x:v>
      </x:c>
      <x:c r="I8" s="19" t="str">
        <x:v>NO</x:v>
      </x:c>
      <x:c r="J8" s="19" t="str">
        <x:v>中性材料篮子</x:v>
      </x:c>
      <x:c r="K8" s="19" t="str">
        <x:v>非小米披露。</x:v>
      </x:c>
    </x:row>
    <x:row r="9" ht="42" customHeight="1">
      <x:c r="A9" s="220" t="str">
        <x:v>P_SHARE_AL</x:v>
      </x:c>
      <x:c r="B9" s="220" t="str">
        <x:v>铝质量占比</x:v>
      </x:c>
      <x:c r="C9" s="225" t="n">
        <x:v>0.15</x:v>
      </x:c>
      <x:c r="D9" s="225" t="n">
        <x:v>0.15</x:v>
      </x:c>
      <x:c r="E9" s="225" t="n">
        <x:v>0.15</x:v>
      </x:c>
      <x:c r="F9" s="220" t="str">
        <x:v>%</x:v>
      </x:c>
      <x:c r="G9" s="220" t="str">
        <x:v>S_ANL_MATERIAL;S_XM_YU7</x:v>
      </x:c>
      <x:c r="H9" s="220" t="str">
        <x:v>D</x:v>
      </x:c>
      <x:c r="I9" s="220" t="str">
        <x:v>NO</x:v>
      </x:c>
      <x:c r="J9" s="220" t="str">
        <x:v>中性材料篮子</x:v>
      </x:c>
      <x:c r="K9" s="220" t="str">
        <x:v>非小米披露。</x:v>
      </x:c>
    </x:row>
    <x:row r="10" ht="42" customHeight="1">
      <x:c r="A10" s="19" t="str">
        <x:v>P_SHARE_PLASTIC</x:v>
      </x:c>
      <x:c r="B10" s="19" t="str">
        <x:v>改性塑料占比</x:v>
      </x:c>
      <x:c r="C10" s="225" t="n">
        <x:v>0.2</x:v>
      </x:c>
      <x:c r="D10" s="225" t="n">
        <x:v>0.2</x:v>
      </x:c>
      <x:c r="E10" s="225" t="n">
        <x:v>0.2</x:v>
      </x:c>
      <x:c r="F10" s="19" t="str">
        <x:v>%</x:v>
      </x:c>
      <x:c r="G10" s="19" t="str">
        <x:v>S_ANL_MATERIAL</x:v>
      </x:c>
      <x:c r="H10" s="19" t="str">
        <x:v>D</x:v>
      </x:c>
      <x:c r="I10" s="19" t="str">
        <x:v>NO</x:v>
      </x:c>
      <x:c r="J10" s="19" t="str">
        <x:v>中性材料篮子</x:v>
      </x:c>
      <x:c r="K10" s="19" t="str">
        <x:v>非小米披露。</x:v>
      </x:c>
    </x:row>
    <x:row r="11" ht="42" customHeight="1">
      <x:c r="A11" s="220" t="str">
        <x:v>P_SHARE_OTHER</x:v>
      </x:c>
      <x:c r="B11" s="220" t="str">
        <x:v>其他材料占比</x:v>
      </x:c>
      <x:c r="C11" s="225" t="n">
        <x:v>0.13</x:v>
      </x:c>
      <x:c r="D11" s="225" t="n">
        <x:v>0.13</x:v>
      </x:c>
      <x:c r="E11" s="225" t="n">
        <x:v>0.13</x:v>
      </x:c>
      <x:c r="F11" s="220" t="str">
        <x:v>%</x:v>
      </x:c>
      <x:c r="G11" s="220" t="str">
        <x:v>S_ANL_MATERIAL</x:v>
      </x:c>
      <x:c r="H11" s="220" t="str">
        <x:v>D</x:v>
      </x:c>
      <x:c r="I11" s="220" t="str">
        <x:v>NO</x:v>
      </x:c>
      <x:c r="J11" s="220" t="str">
        <x:v>中性材料篮子</x:v>
      </x:c>
      <x:c r="K11" s="220" t="str">
        <x:v>余约2%玻璃另算。</x:v>
      </x:c>
    </x:row>
    <x:row r="12" ht="42" customHeight="1">
      <x:c r="A12" s="19" t="str">
        <x:v>P_STEEL_NET</x:v>
      </x:c>
      <x:c r="B12" s="19" t="str">
        <x:v>汽车钢净材料输入</x:v>
      </x:c>
      <x:c r="C12" s="232" t="n">
        <x:v>4.5</x:v>
      </x:c>
      <x:c r="D12" s="232" t="n">
        <x:v>6</x:v>
      </x:c>
      <x:c r="E12" s="232" t="n">
        <x:v>8.5</x:v>
      </x:c>
      <x:c r="F12" s="19" t="str">
        <x:v>元/kg</x:v>
      </x:c>
      <x:c r="G12" s="19" t="str">
        <x:v>S_STATS_MATERIAL</x:v>
      </x:c>
      <x:c r="H12" s="19" t="str">
        <x:v>C/D</x:v>
      </x:c>
      <x:c r="I12" s="19" t="str">
        <x:v>NO</x:v>
      </x:c>
      <x:c r="J12" s="19" t="str">
        <x:v>材料/成材率先验</x:v>
      </x:c>
      <x:c r="K12" s="19" t="str">
        <x:v>不是采购价。</x:v>
      </x:c>
    </x:row>
    <x:row r="13" ht="42" customHeight="1">
      <x:c r="A13" s="220" t="str">
        <x:v>P_AL_NET</x:v>
      </x:c>
      <x:c r="B13" s="220" t="str">
        <x:v>汽车铝净材料输入</x:v>
      </x:c>
      <x:c r="C13" s="232" t="n">
        <x:v>28</x:v>
      </x:c>
      <x:c r="D13" s="232" t="n">
        <x:v>35</x:v>
      </x:c>
      <x:c r="E13" s="232" t="n">
        <x:v>44</x:v>
      </x:c>
      <x:c r="F13" s="220" t="str">
        <x:v>元/kg</x:v>
      </x:c>
      <x:c r="G13" s="220" t="str">
        <x:v>S_STATS_MATERIAL</x:v>
      </x:c>
      <x:c r="H13" s="220" t="str">
        <x:v>C/D</x:v>
      </x:c>
      <x:c r="I13" s="220" t="str">
        <x:v>NO</x:v>
      </x:c>
      <x:c r="J13" s="220" t="str">
        <x:v>材料/成材率先验</x:v>
      </x:c>
      <x:c r="K13" s="220" t="str">
        <x:v>不是采购价。</x:v>
      </x:c>
    </x:row>
    <x:row r="14" ht="42" customHeight="1">
      <x:c r="A14" s="19" t="str">
        <x:v>P_PLASTIC_NET</x:v>
      </x:c>
      <x:c r="B14" s="19" t="str">
        <x:v>改性塑料树脂</x:v>
      </x:c>
      <x:c r="C14" s="232" t="n">
        <x:v>12.5</x:v>
      </x:c>
      <x:c r="D14" s="232" t="n">
        <x:v>16</x:v>
      </x:c>
      <x:c r="E14" s="232" t="n">
        <x:v>22</x:v>
      </x:c>
      <x:c r="F14" s="19" t="str">
        <x:v>元/kg</x:v>
      </x:c>
      <x:c r="G14" s="19" t="str">
        <x:v>S_STATS_MATERIAL</x:v>
      </x:c>
      <x:c r="H14" s="19" t="str">
        <x:v>B/D</x:v>
      </x:c>
      <x:c r="I14" s="19" t="str">
        <x:v>NO</x:v>
      </x:c>
      <x:c r="J14" s="19" t="str">
        <x:v>材料先验</x:v>
      </x:c>
      <x:c r="K14" s="19" t="str">
        <x:v>不是注塑件。</x:v>
      </x:c>
    </x:row>
    <x:row r="15" ht="42" customHeight="1">
      <x:c r="A15" s="220" t="str">
        <x:v>P_OTHER_NET</x:v>
      </x:c>
      <x:c r="B15" s="220" t="str">
        <x:v>其他材料篮子</x:v>
      </x:c>
      <x:c r="C15" s="232" t="n">
        <x:v>10</x:v>
      </x:c>
      <x:c r="D15" s="232" t="n">
        <x:v>20</x:v>
      </x:c>
      <x:c r="E15" s="232" t="n">
        <x:v>35</x:v>
      </x:c>
      <x:c r="F15" s="220" t="str">
        <x:v>元/kg</x:v>
      </x:c>
      <x:c r="G15" s="220" t="str">
        <x:v>工程先验</x:v>
      </x:c>
      <x:c r="H15" s="220" t="str">
        <x:v>D</x:v>
      </x:c>
      <x:c r="I15" s="220" t="str">
        <x:v>NO</x:v>
      </x:c>
      <x:c r="J15" s="220" t="str">
        <x:v>敏感性</x:v>
      </x:c>
      <x:c r="K15" s="220" t="str">
        <x:v>不可观察采购价。</x:v>
      </x:c>
    </x:row>
    <x:row r="16" ht="42" customHeight="1">
      <x:c r="A16" s="19" t="str">
        <x:v>P_CONVERSION</x:v>
      </x:c>
      <x:c r="B16" s="19" t="str">
        <x:v>转化/连接系数</x:v>
      </x:c>
      <x:c r="C16" s="232" t="n">
        <x:v>1.2</x:v>
      </x:c>
      <x:c r="D16" s="232" t="n">
        <x:v>1.45</x:v>
      </x:c>
      <x:c r="E16" s="232" t="n">
        <x:v>1.75</x:v>
      </x:c>
      <x:c r="F16" s="19" t="str">
        <x:v>倍</x:v>
      </x:c>
      <x:c r="G16" s="19" t="str">
        <x:v>S_EPA_BODY</x:v>
      </x:c>
      <x:c r="H16" s="19" t="str">
        <x:v>C/D</x:v>
      </x:c>
      <x:c r="I16" s="19" t="str">
        <x:v>NO</x:v>
      </x:c>
      <x:c r="J16" s="19" t="str">
        <x:v>供应商直接制造</x:v>
      </x:c>
      <x:c r="K16" s="19" t="str">
        <x:v>不含小米M09。</x:v>
      </x:c>
    </x:row>
    <x:row r="17" ht="42" customHeight="1">
      <x:c r="A17" s="220" t="str">
        <x:v>P_GLASS_AREA</x:v>
      </x:c>
      <x:c r="B17" s="220" t="str">
        <x:v>新增玻璃面积</x:v>
      </x:c>
      <x:c r="C17" s="232" t="n">
        <x:v>0.3</x:v>
      </x:c>
      <x:c r="D17" s="232" t="n">
        <x:v>0.55</x:v>
      </x:c>
      <x:c r="E17" s="232" t="n">
        <x:v>0.9</x:v>
      </x:c>
      <x:c r="F17" s="220" t="str">
        <x:v>m²</x:v>
      </x:c>
      <x:c r="G17" s="220" t="str">
        <x:v>E_SURFACE_STD;E_SURFACE_HIGH</x:v>
      </x:c>
      <x:c r="H17" s="220" t="str">
        <x:v>D</x:v>
      </x:c>
      <x:c r="I17" s="220" t="str">
        <x:v>NO</x:v>
      </x:c>
      <x:c r="J17" s="220" t="str">
        <x:v>面积敏感性</x:v>
      </x:c>
      <x:c r="K17" s="220" t="str">
        <x:v>缺真实面积。</x:v>
      </x:c>
    </x:row>
    <x:row r="18" ht="42" customHeight="1">
      <x:c r="A18" s="19" t="str">
        <x:v>P_GLASS_UNIT</x:v>
      </x:c>
      <x:c r="B18" s="19" t="str">
        <x:v>汽车玻璃供应商均价</x:v>
      </x:c>
      <x:c r="C18" s="232" t="n">
        <x:v>205</x:v>
      </x:c>
      <x:c r="D18" s="232" t="n">
        <x:v>248</x:v>
      </x:c>
      <x:c r="E18" s="232" t="n">
        <x:v>322</x:v>
      </x:c>
      <x:c r="F18" s="19" t="str">
        <x:v>元/m²</x:v>
      </x:c>
      <x:c r="G18" s="19" t="str">
        <x:v>S_FUYAO_2025</x:v>
      </x:c>
      <x:c r="H18" s="19" t="str">
        <x:v>B/D</x:v>
      </x:c>
      <x:c r="I18" s="19" t="str">
        <x:v>NO</x:v>
      </x:c>
      <x:c r="J18" s="19" t="str">
        <x:v>玻璃供应价区间</x:v>
      </x:c>
      <x:c r="K18" s="19" t="str">
        <x:v>结构混合。</x:v>
      </x:c>
    </x:row>
    <x:row r="19" ht="42" customHeight="1">
      <x:c r="A19" s="220" t="str">
        <x:v>P_HUD_MULT</x:v>
      </x:c>
      <x:c r="B19" s="220" t="str">
        <x:v>HyperVision/HUD成本倍数</x:v>
      </x:c>
      <x:c r="C19" s="232" t="n">
        <x:v>2</x:v>
      </x:c>
      <x:c r="D19" s="232" t="n">
        <x:v>2.5</x:v>
      </x:c>
      <x:c r="E19" s="232" t="n">
        <x:v>3</x:v>
      </x:c>
      <x:c r="F19" s="220" t="str">
        <x:v>倍</x:v>
      </x:c>
      <x:c r="G19" s="220" t="str">
        <x:v>S_XM_YU7_LAUNCH</x:v>
      </x:c>
      <x:c r="H19" s="220" t="str">
        <x:v>A</x:v>
      </x:c>
      <x:c r="I19" s="220" t="str">
        <x:v>NO</x:v>
      </x:c>
      <x:c r="J19" s="220" t="str">
        <x:v>转为绝对成本</x:v>
      </x:c>
      <x:c r="K19" s="220" t="str">
        <x:v>官方2—3倍。</x:v>
      </x:c>
    </x:row>
    <x:row r="20" ht="42" customHeight="1">
      <x:c r="A20" s="19" t="str">
        <x:v>P_CARGO_FUNCTION</x:v>
      </x:c>
      <x:c r="B20" s="19" t="str">
        <x:v>尾门/货舱功能件包</x:v>
      </x:c>
      <x:c r="C20" s="232" t="n">
        <x:v>500</x:v>
      </x:c>
      <x:c r="D20" s="232" t="n">
        <x:v>900</x:v>
      </x:c>
      <x:c r="E20" s="232" t="n">
        <x:v>1400</x:v>
      </x:c>
      <x:c r="F20" s="19" t="str">
        <x:v>元/套</x:v>
      </x:c>
      <x:c r="G20" s="19" t="str">
        <x:v>E_STORAGE;S_SEAT_WIPER_IPO</x:v>
      </x:c>
      <x:c r="H20" s="19" t="str">
        <x:v>D</x:v>
      </x:c>
      <x:c r="I20" s="19" t="str">
        <x:v>NO</x:v>
      </x:c>
      <x:c r="J20" s="19" t="str">
        <x:v>雨刮/撑杆/锁扣/线束/饰板</x:v>
      </x:c>
      <x:c r="K20" s="19" t="str">
        <x:v>壳体玻璃已在基础代理。</x:v>
      </x:c>
    </x:row>
    <x:row r="21" ht="42" customHeight="1">
      <x:c r="A21" s="220" t="str">
        <x:v>P_AIRBAG_UNIT</x:v>
      </x:c>
      <x:c r="B21" s="220" t="str">
        <x:v>单个气囊单元成本</x:v>
      </x:c>
      <x:c r="C21" s="232" t="n">
        <x:v>100</x:v>
      </x:c>
      <x:c r="D21" s="232" t="n">
        <x:v>140</x:v>
      </x:c>
      <x:c r="E21" s="232" t="n">
        <x:v>180</x:v>
      </x:c>
      <x:c r="F21" s="220" t="str">
        <x:v>元/个</x:v>
      </x:c>
      <x:c r="G21" s="220" t="str">
        <x:v>S_AIRBAG_IPO</x:v>
      </x:c>
      <x:c r="H21" s="220" t="str">
        <x:v>B/C</x:v>
      </x:c>
      <x:c r="I21" s="220" t="str">
        <x:v>NO</x:v>
      </x:c>
      <x:c r="J21" s="220" t="str">
        <x:v>负向调整</x:v>
      </x:c>
      <x:c r="K21" s="220" t="str">
        <x:v>类型未知。</x:v>
      </x:c>
    </x:row>
    <x:row r="22" ht="42" customHeight="1">
      <x:c r="A22" s="19" t="str">
        <x:v>P_REAR_SEAT_SET</x:v>
      </x:c>
      <x:c r="B22" s="19" t="str">
        <x:v>后排电动机构包</x:v>
      </x:c>
      <x:c r="C22" s="232" t="n">
        <x:v>200</x:v>
      </x:c>
      <x:c r="D22" s="232" t="n">
        <x:v>350</x:v>
      </x:c>
      <x:c r="E22" s="232" t="n">
        <x:v>600</x:v>
      </x:c>
      <x:c r="F22" s="19" t="str">
        <x:v>元/套</x:v>
      </x:c>
      <x:c r="G22" s="19" t="str">
        <x:v>E_REAR_SEAT;S_SEAT_WIPER_IPO</x:v>
      </x:c>
      <x:c r="H22" s="19" t="str">
        <x:v>C/D</x:v>
      </x:c>
      <x:c r="I22" s="19" t="str">
        <x:v>NO</x:v>
      </x:c>
      <x:c r="J22" s="19" t="str">
        <x:v>电机/线束/控制</x:v>
      </x:c>
      <x:c r="K22" s="19" t="str">
        <x:v>不含面料/加热。</x:v>
      </x:c>
    </x:row>
    <x:row r="26" ht="48" customHeight="1">
      <x:c r="A26" s="219" t="str">
        <x:v>cost_id</x:v>
      </x:c>
      <x:c r="B26" s="219" t="str">
        <x:v>模块</x:v>
      </x:c>
      <x:c r="C26" s="219" t="str">
        <x:v>成本项</x:v>
      </x:c>
      <x:c r="D26" s="219" t="str">
        <x:v>Low</x:v>
      </x:c>
      <x:c r="E26" s="219" t="str">
        <x:v>Mid</x:v>
      </x:c>
      <x:c r="F26" s="219" t="str">
        <x:v>High</x:v>
      </x:c>
      <x:c r="G26" s="219" t="str">
        <x:v>单位</x:v>
      </x:c>
      <x:c r="H26" s="219" t="str">
        <x:v>来源/公式</x:v>
      </x:c>
      <x:c r="I26" s="219" t="str">
        <x:v>等级</x:v>
      </x:c>
      <x:c r="J26" s="219" t="str">
        <x:v>price_derived_flag</x:v>
      </x:c>
      <x:c r="K26" s="219" t="str">
        <x:v>overlap_key</x:v>
      </x:c>
      <x:c r="L26" s="219" t="str">
        <x:v>commonality</x:v>
      </x:c>
      <x:c r="M26" s="219" t="str">
        <x:v>纳入</x:v>
      </x:c>
      <x:c r="N26" s="219" t="str">
        <x:v>边界</x:v>
      </x:c>
      <x:c r="O26" s="219" t="str">
        <x:v>区间顺序</x:v>
      </x:c>
      <x:c r="P26" s="219" t="str">
        <x:v>来源完整</x:v>
      </x:c>
    </x:row>
    <x:row r="27" ht="52" customHeight="1">
      <x:c r="A27" s="19" t="str">
        <x:v>B23_BASE_MATERIAL_PROXY</x:v>
      </x:c>
      <x:c r="B27" s="19" t="str">
        <x:v>M07_BODY</x:v>
      </x:c>
      <x:c r="C27" s="19" t="str">
        <x:v>基础物料/加工毛代理（已清洁）</x:v>
      </x:c>
      <x:c r="D27" s="239" t="n">
        <x:f>C6*C7*(C8*C12+C9*C13+C10*C14+C11*C15)*C16+C17*C18</x:f>
        <x:v>1291.5</x:v>
      </x:c>
      <x:c r="E27" s="239" t="n">
        <x:f>D6*D7*(D8*D12+D9*D13+D10*D14+D11*D15)*D16+D17*D18</x:f>
        <x:v>2422.1944999999996</x:v>
      </x:c>
      <x:c r="F27" s="239" t="n">
        <x:f>E6*E7*(E8*E12+E9*E13+E10*E14+E11*E15)*E16+E17*E18</x:f>
        <x:v>4811.625</x:v>
      </x:c>
      <x:c r="G27" s="19" t="str">
        <x:v>元/车</x:v>
      </x:c>
      <x:c r="H27" s="19" t="str">
        <x:v>毛质量×清洁比例×材料篮子×转化 + 玻璃面积×玻璃单价</x:v>
      </x:c>
      <x:c r="I27" s="19" t="str">
        <x:v>D</x:v>
      </x:c>
      <x:c r="J27" s="19" t="str">
        <x:v>NO</x:v>
      </x:c>
      <x:c r="K27" s="19" t="str">
        <x:v>B23_BASE_MATERIAL_CLEAN</x:v>
      </x:c>
      <x:c r="L27" s="19" t="str">
        <x:v>COMMON_ALL</x:v>
      </x:c>
      <x:c r="M27" s="19" t="str">
        <x:v>YES</x:v>
      </x:c>
      <x:c r="N27" s="19" t="str">
        <x:v>含尾门金属壳/新增玻璃；非真实白车身成本。</x:v>
      </x:c>
      <x:c r="O27" s="19" t="str">
        <x:f>IF(AND(D27&lt;=E27,E27&lt;=F27),"PASS","FAIL")</x:f>
        <x:v>PASS</x:v>
      </x:c>
      <x:c r="P27" s="19" t="str">
        <x:f>IF(H27&lt;&gt;"","PASS","FAIL")</x:f>
        <x:v>PASS</x:v>
      </x:c>
    </x:row>
    <x:row r="28" ht="52" customHeight="1">
      <x:c r="A28" s="220" t="str">
        <x:v>B23_CARGO_FUNCTION_SET</x:v>
      </x:c>
      <x:c r="B28" s="220" t="str">
        <x:v>M07_BODY</x:v>
      </x:c>
      <x:c r="C28" s="220" t="str">
        <x:v>SUV尾门/货舱功能件增量包</x:v>
      </x:c>
      <x:c r="D28" s="239" t="n">
        <x:v>500</x:v>
      </x:c>
      <x:c r="E28" s="239" t="n">
        <x:v>900</x:v>
      </x:c>
      <x:c r="F28" s="239" t="n">
        <x:v>1400</x:v>
      </x:c>
      <x:c r="G28" s="220" t="str">
        <x:v>元/车</x:v>
      </x:c>
      <x:c r="H28" s="220" t="str">
        <x:v>P_CARGO_FUNCTION</x:v>
      </x:c>
      <x:c r="I28" s="220" t="str">
        <x:v>D</x:v>
      </x:c>
      <x:c r="J28" s="220" t="str">
        <x:v>NO</x:v>
      </x:c>
      <x:c r="K28" s="220" t="str">
        <x:v>B23_CARGO_FUNCTION</x:v>
      </x:c>
      <x:c r="L28" s="220" t="str">
        <x:v>COMMON_ALL</x:v>
      </x:c>
      <x:c r="M28" s="220" t="str">
        <x:v>YES</x:v>
      </x:c>
      <x:c r="N28" s="220" t="str">
        <x:v>不含金属壳/新增玻璃。</x:v>
      </x:c>
      <x:c r="O28" s="220" t="str">
        <x:f>IF(AND(D28&lt;=E28,E28&lt;=F28),"PASS","FAIL")</x:f>
        <x:v>PASS</x:v>
      </x:c>
      <x:c r="P28" s="220" t="str">
        <x:f>IF(H28&lt;&gt;"","PASS","FAIL")</x:f>
        <x:v>PASS</x:v>
      </x:c>
    </x:row>
    <x:row r="29" ht="52" customHeight="1">
      <x:c r="A29" s="19" t="str">
        <x:v>B23_HYPERVISION_ABS</x:v>
      </x:c>
      <x:c r="B29" s="19" t="str">
        <x:v>M06_COCKPIT</x:v>
      </x:c>
      <x:c r="C29" s="19" t="str">
        <x:v>HyperVision绝对增量成本</x:v>
      </x:c>
      <x:c r="D29" s="239" t="n">
        <x:f>SUMIFS('01_原子成本假设'!$E$7:$E$49,'01_原子成本假设'!$A$7:$A$49,"INC_SU7_HUD")*$C$19</x:f>
        <x:v>1100</x:v>
      </x:c>
      <x:c r="E29" s="239" t="n">
        <x:f>SUMIFS('01_原子成本假设'!$F$7:$F$49,'01_原子成本假设'!$A$7:$A$49,"INC_SU7_HUD")*$D$19</x:f>
        <x:v>1750</x:v>
      </x:c>
      <x:c r="F29" s="239" t="n">
        <x:f>SUMIFS('01_原子成本假设'!$G$7:$G$49,'01_原子成本假设'!$A$7:$A$49,"INC_SU7_HUD")*$E$19</x:f>
        <x:v>2850</x:v>
      </x:c>
      <x:c r="G29" s="19" t="str">
        <x:v>元/车</x:v>
      </x:c>
      <x:c r="H29" s="19" t="str">
        <x:v>INC_SU7_HUD×P_HUD_MULT</x:v>
      </x:c>
      <x:c r="I29" s="19" t="str">
        <x:v>A/C</x:v>
      </x:c>
      <x:c r="J29" s="19" t="str">
        <x:v>NO</x:v>
      </x:c>
      <x:c r="K29" s="19" t="str">
        <x:v>B23_HYPERVISION_ABS</x:v>
      </x:c>
      <x:c r="L29" s="19" t="str">
        <x:v>COMMON_ALL</x:v>
      </x:c>
      <x:c r="M29" s="19" t="str">
        <x:v>YES</x:v>
      </x:c>
      <x:c r="N29" s="19" t="str">
        <x:v>Max桥2.3A已扣SU7 WHUD；此处加YU7全额。</x:v>
      </x:c>
      <x:c r="O29" s="19" t="str">
        <x:f>IF(AND(D29&lt;=E29,E29&lt;=F29),"PASS","FAIL")</x:f>
        <x:v>PASS</x:v>
      </x:c>
      <x:c r="P29" s="19" t="str">
        <x:f>IF(H29&lt;&gt;"","PASS","FAIL")</x:f>
        <x:v>PASS</x:v>
      </x:c>
    </x:row>
    <x:row r="30" ht="52" customHeight="1">
      <x:c r="A30" s="220" t="str">
        <x:v>B23_AIRBAG_UNIT</x:v>
      </x:c>
      <x:c r="B30" s="220" t="str">
        <x:v>M07_BODY</x:v>
      </x:c>
      <x:c r="C30" s="220" t="str">
        <x:v>气囊单元成本（数量驱动）</x:v>
      </x:c>
      <x:c r="D30" s="239" t="n">
        <x:v>100</x:v>
      </x:c>
      <x:c r="E30" s="239" t="n">
        <x:v>140</x:v>
      </x:c>
      <x:c r="F30" s="239" t="n">
        <x:v>180</x:v>
      </x:c>
      <x:c r="G30" s="220" t="str">
        <x:v>元/个</x:v>
      </x:c>
      <x:c r="H30" s="220" t="str">
        <x:v>P_AIRBAG_UNIT</x:v>
      </x:c>
      <x:c r="I30" s="220" t="str">
        <x:v>B/C</x:v>
      </x:c>
      <x:c r="J30" s="220" t="str">
        <x:v>NO</x:v>
      </x:c>
      <x:c r="K30" s="220" t="str">
        <x:v>B23_AIRBAG_COUNT</x:v>
      </x:c>
      <x:c r="L30" s="220" t="str">
        <x:v>COMMON_ALL</x:v>
      </x:c>
      <x:c r="M30" s="220" t="str">
        <x:v>YES</x:v>
      </x:c>
      <x:c r="N30" s="220" t="str">
        <x:v>数量差−2，九组合求区间。</x:v>
      </x:c>
      <x:c r="O30" s="220" t="str">
        <x:f>IF(AND(D30&lt;=E30,E30&lt;=F30),"PASS","FAIL")</x:f>
        <x:v>PASS</x:v>
      </x:c>
      <x:c r="P30" s="220" t="str">
        <x:f>IF(H30&lt;&gt;"","PASS","FAIL")</x:f>
        <x:v>PASS</x:v>
      </x:c>
    </x:row>
    <x:row r="31" ht="52" customHeight="1">
      <x:c r="A31" s="19" t="str">
        <x:v>B23_REAR_SEAT_ELECTRIC_SET</x:v>
      </x:c>
      <x:c r="B31" s="19" t="str">
        <x:v>M08_COMFORT</x:v>
      </x:c>
      <x:c r="C31" s="19" t="str">
        <x:v>后排电调/放倒机构包</x:v>
      </x:c>
      <x:c r="D31" s="239" t="n">
        <x:v>200</x:v>
      </x:c>
      <x:c r="E31" s="239" t="n">
        <x:v>350</x:v>
      </x:c>
      <x:c r="F31" s="239" t="n">
        <x:v>600</x:v>
      </x:c>
      <x:c r="G31" s="19" t="str">
        <x:v>元/车</x:v>
      </x:c>
      <x:c r="H31" s="19" t="str">
        <x:v>P_REAR_SEAT_SET</x:v>
      </x:c>
      <x:c r="I31" s="19" t="str">
        <x:v>C/D</x:v>
      </x:c>
      <x:c r="J31" s="19" t="str">
        <x:v>NO</x:v>
      </x:c>
      <x:c r="K31" s="19" t="str">
        <x:v>B23_REAR_SEAT_ACTUATION</x:v>
      </x:c>
      <x:c r="L31" s="19" t="str">
        <x:v>COMMON_ALL</x:v>
      </x:c>
      <x:c r="M31" s="19" t="str">
        <x:v>YES</x:v>
      </x:c>
      <x:c r="N31" s="19" t="str">
        <x:v>不含Nappa/加热/权益。</x:v>
      </x:c>
      <x:c r="O31" s="19" t="str">
        <x:f>IF(AND(D31&lt;=E31,E31&lt;=F31),"PASS","FAIL")</x:f>
        <x:v>PASS</x:v>
      </x:c>
      <x:c r="P31" s="19" t="str">
        <x:f>IF(H31&lt;&gt;"","PASS","FAIL")</x:f>
        <x:v>PASS</x:v>
      </x:c>
    </x:row>
    <x:row r="35" ht="42" customHeight="1">
      <x:c r="A35" s="219" t="str">
        <x:v>unknown_id</x:v>
      </x:c>
      <x:c r="B35" s="219" t="str">
        <x:v>已知未估项</x:v>
      </x:c>
      <x:c r="C35" s="219" t="str">
        <x:v>适用桥</x:v>
      </x:c>
      <x:c r="D35" s="219" t="str">
        <x:v>为何不设0</x:v>
      </x:c>
      <x:c r="E35" s="219" t="str">
        <x:v>当前处理</x:v>
      </x:c>
      <x:c r="F35" s="219" t="str">
        <x:v>来源ID</x:v>
      </x:c>
      <x:c r="G35" s="219" t="str">
        <x:v>进入残差</x:v>
      </x:c>
      <x:c r="H35" s="219" t="str">
        <x:v>状态</x:v>
      </x:c>
    </x:row>
    <x:row r="36" ht="48" customHeight="1">
      <x:c r="A36" s="19" t="str">
        <x:v>U23_HOOD_NET_DIFF</x:v>
      </x:c>
      <x:c r="B36" s="19" t="str">
        <x:v>YU7 3.11㎡铝制蚌式机盖净差</x:v>
      </x:c>
      <x:c r="C36" s="19" t="str">
        <x:v>ALL</x:v>
      </x:c>
      <x:c r="D36" s="19" t="str">
        <x:v>SU7对照面积/质量未披露。</x:v>
      </x:c>
      <x:c r="E36" s="19" t="str">
        <x:v>一般材料篮子不声称完全覆盖。</x:v>
      </x:c>
      <x:c r="F36" s="19" t="str">
        <x:v>E_HOOD</x:v>
      </x:c>
      <x:c r="G36" s="19" t="str">
        <x:v>YES</x:v>
      </x:c>
      <x:c r="H36" s="241" t="str">
        <x:v>OPEN</x:v>
      </x:c>
    </x:row>
    <x:row r="37" ht="48" customHeight="1">
      <x:c r="A37" s="220" t="str">
        <x:v>U23_MAX_CARBON</x:v>
      </x:c>
      <x:c r="B37" s="220" t="str">
        <x:v>YU7 Max碳纤维后视镜/迎宾踏板等</x:v>
      </x:c>
      <x:c r="C37" s="220" t="str">
        <x:v>MAX</x:v>
      </x:c>
      <x:c r="D37" s="220" t="str">
        <x:v>缺供应商成本与完全同口径对照。</x:v>
      </x:c>
      <x:c r="E37" s="220" t="str">
        <x:v>保留为Max已知未估项。</x:v>
      </x:c>
      <x:c r="F37" s="220" t="str">
        <x:v>用户App pic14</x:v>
      </x:c>
      <x:c r="G37" s="220" t="str">
        <x:v>YES</x:v>
      </x:c>
      <x:c r="H37" s="241" t="str">
        <x:v>OPEN</x:v>
      </x:c>
    </x:row>
    <x:row r="38" ht="48" customHeight="1">
      <x:c r="A38" s="19" t="str">
        <x:v>U23_COST_TRANSMISSION</x:v>
      </x:c>
      <x:c r="B38" s="19" t="str">
        <x:v>成本传导/版本定位/固定成本分摊</x:v>
      </x:c>
      <x:c r="C38" s="19" t="str">
        <x:v>ALL</x:v>
      </x:c>
      <x:c r="D38" s="19" t="str">
        <x:v>不是直接BOM。</x:v>
      </x:c>
      <x:c r="E38" s="19" t="str">
        <x:v>留到Phase 2.3C。</x:v>
      </x:c>
      <x:c r="F38" s="19" t="str">
        <x:v>模型边界</x:v>
      </x:c>
      <x:c r="G38" s="19" t="str">
        <x:v>YES</x:v>
      </x:c>
      <x:c r="H38" s="241" t="str">
        <x:v>EXCLUDED_FROM_BOM</x:v>
      </x:c>
    </x:row>
    <x:row r="41">
      <x:c r="A41" s="245" t="str">
        <x:v>重要：基础物料代理不是小米采购价，也不能与未清洁的125—145kg全量再次叠加。未来若取得座椅、屏幕、气囊等真实质量，应更新P_CLEAN_FACTOR或改用逐模块净质量。</x:v>
      </x:c>
      <x:c r="B41" s="245"/>
      <x:c r="C41" s="245"/>
      <x:c r="D41" s="245"/>
      <x:c r="E41" s="245"/>
      <x:c r="F41" s="245"/>
      <x:c r="G41" s="245"/>
      <x:c r="H41" s="245"/>
      <x:c r="I41" s="245"/>
      <x:c r="J41" s="245"/>
      <x:c r="K41" s="245"/>
      <x:c r="L41" s="245"/>
      <x:c r="M41" s="245"/>
      <x:c r="N41" s="245"/>
      <x:c r="O41" s="245"/>
      <x:c r="P41" s="245"/>
    </x:row>
    <x:row r="42">
      <x:c r="A42" s="245"/>
      <x:c r="B42" s="245"/>
      <x:c r="C42" s="245"/>
      <x:c r="D42" s="245"/>
      <x:c r="E42" s="245"/>
      <x:c r="F42" s="245"/>
      <x:c r="G42" s="245"/>
      <x:c r="H42" s="245"/>
      <x:c r="I42" s="245"/>
      <x:c r="J42" s="245"/>
      <x:c r="K42" s="245"/>
      <x:c r="L42" s="245"/>
      <x:c r="M42" s="245"/>
      <x:c r="N42" s="245"/>
      <x:c r="O42" s="245"/>
      <x:c r="P42" s="245"/>
    </x:row>
  </x:sheetData>
  <x:mergeCells>
    <x:mergeCell ref="A1:P1"/>
    <x:mergeCell ref="A2:P2"/>
    <x:mergeCell ref="A3:P3"/>
    <x:mergeCell ref="A41:P41"/>
    <x:mergeCell ref="A42:P42"/>
  </x:mergeCells>
  <x:conditionalFormatting sqref="O27:P31">
    <x:cfRule type="containsText" dxfId="149" priority="1" operator="containsText" text="PASS"/>
    <x:cfRule type="containsText" dxfId="150" priority="2" operator="containsText" text="READY"/>
    <x:cfRule type="containsText" dxfId="151" priority="3" operator="containsText" text="POSITIVE"/>
    <x:cfRule type="containsText" dxfId="152" priority="4" operator="containsText" text="CROSSES_ZERO"/>
    <x:cfRule type="containsText" dxfId="153" priority="5" operator="containsText" text="COMPATIBLE"/>
    <x:cfRule type="containsText" dxfId="154" priority="6" operator="containsText" text="NEGATIVE"/>
    <x:cfRule type="containsText" dxfId="155" priority="7" operator="containsText" text="REVIEW"/>
    <x:cfRule type="containsText" dxfId="156" priority="8" operator="containsText" text="FAIL"/>
    <x:cfRule type="containsText" dxfId="157" priority="9" operator="containsText" text="PROVISIONAL"/>
  </x:conditionalFormatting>
  <x:pageMargins left="0.7" right="0.7" top="0.75" bottom="0.75" header="0.3" footer="0.3"/>
</x:worksheet>
</file>

<file path=xl/worksheets/sheet2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3" hidden="0" customWidth="1"/>
    <x:col min="3" max="3" width="31" hidden="0" customWidth="1"/>
    <x:col min="4" max="4" width="18" hidden="0" customWidth="1"/>
    <x:col min="5" max="5" width="12" hidden="0" customWidth="1"/>
    <x:col min="6" max="6" width="12" hidden="0" customWidth="1"/>
    <x:col min="7" max="7" width="12" hidden="0" customWidth="1"/>
    <x:col min="8" max="8" width="13" hidden="0" customWidth="1"/>
    <x:col min="9" max="9" width="14" hidden="0" customWidth="1"/>
    <x:col min="10" max="10" width="14" hidden="0" customWidth="1"/>
    <x:col min="11" max="11" width="14" hidden="0" customWidth="1"/>
    <x:col min="12" max="12" width="15" hidden="0" customWidth="1"/>
    <x:col min="13" max="13" width="15" hidden="0" customWidth="1"/>
    <x:col min="14" max="14" width="15" hidden="0" customWidth="1"/>
    <x:col min="15" max="15" width="13" hidden="0" customWidth="1"/>
    <x:col min="16" max="16" width="52" hidden="0" customWidth="1"/>
    <x:col min="17" max="17" width="30" hidden="0" customWidth="1"/>
    <x:col min="18" max="18" width="13" hidden="0" customWidth="1"/>
  </x:cols>
  <x:sheetData>
    <x:row r="1" ht="30" customHeight="1">
      <x:c r="A1" s="207" t="str">
        <x:v>26｜四桥 × 原子成本驱动矩阵</x:v>
      </x:c>
      <x:c r="B1" s="207"/>
      <x:c r="C1" s="207"/>
      <x:c r="D1" s="207"/>
      <x:c r="E1" s="207"/>
      <x:c r="F1" s="207"/>
      <x:c r="G1" s="207"/>
      <x:c r="H1" s="207"/>
      <x:c r="I1" s="207"/>
      <x:c r="J1" s="207"/>
      <x:c r="K1" s="207"/>
      <x:c r="L1" s="207"/>
      <x:c r="M1" s="207"/>
      <x:c r="N1" s="207"/>
      <x:c r="O1" s="207"/>
      <x:c r="P1" s="207"/>
      <x:c r="Q1" s="207"/>
      <x:c r="R1" s="207"/>
    </x:row>
    <x:row r="2" ht="22" customHeight="1">
      <x:c r="A2" s="210" t="str">
        <x:v>共同成本ID跨四桥复用｜数量与单价分别保留Low/Mid/High｜负数量自动求九组合区间</x:v>
      </x:c>
      <x:c r="B2" s="210"/>
      <x:c r="C2" s="210"/>
      <x:c r="D2" s="210"/>
      <x:c r="E2" s="210"/>
      <x:c r="F2" s="210"/>
      <x:c r="G2" s="210"/>
      <x:c r="H2" s="210"/>
      <x:c r="I2" s="210"/>
      <x:c r="J2" s="210"/>
      <x:c r="K2" s="210"/>
      <x:c r="L2" s="210"/>
      <x:c r="M2" s="210"/>
      <x:c r="N2" s="210"/>
      <x:c r="O2" s="210"/>
      <x:c r="P2" s="210"/>
      <x:c r="Q2" s="210"/>
      <x:c r="R2" s="210"/>
    </x:row>
    <x:row r="3" ht="44" customHeight="1">
      <x:c r="A3" s="214" t="str">
        <x:v>四桥没有自由配平项。基础物料、尾门功能、HyperVision、气囊和后排电动机构均从同一成本ID调用；差异只允许来自可观察数量。</x:v>
      </x:c>
      <x:c r="B3" s="214"/>
      <x:c r="C3" s="214"/>
      <x:c r="D3" s="214"/>
      <x:c r="E3" s="214"/>
      <x:c r="F3" s="214"/>
      <x:c r="G3" s="214"/>
      <x:c r="H3" s="214"/>
      <x:c r="I3" s="214"/>
      <x:c r="J3" s="214"/>
      <x:c r="K3" s="214"/>
      <x:c r="L3" s="214"/>
      <x:c r="M3" s="214"/>
      <x:c r="N3" s="214"/>
      <x:c r="O3" s="214"/>
      <x:c r="P3" s="214"/>
      <x:c r="Q3" s="214"/>
      <x:c r="R3" s="214"/>
    </x:row>
    <x:row r="5" ht="48" customHeight="1">
      <x:c r="A5" s="219" t="str">
        <x:v>pair_id</x:v>
      </x:c>
      <x:c r="B5" s="219" t="str">
        <x:v>角色</x:v>
      </x:c>
      <x:c r="C5" s="219" t="str">
        <x:v>cost_id</x:v>
      </x:c>
      <x:c r="D5" s="219" t="str">
        <x:v>模块</x:v>
      </x:c>
      <x:c r="E5" s="219" t="str">
        <x:v>数量_L</x:v>
      </x:c>
      <x:c r="F5" s="219" t="str">
        <x:v>数量_M</x:v>
      </x:c>
      <x:c r="G5" s="219" t="str">
        <x:v>数量_H</x:v>
      </x:c>
      <x:c r="H5" s="219" t="str">
        <x:v>单位</x:v>
      </x:c>
      <x:c r="I5" s="219" t="str">
        <x:v>单价_L</x:v>
      </x:c>
      <x:c r="J5" s="219" t="str">
        <x:v>单价_M</x:v>
      </x:c>
      <x:c r="K5" s="219" t="str">
        <x:v>单价_H</x:v>
      </x:c>
      <x:c r="L5" s="219" t="str">
        <x:v>成本_L</x:v>
      </x:c>
      <x:c r="M5" s="219" t="str">
        <x:v>成本_M</x:v>
      </x:c>
      <x:c r="N5" s="219" t="str">
        <x:v>成本_H</x:v>
      </x:c>
      <x:c r="O5" s="219" t="str">
        <x:v>纳入</x:v>
      </x:c>
      <x:c r="P5" s="219" t="str">
        <x:v>驱动说明</x:v>
      </x:c>
      <x:c r="Q5" s="219" t="str">
        <x:v>overlap_key</x:v>
      </x:c>
      <x:c r="R5" s="219" t="str">
        <x:v>状态</x:v>
      </x:c>
    </x:row>
    <x:row r="6" ht="44" customHeight="1">
      <x:c r="A6" s="19" t="str">
        <x:v>P23A-STD</x:v>
      </x:c>
      <x:c r="B6" s="19" t="str">
        <x:v>标准强锚</x:v>
      </x:c>
      <x:c r="C6" s="19" t="str">
        <x:v>B23_BASE_MATERIAL_PROXY</x:v>
      </x:c>
      <x:c r="D6" s="19" t="str">
        <x:v>M07_BODY</x:v>
      </x:c>
      <x:c r="E6" s="62" t="n">
        <x:v>1</x:v>
      </x:c>
      <x:c r="F6" s="62" t="n">
        <x:v>1</x:v>
      </x:c>
      <x:c r="G6" s="62" t="n">
        <x:v>1</x:v>
      </x:c>
      <x:c r="H6" s="19" t="str">
        <x:v>套/个/车</x:v>
      </x:c>
      <x:c r="I6" s="62" t="n">
        <x:f>'25_BOM假设'!D27</x:f>
        <x:v>1291.5</x:v>
      </x:c>
      <x:c r="J6" s="62" t="n">
        <x:f>'25_BOM假设'!E27</x:f>
        <x:v>2422.1944999999996</x:v>
      </x:c>
      <x:c r="K6" s="62" t="n">
        <x:f>'25_BOM假设'!F27</x:f>
        <x:v>4811.625</x:v>
      </x:c>
      <x:c r="L6" s="246" t="n">
        <x:f>MIN(E6*I6,E6*J6,E6*K6,F6*I6,F6*J6,F6*K6,G6*I6,G6*J6,G6*K6)</x:f>
        <x:v>1291.5</x:v>
      </x:c>
      <x:c r="M6" s="246" t="n">
        <x:f>F6*J6</x:f>
        <x:v>2422.1944999999996</x:v>
      </x:c>
      <x:c r="N6" s="246" t="n">
        <x:f>MAX(E6*I6,E6*J6,E6*K6,F6*I6,F6*J6,F6*K6,G6*I6,G6*J6,G6*K6)</x:f>
        <x:v>4811.625</x:v>
      </x:c>
      <x:c r="O6" s="248" t="str">
        <x:v>YES</x:v>
      </x:c>
      <x:c r="P6" s="19" t="str">
        <x:v>清洁后的基础物料/加工代理；四桥同一成本项。</x:v>
      </x:c>
      <x:c r="Q6" s="19" t="str">
        <x:f>'25_BOM假设'!K27</x:f>
        <x:v>B23_BASE_MATERIAL_CLEAN</x:v>
      </x:c>
      <x:c r="R6" s="19" t="str">
        <x:f>IF(AND(L6&lt;=M6,M6&lt;=N6,O6="YES"),"PASS","FAIL")</x:f>
        <x:v>PASS</x:v>
      </x:c>
    </x:row>
    <x:row r="7" ht="44" customHeight="1">
      <x:c r="A7" s="220" t="str">
        <x:v>P23A-STD</x:v>
      </x:c>
      <x:c r="B7" s="220" t="str">
        <x:v>标准强锚</x:v>
      </x:c>
      <x:c r="C7" s="220" t="str">
        <x:v>B23_CARGO_FUNCTION_SET</x:v>
      </x:c>
      <x:c r="D7" s="220" t="str">
        <x:v>M07_BODY</x:v>
      </x:c>
      <x:c r="E7" s="231" t="n">
        <x:v>1</x:v>
      </x:c>
      <x:c r="F7" s="231" t="n">
        <x:v>1</x:v>
      </x:c>
      <x:c r="G7" s="231" t="n">
        <x:v>1</x:v>
      </x:c>
      <x:c r="H7" s="220" t="str">
        <x:v>套/个/车</x:v>
      </x:c>
      <x:c r="I7" s="231" t="n">
        <x:f>'25_BOM假设'!D28</x:f>
        <x:v>500</x:v>
      </x:c>
      <x:c r="J7" s="231" t="n">
        <x:f>'25_BOM假设'!E28</x:f>
        <x:v>900</x:v>
      </x:c>
      <x:c r="K7" s="231" t="n">
        <x:f>'25_BOM假设'!F28</x:f>
        <x:v>1400</x:v>
      </x:c>
      <x:c r="L7" s="246" t="n">
        <x:f>MIN(E7*I7,E7*J7,E7*K7,F7*I7,F7*J7,F7*K7,G7*I7,G7*J7,G7*K7)</x:f>
        <x:v>500</x:v>
      </x:c>
      <x:c r="M7" s="246" t="n">
        <x:f>F7*J7</x:f>
        <x:v>900</x:v>
      </x:c>
      <x:c r="N7" s="246" t="n">
        <x:f>MAX(E7*I7,E7*J7,E7*K7,F7*I7,F7*J7,F7*K7,G7*I7,G7*J7,G7*K7)</x:f>
        <x:v>1400</x:v>
      </x:c>
      <x:c r="O7" s="248" t="str">
        <x:v>YES</x:v>
      </x:c>
      <x:c r="P7" s="220" t="str">
        <x:v>SUV尾门/货舱功能件一套；不含金属壳/新增玻璃。</x:v>
      </x:c>
      <x:c r="Q7" s="220" t="str">
        <x:f>'25_BOM假设'!K28</x:f>
        <x:v>B23_CARGO_FUNCTION</x:v>
      </x:c>
      <x:c r="R7" s="220" t="str">
        <x:f>IF(AND(L7&lt;=M7,M7&lt;=N7,O7="YES"),"PASS","FAIL")</x:f>
        <x:v>PASS</x:v>
      </x:c>
    </x:row>
    <x:row r="8" ht="44" customHeight="1">
      <x:c r="A8" s="19" t="str">
        <x:v>P23A-STD</x:v>
      </x:c>
      <x:c r="B8" s="19" t="str">
        <x:v>标准强锚</x:v>
      </x:c>
      <x:c r="C8" s="19" t="str">
        <x:v>B23_HYPERVISION_ABS</x:v>
      </x:c>
      <x:c r="D8" s="19" t="str">
        <x:v>M06_COCKPIT</x:v>
      </x:c>
      <x:c r="E8" s="62" t="n">
        <x:v>1</x:v>
      </x:c>
      <x:c r="F8" s="62" t="n">
        <x:v>1</x:v>
      </x:c>
      <x:c r="G8" s="62" t="n">
        <x:v>1</x:v>
      </x:c>
      <x:c r="H8" s="19" t="str">
        <x:v>套/个/车</x:v>
      </x:c>
      <x:c r="I8" s="62" t="n">
        <x:f>'25_BOM假设'!D29</x:f>
        <x:v>1100</x:v>
      </x:c>
      <x:c r="J8" s="62" t="n">
        <x:f>'25_BOM假设'!E29</x:f>
        <x:v>1750</x:v>
      </x:c>
      <x:c r="K8" s="62" t="n">
        <x:f>'25_BOM假设'!F29</x:f>
        <x:v>2850</x:v>
      </x:c>
      <x:c r="L8" s="246" t="n">
        <x:f>MIN(E8*I8,E8*J8,E8*K8,F8*I8,F8*J8,F8*K8,G8*I8,G8*J8,G8*K8)</x:f>
        <x:v>1100</x:v>
      </x:c>
      <x:c r="M8" s="246" t="n">
        <x:f>F8*J8</x:f>
        <x:v>1750</x:v>
      </x:c>
      <x:c r="N8" s="246" t="n">
        <x:f>MAX(E8*I8,E8*J8,E8*K8,F8*I8,F8*J8,F8*K8,G8*I8,G8*J8,G8*K8)</x:f>
        <x:v>2850</x:v>
      </x:c>
      <x:c r="O8" s="248" t="str">
        <x:v>YES</x:v>
      </x:c>
      <x:c r="P8" s="19" t="str">
        <x:v>YU7全系HyperVision；Max桥2.3A已扣SU7 WHUD。</x:v>
      </x:c>
      <x:c r="Q8" s="19" t="str">
        <x:f>'25_BOM假设'!K29</x:f>
        <x:v>B23_HYPERVISION_ABS</x:v>
      </x:c>
      <x:c r="R8" s="19" t="str">
        <x:f>IF(AND(L8&lt;=M8,M8&lt;=N8,O8="YES"),"PASS","FAIL")</x:f>
        <x:v>PASS</x:v>
      </x:c>
    </x:row>
    <x:row r="9" ht="44" customHeight="1">
      <x:c r="A9" s="220" t="str">
        <x:v>P23A-STD</x:v>
      </x:c>
      <x:c r="B9" s="220" t="str">
        <x:v>标准强锚</x:v>
      </x:c>
      <x:c r="C9" s="220" t="str">
        <x:v>B23_AIRBAG_UNIT</x:v>
      </x:c>
      <x:c r="D9" s="220" t="str">
        <x:v>M07_BODY</x:v>
      </x:c>
      <x:c r="E9" s="231" t="n">
        <x:v>-2</x:v>
      </x:c>
      <x:c r="F9" s="231" t="n">
        <x:v>-2</x:v>
      </x:c>
      <x:c r="G9" s="231" t="n">
        <x:v>-2</x:v>
      </x:c>
      <x:c r="H9" s="220" t="str">
        <x:v>套/个/车</x:v>
      </x:c>
      <x:c r="I9" s="231" t="n">
        <x:f>'25_BOM假设'!D30</x:f>
        <x:v>100</x:v>
      </x:c>
      <x:c r="J9" s="231" t="n">
        <x:f>'25_BOM假设'!E30</x:f>
        <x:v>140</x:v>
      </x:c>
      <x:c r="K9" s="231" t="n">
        <x:f>'25_BOM假设'!F30</x:f>
        <x:v>180</x:v>
      </x:c>
      <x:c r="L9" s="246" t="n">
        <x:f>MIN(E9*I9,E9*J9,E9*K9,F9*I9,F9*J9,F9*K9,G9*I9,G9*J9,G9*K9)</x:f>
        <x:v>-360</x:v>
      </x:c>
      <x:c r="M9" s="246" t="n">
        <x:f>F9*J9</x:f>
        <x:v>-280</x:v>
      </x:c>
      <x:c r="N9" s="246" t="n">
        <x:f>MAX(E9*I9,E9*J9,E9*K9,F9*I9,F9*J9,F9*K9,G9*I9,G9*J9,G9*K9)</x:f>
        <x:v>-200</x:v>
      </x:c>
      <x:c r="O9" s="248" t="str">
        <x:v>YES</x:v>
      </x:c>
      <x:c r="P9" s="220" t="str">
        <x:v>YU7 7个、SU7 9个；数量差−2。</x:v>
      </x:c>
      <x:c r="Q9" s="220" t="str">
        <x:f>'25_BOM假设'!K30</x:f>
        <x:v>B23_AIRBAG_COUNT</x:v>
      </x:c>
      <x:c r="R9" s="220" t="str">
        <x:f>IF(AND(L9&lt;=M9,M9&lt;=N9,O9="YES"),"PASS","FAIL")</x:f>
        <x:v>PASS</x:v>
      </x:c>
    </x:row>
    <x:row r="10" ht="44" customHeight="1">
      <x:c r="A10" s="19" t="str">
        <x:v>P23A-STD</x:v>
      </x:c>
      <x:c r="B10" s="19" t="str">
        <x:v>标准强锚</x:v>
      </x:c>
      <x:c r="C10" s="19" t="str">
        <x:v>B23_REAR_SEAT_ELECTRIC_SET</x:v>
      </x:c>
      <x:c r="D10" s="19" t="str">
        <x:v>M08_COMFORT</x:v>
      </x:c>
      <x:c r="E10" s="62" t="n">
        <x:v>1</x:v>
      </x:c>
      <x:c r="F10" s="62" t="n">
        <x:v>1</x:v>
      </x:c>
      <x:c r="G10" s="62" t="n">
        <x:v>1</x:v>
      </x:c>
      <x:c r="H10" s="19" t="str">
        <x:v>套/个/车</x:v>
      </x:c>
      <x:c r="I10" s="62" t="n">
        <x:f>'25_BOM假设'!D31</x:f>
        <x:v>200</x:v>
      </x:c>
      <x:c r="J10" s="62" t="n">
        <x:f>'25_BOM假设'!E31</x:f>
        <x:v>350</x:v>
      </x:c>
      <x:c r="K10" s="62" t="n">
        <x:f>'25_BOM假设'!F31</x:f>
        <x:v>600</x:v>
      </x:c>
      <x:c r="L10" s="246" t="n">
        <x:f>MIN(E10*I10,E10*J10,E10*K10,F10*I10,F10*J10,F10*K10,G10*I10,G10*J10,G10*K10)</x:f>
        <x:v>200</x:v>
      </x:c>
      <x:c r="M10" s="246" t="n">
        <x:f>F10*J10</x:f>
        <x:v>350</x:v>
      </x:c>
      <x:c r="N10" s="246" t="n">
        <x:f>MAX(E10*I10,E10*J10,E10*K10,F10*I10,F10*J10,F10*K10,G10*I10,G10*J10,G10*K10)</x:f>
        <x:v>600</x:v>
      </x:c>
      <x:c r="O10" s="248" t="str">
        <x:v>YES</x:v>
      </x:c>
      <x:c r="P10" s="19" t="str">
        <x:v>YU7后排电调/电动放倒相对SU7公开基线一套。</x:v>
      </x:c>
      <x:c r="Q10" s="19" t="str">
        <x:f>'25_BOM假设'!K31</x:f>
        <x:v>B23_REAR_SEAT_ACTUATION</x:v>
      </x:c>
      <x:c r="R10" s="19" t="str">
        <x:f>IF(AND(L10&lt;=M10,M10&lt;=N10,O10="YES"),"PASS","FAIL")</x:f>
        <x:v>PASS</x:v>
      </x:c>
    </x:row>
    <x:row r="11" ht="44" customHeight="1">
      <x:c r="A11" s="220" t="str">
        <x:v>P23A-RWD96</x:v>
      </x:c>
      <x:c r="B11" s="220" t="str">
        <x:v>96kWh后驱铰链</x:v>
      </x:c>
      <x:c r="C11" s="220" t="str">
        <x:v>B23_BASE_MATERIAL_PROXY</x:v>
      </x:c>
      <x:c r="D11" s="220" t="str">
        <x:v>M07_BODY</x:v>
      </x:c>
      <x:c r="E11" s="231" t="n">
        <x:v>1</x:v>
      </x:c>
      <x:c r="F11" s="231" t="n">
        <x:v>1</x:v>
      </x:c>
      <x:c r="G11" s="231" t="n">
        <x:v>1</x:v>
      </x:c>
      <x:c r="H11" s="220" t="str">
        <x:v>套/个/车</x:v>
      </x:c>
      <x:c r="I11" s="231" t="n">
        <x:f>'25_BOM假设'!D27</x:f>
        <x:v>1291.5</x:v>
      </x:c>
      <x:c r="J11" s="231" t="n">
        <x:f>'25_BOM假设'!E27</x:f>
        <x:v>2422.1944999999996</x:v>
      </x:c>
      <x:c r="K11" s="231" t="n">
        <x:f>'25_BOM假设'!F27</x:f>
        <x:v>4811.625</x:v>
      </x:c>
      <x:c r="L11" s="246" t="n">
        <x:f>MIN(E11*I11,E11*J11,E11*K11,F11*I11,F11*J11,F11*K11,G11*I11,G11*J11,G11*K11)</x:f>
        <x:v>1291.5</x:v>
      </x:c>
      <x:c r="M11" s="246" t="n">
        <x:f>F11*J11</x:f>
        <x:v>2422.1944999999996</x:v>
      </x:c>
      <x:c r="N11" s="246" t="n">
        <x:f>MAX(E11*I11,E11*J11,E11*K11,F11*I11,F11*J11,F11*K11,G11*I11,G11*J11,G11*K11)</x:f>
        <x:v>4811.625</x:v>
      </x:c>
      <x:c r="O11" s="248" t="str">
        <x:v>YES</x:v>
      </x:c>
      <x:c r="P11" s="220" t="str">
        <x:v>清洁后的基础物料/加工代理；四桥同一成本项。</x:v>
      </x:c>
      <x:c r="Q11" s="220" t="str">
        <x:f>'25_BOM假设'!K27</x:f>
        <x:v>B23_BASE_MATERIAL_CLEAN</x:v>
      </x:c>
      <x:c r="R11" s="220" t="str">
        <x:f>IF(AND(L11&lt;=M11,M11&lt;=N11,O11="YES"),"PASS","FAIL")</x:f>
        <x:v>PASS</x:v>
      </x:c>
    </x:row>
    <x:row r="12" ht="44" customHeight="1">
      <x:c r="A12" s="19" t="str">
        <x:v>P23A-RWD96</x:v>
      </x:c>
      <x:c r="B12" s="19" t="str">
        <x:v>96kWh后驱铰链</x:v>
      </x:c>
      <x:c r="C12" s="19" t="str">
        <x:v>B23_CARGO_FUNCTION_SET</x:v>
      </x:c>
      <x:c r="D12" s="19" t="str">
        <x:v>M07_BODY</x:v>
      </x:c>
      <x:c r="E12" s="62" t="n">
        <x:v>1</x:v>
      </x:c>
      <x:c r="F12" s="62" t="n">
        <x:v>1</x:v>
      </x:c>
      <x:c r="G12" s="62" t="n">
        <x:v>1</x:v>
      </x:c>
      <x:c r="H12" s="19" t="str">
        <x:v>套/个/车</x:v>
      </x:c>
      <x:c r="I12" s="62" t="n">
        <x:f>'25_BOM假设'!D28</x:f>
        <x:v>500</x:v>
      </x:c>
      <x:c r="J12" s="62" t="n">
        <x:f>'25_BOM假设'!E28</x:f>
        <x:v>900</x:v>
      </x:c>
      <x:c r="K12" s="62" t="n">
        <x:f>'25_BOM假设'!F28</x:f>
        <x:v>1400</x:v>
      </x:c>
      <x:c r="L12" s="246" t="n">
        <x:f>MIN(E12*I12,E12*J12,E12*K12,F12*I12,F12*J12,F12*K12,G12*I12,G12*J12,G12*K12)</x:f>
        <x:v>500</x:v>
      </x:c>
      <x:c r="M12" s="246" t="n">
        <x:f>F12*J12</x:f>
        <x:v>900</x:v>
      </x:c>
      <x:c r="N12" s="246" t="n">
        <x:f>MAX(E12*I12,E12*J12,E12*K12,F12*I12,F12*J12,F12*K12,G12*I12,G12*J12,G12*K12)</x:f>
        <x:v>1400</x:v>
      </x:c>
      <x:c r="O12" s="248" t="str">
        <x:v>YES</x:v>
      </x:c>
      <x:c r="P12" s="19" t="str">
        <x:v>SUV尾门/货舱功能件一套；不含金属壳/新增玻璃。</x:v>
      </x:c>
      <x:c r="Q12" s="19" t="str">
        <x:f>'25_BOM假设'!K28</x:f>
        <x:v>B23_CARGO_FUNCTION</x:v>
      </x:c>
      <x:c r="R12" s="19" t="str">
        <x:f>IF(AND(L12&lt;=M12,M12&lt;=N12,O12="YES"),"PASS","FAIL")</x:f>
        <x:v>PASS</x:v>
      </x:c>
    </x:row>
    <x:row r="13" ht="44" customHeight="1">
      <x:c r="A13" s="220" t="str">
        <x:v>P23A-RWD96</x:v>
      </x:c>
      <x:c r="B13" s="220" t="str">
        <x:v>96kWh后驱铰链</x:v>
      </x:c>
      <x:c r="C13" s="220" t="str">
        <x:v>B23_HYPERVISION_ABS</x:v>
      </x:c>
      <x:c r="D13" s="220" t="str">
        <x:v>M06_COCKPIT</x:v>
      </x:c>
      <x:c r="E13" s="231" t="n">
        <x:v>1</x:v>
      </x:c>
      <x:c r="F13" s="231" t="n">
        <x:v>1</x:v>
      </x:c>
      <x:c r="G13" s="231" t="n">
        <x:v>1</x:v>
      </x:c>
      <x:c r="H13" s="220" t="str">
        <x:v>套/个/车</x:v>
      </x:c>
      <x:c r="I13" s="231" t="n">
        <x:f>'25_BOM假设'!D29</x:f>
        <x:v>1100</x:v>
      </x:c>
      <x:c r="J13" s="231" t="n">
        <x:f>'25_BOM假设'!E29</x:f>
        <x:v>1750</x:v>
      </x:c>
      <x:c r="K13" s="231" t="n">
        <x:f>'25_BOM假设'!F29</x:f>
        <x:v>2850</x:v>
      </x:c>
      <x:c r="L13" s="246" t="n">
        <x:f>MIN(E13*I13,E13*J13,E13*K13,F13*I13,F13*J13,F13*K13,G13*I13,G13*J13,G13*K13)</x:f>
        <x:v>1100</x:v>
      </x:c>
      <x:c r="M13" s="246" t="n">
        <x:f>F13*J13</x:f>
        <x:v>1750</x:v>
      </x:c>
      <x:c r="N13" s="246" t="n">
        <x:f>MAX(E13*I13,E13*J13,E13*K13,F13*I13,F13*J13,F13*K13,G13*I13,G13*J13,G13*K13)</x:f>
        <x:v>2850</x:v>
      </x:c>
      <x:c r="O13" s="248" t="str">
        <x:v>YES</x:v>
      </x:c>
      <x:c r="P13" s="220" t="str">
        <x:v>YU7全系HyperVision；Max桥2.3A已扣SU7 WHUD。</x:v>
      </x:c>
      <x:c r="Q13" s="220" t="str">
        <x:f>'25_BOM假设'!K29</x:f>
        <x:v>B23_HYPERVISION_ABS</x:v>
      </x:c>
      <x:c r="R13" s="220" t="str">
        <x:f>IF(AND(L13&lt;=M13,M13&lt;=N13,O13="YES"),"PASS","FAIL")</x:f>
        <x:v>PASS</x:v>
      </x:c>
    </x:row>
    <x:row r="14" ht="44" customHeight="1">
      <x:c r="A14" s="19" t="str">
        <x:v>P23A-RWD96</x:v>
      </x:c>
      <x:c r="B14" s="19" t="str">
        <x:v>96kWh后驱铰链</x:v>
      </x:c>
      <x:c r="C14" s="19" t="str">
        <x:v>B23_AIRBAG_UNIT</x:v>
      </x:c>
      <x:c r="D14" s="19" t="str">
        <x:v>M07_BODY</x:v>
      </x:c>
      <x:c r="E14" s="62" t="n">
        <x:v>-2</x:v>
      </x:c>
      <x:c r="F14" s="62" t="n">
        <x:v>-2</x:v>
      </x:c>
      <x:c r="G14" s="62" t="n">
        <x:v>-2</x:v>
      </x:c>
      <x:c r="H14" s="19" t="str">
        <x:v>套/个/车</x:v>
      </x:c>
      <x:c r="I14" s="62" t="n">
        <x:f>'25_BOM假设'!D30</x:f>
        <x:v>100</x:v>
      </x:c>
      <x:c r="J14" s="62" t="n">
        <x:f>'25_BOM假设'!E30</x:f>
        <x:v>140</x:v>
      </x:c>
      <x:c r="K14" s="62" t="n">
        <x:f>'25_BOM假设'!F30</x:f>
        <x:v>180</x:v>
      </x:c>
      <x:c r="L14" s="246" t="n">
        <x:f>MIN(E14*I14,E14*J14,E14*K14,F14*I14,F14*J14,F14*K14,G14*I14,G14*J14,G14*K14)</x:f>
        <x:v>-360</x:v>
      </x:c>
      <x:c r="M14" s="246" t="n">
        <x:f>F14*J14</x:f>
        <x:v>-280</x:v>
      </x:c>
      <x:c r="N14" s="246" t="n">
        <x:f>MAX(E14*I14,E14*J14,E14*K14,F14*I14,F14*J14,F14*K14,G14*I14,G14*J14,G14*K14)</x:f>
        <x:v>-200</x:v>
      </x:c>
      <x:c r="O14" s="248" t="str">
        <x:v>YES</x:v>
      </x:c>
      <x:c r="P14" s="19" t="str">
        <x:v>YU7 7个、SU7 9个；数量差−2。</x:v>
      </x:c>
      <x:c r="Q14" s="19" t="str">
        <x:f>'25_BOM假设'!K30</x:f>
        <x:v>B23_AIRBAG_COUNT</x:v>
      </x:c>
      <x:c r="R14" s="19" t="str">
        <x:f>IF(AND(L14&lt;=M14,M14&lt;=N14,O14="YES"),"PASS","FAIL")</x:f>
        <x:v>PASS</x:v>
      </x:c>
    </x:row>
    <x:row r="15" ht="44" customHeight="1">
      <x:c r="A15" s="220" t="str">
        <x:v>P23A-RWD96</x:v>
      </x:c>
      <x:c r="B15" s="220" t="str">
        <x:v>96kWh后驱铰链</x:v>
      </x:c>
      <x:c r="C15" s="220" t="str">
        <x:v>B23_REAR_SEAT_ELECTRIC_SET</x:v>
      </x:c>
      <x:c r="D15" s="220" t="str">
        <x:v>M08_COMFORT</x:v>
      </x:c>
      <x:c r="E15" s="231" t="n">
        <x:v>1</x:v>
      </x:c>
      <x:c r="F15" s="231" t="n">
        <x:v>1</x:v>
      </x:c>
      <x:c r="G15" s="231" t="n">
        <x:v>1</x:v>
      </x:c>
      <x:c r="H15" s="220" t="str">
        <x:v>套/个/车</x:v>
      </x:c>
      <x:c r="I15" s="231" t="n">
        <x:f>'25_BOM假设'!D31</x:f>
        <x:v>200</x:v>
      </x:c>
      <x:c r="J15" s="231" t="n">
        <x:f>'25_BOM假设'!E31</x:f>
        <x:v>350</x:v>
      </x:c>
      <x:c r="K15" s="231" t="n">
        <x:f>'25_BOM假设'!F31</x:f>
        <x:v>600</x:v>
      </x:c>
      <x:c r="L15" s="246" t="n">
        <x:f>MIN(E15*I15,E15*J15,E15*K15,F15*I15,F15*J15,F15*K15,G15*I15,G15*J15,G15*K15)</x:f>
        <x:v>200</x:v>
      </x:c>
      <x:c r="M15" s="246" t="n">
        <x:f>F15*J15</x:f>
        <x:v>350</x:v>
      </x:c>
      <x:c r="N15" s="246" t="n">
        <x:f>MAX(E15*I15,E15*J15,E15*K15,F15*I15,F15*J15,F15*K15,G15*I15,G15*J15,G15*K15)</x:f>
        <x:v>600</x:v>
      </x:c>
      <x:c r="O15" s="248" t="str">
        <x:v>YES</x:v>
      </x:c>
      <x:c r="P15" s="220" t="str">
        <x:v>YU7后排电调/电动放倒相对SU7公开基线一套。</x:v>
      </x:c>
      <x:c r="Q15" s="220" t="str">
        <x:f>'25_BOM假设'!K31</x:f>
        <x:v>B23_REAR_SEAT_ACTUATION</x:v>
      </x:c>
      <x:c r="R15" s="220" t="str">
        <x:f>IF(AND(L15&lt;=M15,M15&lt;=N15,O15="YES"),"PASS","FAIL")</x:f>
        <x:v>PASS</x:v>
      </x:c>
    </x:row>
    <x:row r="16" ht="44" customHeight="1">
      <x:c r="A16" s="19" t="str">
        <x:v>P23A-CHASSIS96</x:v>
      </x:c>
      <x:c r="B16" s="19" t="str">
        <x:v>96kWh底盘铰链</x:v>
      </x:c>
      <x:c r="C16" s="19" t="str">
        <x:v>B23_BASE_MATERIAL_PROXY</x:v>
      </x:c>
      <x:c r="D16" s="19" t="str">
        <x:v>M07_BODY</x:v>
      </x:c>
      <x:c r="E16" s="62" t="n">
        <x:v>1</x:v>
      </x:c>
      <x:c r="F16" s="62" t="n">
        <x:v>1</x:v>
      </x:c>
      <x:c r="G16" s="62" t="n">
        <x:v>1</x:v>
      </x:c>
      <x:c r="H16" s="19" t="str">
        <x:v>套/个/车</x:v>
      </x:c>
      <x:c r="I16" s="62" t="n">
        <x:f>'25_BOM假设'!D27</x:f>
        <x:v>1291.5</x:v>
      </x:c>
      <x:c r="J16" s="62" t="n">
        <x:f>'25_BOM假设'!E27</x:f>
        <x:v>2422.1944999999996</x:v>
      </x:c>
      <x:c r="K16" s="62" t="n">
        <x:f>'25_BOM假设'!F27</x:f>
        <x:v>4811.625</x:v>
      </x:c>
      <x:c r="L16" s="246" t="n">
        <x:f>MIN(E16*I16,E16*J16,E16*K16,F16*I16,F16*J16,F16*K16,G16*I16,G16*J16,G16*K16)</x:f>
        <x:v>1291.5</x:v>
      </x:c>
      <x:c r="M16" s="246" t="n">
        <x:f>F16*J16</x:f>
        <x:v>2422.1944999999996</x:v>
      </x:c>
      <x:c r="N16" s="246" t="n">
        <x:f>MAX(E16*I16,E16*J16,E16*K16,F16*I16,F16*J16,F16*K16,G16*I16,G16*J16,G16*K16)</x:f>
        <x:v>4811.625</x:v>
      </x:c>
      <x:c r="O16" s="248" t="str">
        <x:v>YES</x:v>
      </x:c>
      <x:c r="P16" s="19" t="str">
        <x:v>清洁后的基础物料/加工代理；四桥同一成本项。</x:v>
      </x:c>
      <x:c r="Q16" s="19" t="str">
        <x:f>'25_BOM假设'!K27</x:f>
        <x:v>B23_BASE_MATERIAL_CLEAN</x:v>
      </x:c>
      <x:c r="R16" s="19" t="str">
        <x:f>IF(AND(L16&lt;=M16,M16&lt;=N16,O16="YES"),"PASS","FAIL")</x:f>
        <x:v>PASS</x:v>
      </x:c>
    </x:row>
    <x:row r="17" ht="44" customHeight="1">
      <x:c r="A17" s="220" t="str">
        <x:v>P23A-CHASSIS96</x:v>
      </x:c>
      <x:c r="B17" s="220" t="str">
        <x:v>96kWh底盘铰链</x:v>
      </x:c>
      <x:c r="C17" s="220" t="str">
        <x:v>B23_CARGO_FUNCTION_SET</x:v>
      </x:c>
      <x:c r="D17" s="220" t="str">
        <x:v>M07_BODY</x:v>
      </x:c>
      <x:c r="E17" s="231" t="n">
        <x:v>1</x:v>
      </x:c>
      <x:c r="F17" s="231" t="n">
        <x:v>1</x:v>
      </x:c>
      <x:c r="G17" s="231" t="n">
        <x:v>1</x:v>
      </x:c>
      <x:c r="H17" s="220" t="str">
        <x:v>套/个/车</x:v>
      </x:c>
      <x:c r="I17" s="231" t="n">
        <x:f>'25_BOM假设'!D28</x:f>
        <x:v>500</x:v>
      </x:c>
      <x:c r="J17" s="231" t="n">
        <x:f>'25_BOM假设'!E28</x:f>
        <x:v>900</x:v>
      </x:c>
      <x:c r="K17" s="231" t="n">
        <x:f>'25_BOM假设'!F28</x:f>
        <x:v>1400</x:v>
      </x:c>
      <x:c r="L17" s="246" t="n">
        <x:f>MIN(E17*I17,E17*J17,E17*K17,F17*I17,F17*J17,F17*K17,G17*I17,G17*J17,G17*K17)</x:f>
        <x:v>500</x:v>
      </x:c>
      <x:c r="M17" s="246" t="n">
        <x:f>F17*J17</x:f>
        <x:v>900</x:v>
      </x:c>
      <x:c r="N17" s="246" t="n">
        <x:f>MAX(E17*I17,E17*J17,E17*K17,F17*I17,F17*J17,F17*K17,G17*I17,G17*J17,G17*K17)</x:f>
        <x:v>1400</x:v>
      </x:c>
      <x:c r="O17" s="248" t="str">
        <x:v>YES</x:v>
      </x:c>
      <x:c r="P17" s="220" t="str">
        <x:v>SUV尾门/货舱功能件一套；不含金属壳/新增玻璃。</x:v>
      </x:c>
      <x:c r="Q17" s="220" t="str">
        <x:f>'25_BOM假设'!K28</x:f>
        <x:v>B23_CARGO_FUNCTION</x:v>
      </x:c>
      <x:c r="R17" s="220" t="str">
        <x:f>IF(AND(L17&lt;=M17,M17&lt;=N17,O17="YES"),"PASS","FAIL")</x:f>
        <x:v>PASS</x:v>
      </x:c>
    </x:row>
    <x:row r="18" ht="44" customHeight="1">
      <x:c r="A18" s="19" t="str">
        <x:v>P23A-CHASSIS96</x:v>
      </x:c>
      <x:c r="B18" s="19" t="str">
        <x:v>96kWh底盘铰链</x:v>
      </x:c>
      <x:c r="C18" s="19" t="str">
        <x:v>B23_HYPERVISION_ABS</x:v>
      </x:c>
      <x:c r="D18" s="19" t="str">
        <x:v>M06_COCKPIT</x:v>
      </x:c>
      <x:c r="E18" s="62" t="n">
        <x:v>1</x:v>
      </x:c>
      <x:c r="F18" s="62" t="n">
        <x:v>1</x:v>
      </x:c>
      <x:c r="G18" s="62" t="n">
        <x:v>1</x:v>
      </x:c>
      <x:c r="H18" s="19" t="str">
        <x:v>套/个/车</x:v>
      </x:c>
      <x:c r="I18" s="62" t="n">
        <x:f>'25_BOM假设'!D29</x:f>
        <x:v>1100</x:v>
      </x:c>
      <x:c r="J18" s="62" t="n">
        <x:f>'25_BOM假设'!E29</x:f>
        <x:v>1750</x:v>
      </x:c>
      <x:c r="K18" s="62" t="n">
        <x:f>'25_BOM假设'!F29</x:f>
        <x:v>2850</x:v>
      </x:c>
      <x:c r="L18" s="246" t="n">
        <x:f>MIN(E18*I18,E18*J18,E18*K18,F18*I18,F18*J18,F18*K18,G18*I18,G18*J18,G18*K18)</x:f>
        <x:v>1100</x:v>
      </x:c>
      <x:c r="M18" s="246" t="n">
        <x:f>F18*J18</x:f>
        <x:v>1750</x:v>
      </x:c>
      <x:c r="N18" s="246" t="n">
        <x:f>MAX(E18*I18,E18*J18,E18*K18,F18*I18,F18*J18,F18*K18,G18*I18,G18*J18,G18*K18)</x:f>
        <x:v>2850</x:v>
      </x:c>
      <x:c r="O18" s="248" t="str">
        <x:v>YES</x:v>
      </x:c>
      <x:c r="P18" s="19" t="str">
        <x:v>YU7全系HyperVision；Max桥2.3A已扣SU7 WHUD。</x:v>
      </x:c>
      <x:c r="Q18" s="19" t="str">
        <x:f>'25_BOM假设'!K29</x:f>
        <x:v>B23_HYPERVISION_ABS</x:v>
      </x:c>
      <x:c r="R18" s="19" t="str">
        <x:f>IF(AND(L18&lt;=M18,M18&lt;=N18,O18="YES"),"PASS","FAIL")</x:f>
        <x:v>PASS</x:v>
      </x:c>
    </x:row>
    <x:row r="19" ht="44" customHeight="1">
      <x:c r="A19" s="220" t="str">
        <x:v>P23A-CHASSIS96</x:v>
      </x:c>
      <x:c r="B19" s="220" t="str">
        <x:v>96kWh底盘铰链</x:v>
      </x:c>
      <x:c r="C19" s="220" t="str">
        <x:v>B23_AIRBAG_UNIT</x:v>
      </x:c>
      <x:c r="D19" s="220" t="str">
        <x:v>M07_BODY</x:v>
      </x:c>
      <x:c r="E19" s="231" t="n">
        <x:v>-2</x:v>
      </x:c>
      <x:c r="F19" s="231" t="n">
        <x:v>-2</x:v>
      </x:c>
      <x:c r="G19" s="231" t="n">
        <x:v>-2</x:v>
      </x:c>
      <x:c r="H19" s="220" t="str">
        <x:v>套/个/车</x:v>
      </x:c>
      <x:c r="I19" s="231" t="n">
        <x:f>'25_BOM假设'!D30</x:f>
        <x:v>100</x:v>
      </x:c>
      <x:c r="J19" s="231" t="n">
        <x:f>'25_BOM假设'!E30</x:f>
        <x:v>140</x:v>
      </x:c>
      <x:c r="K19" s="231" t="n">
        <x:f>'25_BOM假设'!F30</x:f>
        <x:v>180</x:v>
      </x:c>
      <x:c r="L19" s="246" t="n">
        <x:f>MIN(E19*I19,E19*J19,E19*K19,F19*I19,F19*J19,F19*K19,G19*I19,G19*J19,G19*K19)</x:f>
        <x:v>-360</x:v>
      </x:c>
      <x:c r="M19" s="246" t="n">
        <x:f>F19*J19</x:f>
        <x:v>-280</x:v>
      </x:c>
      <x:c r="N19" s="246" t="n">
        <x:f>MAX(E19*I19,E19*J19,E19*K19,F19*I19,F19*J19,F19*K19,G19*I19,G19*J19,G19*K19)</x:f>
        <x:v>-200</x:v>
      </x:c>
      <x:c r="O19" s="248" t="str">
        <x:v>YES</x:v>
      </x:c>
      <x:c r="P19" s="220" t="str">
        <x:v>YU7 7个、SU7 9个；数量差−2。</x:v>
      </x:c>
      <x:c r="Q19" s="220" t="str">
        <x:f>'25_BOM假设'!K30</x:f>
        <x:v>B23_AIRBAG_COUNT</x:v>
      </x:c>
      <x:c r="R19" s="220" t="str">
        <x:f>IF(AND(L19&lt;=M19,M19&lt;=N19,O19="YES"),"PASS","FAIL")</x:f>
        <x:v>PASS</x:v>
      </x:c>
    </x:row>
    <x:row r="20" ht="44" customHeight="1">
      <x:c r="A20" s="19" t="str">
        <x:v>P23A-CHASSIS96</x:v>
      </x:c>
      <x:c r="B20" s="19" t="str">
        <x:v>96kWh底盘铰链</x:v>
      </x:c>
      <x:c r="C20" s="19" t="str">
        <x:v>B23_REAR_SEAT_ELECTRIC_SET</x:v>
      </x:c>
      <x:c r="D20" s="19" t="str">
        <x:v>M08_COMFORT</x:v>
      </x:c>
      <x:c r="E20" s="62" t="n">
        <x:v>1</x:v>
      </x:c>
      <x:c r="F20" s="62" t="n">
        <x:v>1</x:v>
      </x:c>
      <x:c r="G20" s="62" t="n">
        <x:v>1</x:v>
      </x:c>
      <x:c r="H20" s="19" t="str">
        <x:v>套/个/车</x:v>
      </x:c>
      <x:c r="I20" s="62" t="n">
        <x:f>'25_BOM假设'!D31</x:f>
        <x:v>200</x:v>
      </x:c>
      <x:c r="J20" s="62" t="n">
        <x:f>'25_BOM假设'!E31</x:f>
        <x:v>350</x:v>
      </x:c>
      <x:c r="K20" s="62" t="n">
        <x:f>'25_BOM假设'!F31</x:f>
        <x:v>600</x:v>
      </x:c>
      <x:c r="L20" s="246" t="n">
        <x:f>MIN(E20*I20,E20*J20,E20*K20,F20*I20,F20*J20,F20*K20,G20*I20,G20*J20,G20*K20)</x:f>
        <x:v>200</x:v>
      </x:c>
      <x:c r="M20" s="246" t="n">
        <x:f>F20*J20</x:f>
        <x:v>350</x:v>
      </x:c>
      <x:c r="N20" s="246" t="n">
        <x:f>MAX(E20*I20,E20*J20,E20*K20,F20*I20,F20*J20,F20*K20,G20*I20,G20*J20,G20*K20)</x:f>
        <x:v>600</x:v>
      </x:c>
      <x:c r="O20" s="248" t="str">
        <x:v>YES</x:v>
      </x:c>
      <x:c r="P20" s="19" t="str">
        <x:v>YU7后排电调/电动放倒相对SU7公开基线一套。</x:v>
      </x:c>
      <x:c r="Q20" s="19" t="str">
        <x:f>'25_BOM假设'!K31</x:f>
        <x:v>B23_REAR_SEAT_ACTUATION</x:v>
      </x:c>
      <x:c r="R20" s="19" t="str">
        <x:f>IF(AND(L20&lt;=M20,M20&lt;=N20,O20="YES"),"PASS","FAIL")</x:f>
        <x:v>PASS</x:v>
      </x:c>
    </x:row>
    <x:row r="21" ht="44" customHeight="1">
      <x:c r="A21" s="220" t="str">
        <x:v>P23A-MAX</x:v>
      </x:c>
      <x:c r="B21" s="220" t="str">
        <x:v>Max强锚</x:v>
      </x:c>
      <x:c r="C21" s="220" t="str">
        <x:v>B23_BASE_MATERIAL_PROXY</x:v>
      </x:c>
      <x:c r="D21" s="220" t="str">
        <x:v>M07_BODY</x:v>
      </x:c>
      <x:c r="E21" s="231" t="n">
        <x:v>1</x:v>
      </x:c>
      <x:c r="F21" s="231" t="n">
        <x:v>1</x:v>
      </x:c>
      <x:c r="G21" s="231" t="n">
        <x:v>1</x:v>
      </x:c>
      <x:c r="H21" s="220" t="str">
        <x:v>套/个/车</x:v>
      </x:c>
      <x:c r="I21" s="231" t="n">
        <x:f>'25_BOM假设'!D27</x:f>
        <x:v>1291.5</x:v>
      </x:c>
      <x:c r="J21" s="231" t="n">
        <x:f>'25_BOM假设'!E27</x:f>
        <x:v>2422.1944999999996</x:v>
      </x:c>
      <x:c r="K21" s="231" t="n">
        <x:f>'25_BOM假设'!F27</x:f>
        <x:v>4811.625</x:v>
      </x:c>
      <x:c r="L21" s="246" t="n">
        <x:f>MIN(E21*I21,E21*J21,E21*K21,F21*I21,F21*J21,F21*K21,G21*I21,G21*J21,G21*K21)</x:f>
        <x:v>1291.5</x:v>
      </x:c>
      <x:c r="M21" s="246" t="n">
        <x:f>F21*J21</x:f>
        <x:v>2422.1944999999996</x:v>
      </x:c>
      <x:c r="N21" s="246" t="n">
        <x:f>MAX(E21*I21,E21*J21,E21*K21,F21*I21,F21*J21,F21*K21,G21*I21,G21*J21,G21*K21)</x:f>
        <x:v>4811.625</x:v>
      </x:c>
      <x:c r="O21" s="248" t="str">
        <x:v>YES</x:v>
      </x:c>
      <x:c r="P21" s="220" t="str">
        <x:v>清洁后的基础物料/加工代理；四桥同一成本项。</x:v>
      </x:c>
      <x:c r="Q21" s="220" t="str">
        <x:f>'25_BOM假设'!K27</x:f>
        <x:v>B23_BASE_MATERIAL_CLEAN</x:v>
      </x:c>
      <x:c r="R21" s="220" t="str">
        <x:f>IF(AND(L21&lt;=M21,M21&lt;=N21,O21="YES"),"PASS","FAIL")</x:f>
        <x:v>PASS</x:v>
      </x:c>
    </x:row>
    <x:row r="22" ht="44" customHeight="1">
      <x:c r="A22" s="19" t="str">
        <x:v>P23A-MAX</x:v>
      </x:c>
      <x:c r="B22" s="19" t="str">
        <x:v>Max强锚</x:v>
      </x:c>
      <x:c r="C22" s="19" t="str">
        <x:v>B23_CARGO_FUNCTION_SET</x:v>
      </x:c>
      <x:c r="D22" s="19" t="str">
        <x:v>M07_BODY</x:v>
      </x:c>
      <x:c r="E22" s="62" t="n">
        <x:v>1</x:v>
      </x:c>
      <x:c r="F22" s="62" t="n">
        <x:v>1</x:v>
      </x:c>
      <x:c r="G22" s="62" t="n">
        <x:v>1</x:v>
      </x:c>
      <x:c r="H22" s="19" t="str">
        <x:v>套/个/车</x:v>
      </x:c>
      <x:c r="I22" s="62" t="n">
        <x:f>'25_BOM假设'!D28</x:f>
        <x:v>500</x:v>
      </x:c>
      <x:c r="J22" s="62" t="n">
        <x:f>'25_BOM假设'!E28</x:f>
        <x:v>900</x:v>
      </x:c>
      <x:c r="K22" s="62" t="n">
        <x:f>'25_BOM假设'!F28</x:f>
        <x:v>1400</x:v>
      </x:c>
      <x:c r="L22" s="246" t="n">
        <x:f>MIN(E22*I22,E22*J22,E22*K22,F22*I22,F22*J22,F22*K22,G22*I22,G22*J22,G22*K22)</x:f>
        <x:v>500</x:v>
      </x:c>
      <x:c r="M22" s="246" t="n">
        <x:f>F22*J22</x:f>
        <x:v>900</x:v>
      </x:c>
      <x:c r="N22" s="246" t="n">
        <x:f>MAX(E22*I22,E22*J22,E22*K22,F22*I22,F22*J22,F22*K22,G22*I22,G22*J22,G22*K22)</x:f>
        <x:v>1400</x:v>
      </x:c>
      <x:c r="O22" s="248" t="str">
        <x:v>YES</x:v>
      </x:c>
      <x:c r="P22" s="19" t="str">
        <x:v>SUV尾门/货舱功能件一套；不含金属壳/新增玻璃。</x:v>
      </x:c>
      <x:c r="Q22" s="19" t="str">
        <x:f>'25_BOM假设'!K28</x:f>
        <x:v>B23_CARGO_FUNCTION</x:v>
      </x:c>
      <x:c r="R22" s="19" t="str">
        <x:f>IF(AND(L22&lt;=M22,M22&lt;=N22,O22="YES"),"PASS","FAIL")</x:f>
        <x:v>PASS</x:v>
      </x:c>
    </x:row>
    <x:row r="23" ht="44" customHeight="1">
      <x:c r="A23" s="220" t="str">
        <x:v>P23A-MAX</x:v>
      </x:c>
      <x:c r="B23" s="220" t="str">
        <x:v>Max强锚</x:v>
      </x:c>
      <x:c r="C23" s="220" t="str">
        <x:v>B23_HYPERVISION_ABS</x:v>
      </x:c>
      <x:c r="D23" s="220" t="str">
        <x:v>M06_COCKPIT</x:v>
      </x:c>
      <x:c r="E23" s="231" t="n">
        <x:v>1</x:v>
      </x:c>
      <x:c r="F23" s="231" t="n">
        <x:v>1</x:v>
      </x:c>
      <x:c r="G23" s="231" t="n">
        <x:v>1</x:v>
      </x:c>
      <x:c r="H23" s="220" t="str">
        <x:v>套/个/车</x:v>
      </x:c>
      <x:c r="I23" s="231" t="n">
        <x:f>'25_BOM假设'!D29</x:f>
        <x:v>1100</x:v>
      </x:c>
      <x:c r="J23" s="231" t="n">
        <x:f>'25_BOM假设'!E29</x:f>
        <x:v>1750</x:v>
      </x:c>
      <x:c r="K23" s="231" t="n">
        <x:f>'25_BOM假设'!F29</x:f>
        <x:v>2850</x:v>
      </x:c>
      <x:c r="L23" s="246" t="n">
        <x:f>MIN(E23*I23,E23*J23,E23*K23,F23*I23,F23*J23,F23*K23,G23*I23,G23*J23,G23*K23)</x:f>
        <x:v>1100</x:v>
      </x:c>
      <x:c r="M23" s="246" t="n">
        <x:f>F23*J23</x:f>
        <x:v>1750</x:v>
      </x:c>
      <x:c r="N23" s="246" t="n">
        <x:f>MAX(E23*I23,E23*J23,E23*K23,F23*I23,F23*J23,F23*K23,G23*I23,G23*J23,G23*K23)</x:f>
        <x:v>2850</x:v>
      </x:c>
      <x:c r="O23" s="248" t="str">
        <x:v>YES</x:v>
      </x:c>
      <x:c r="P23" s="220" t="str">
        <x:v>YU7全系HyperVision；Max桥2.3A已扣SU7 WHUD。</x:v>
      </x:c>
      <x:c r="Q23" s="220" t="str">
        <x:f>'25_BOM假设'!K29</x:f>
        <x:v>B23_HYPERVISION_ABS</x:v>
      </x:c>
      <x:c r="R23" s="220" t="str">
        <x:f>IF(AND(L23&lt;=M23,M23&lt;=N23,O23="YES"),"PASS","FAIL")</x:f>
        <x:v>PASS</x:v>
      </x:c>
    </x:row>
    <x:row r="24" ht="44" customHeight="1">
      <x:c r="A24" s="19" t="str">
        <x:v>P23A-MAX</x:v>
      </x:c>
      <x:c r="B24" s="19" t="str">
        <x:v>Max强锚</x:v>
      </x:c>
      <x:c r="C24" s="19" t="str">
        <x:v>B23_AIRBAG_UNIT</x:v>
      </x:c>
      <x:c r="D24" s="19" t="str">
        <x:v>M07_BODY</x:v>
      </x:c>
      <x:c r="E24" s="62" t="n">
        <x:v>-2</x:v>
      </x:c>
      <x:c r="F24" s="62" t="n">
        <x:v>-2</x:v>
      </x:c>
      <x:c r="G24" s="62" t="n">
        <x:v>-2</x:v>
      </x:c>
      <x:c r="H24" s="19" t="str">
        <x:v>套/个/车</x:v>
      </x:c>
      <x:c r="I24" s="62" t="n">
        <x:f>'25_BOM假设'!D30</x:f>
        <x:v>100</x:v>
      </x:c>
      <x:c r="J24" s="62" t="n">
        <x:f>'25_BOM假设'!E30</x:f>
        <x:v>140</x:v>
      </x:c>
      <x:c r="K24" s="62" t="n">
        <x:f>'25_BOM假设'!F30</x:f>
        <x:v>180</x:v>
      </x:c>
      <x:c r="L24" s="246" t="n">
        <x:f>MIN(E24*I24,E24*J24,E24*K24,F24*I24,F24*J24,F24*K24,G24*I24,G24*J24,G24*K24)</x:f>
        <x:v>-360</x:v>
      </x:c>
      <x:c r="M24" s="246" t="n">
        <x:f>F24*J24</x:f>
        <x:v>-280</x:v>
      </x:c>
      <x:c r="N24" s="246" t="n">
        <x:f>MAX(E24*I24,E24*J24,E24*K24,F24*I24,F24*J24,F24*K24,G24*I24,G24*J24,G24*K24)</x:f>
        <x:v>-200</x:v>
      </x:c>
      <x:c r="O24" s="248" t="str">
        <x:v>YES</x:v>
      </x:c>
      <x:c r="P24" s="19" t="str">
        <x:v>YU7 7个、SU7 9个；数量差−2。</x:v>
      </x:c>
      <x:c r="Q24" s="19" t="str">
        <x:f>'25_BOM假设'!K30</x:f>
        <x:v>B23_AIRBAG_COUNT</x:v>
      </x:c>
      <x:c r="R24" s="19" t="str">
        <x:f>IF(AND(L24&lt;=M24,M24&lt;=N24,O24="YES"),"PASS","FAIL")</x:f>
        <x:v>PASS</x:v>
      </x:c>
    </x:row>
    <x:row r="25" ht="44" customHeight="1">
      <x:c r="A25" s="220" t="str">
        <x:v>P23A-MAX</x:v>
      </x:c>
      <x:c r="B25" s="220" t="str">
        <x:v>Max强锚</x:v>
      </x:c>
      <x:c r="C25" s="220" t="str">
        <x:v>B23_REAR_SEAT_ELECTRIC_SET</x:v>
      </x:c>
      <x:c r="D25" s="220" t="str">
        <x:v>M08_COMFORT</x:v>
      </x:c>
      <x:c r="E25" s="231" t="n">
        <x:v>1</x:v>
      </x:c>
      <x:c r="F25" s="231" t="n">
        <x:v>1</x:v>
      </x:c>
      <x:c r="G25" s="231" t="n">
        <x:v>1</x:v>
      </x:c>
      <x:c r="H25" s="220" t="str">
        <x:v>套/个/车</x:v>
      </x:c>
      <x:c r="I25" s="231" t="n">
        <x:f>'25_BOM假设'!D31</x:f>
        <x:v>200</x:v>
      </x:c>
      <x:c r="J25" s="231" t="n">
        <x:f>'25_BOM假设'!E31</x:f>
        <x:v>350</x:v>
      </x:c>
      <x:c r="K25" s="231" t="n">
        <x:f>'25_BOM假设'!F31</x:f>
        <x:v>600</x:v>
      </x:c>
      <x:c r="L25" s="246" t="n">
        <x:f>MIN(E25*I25,E25*J25,E25*K25,F25*I25,F25*J25,F25*K25,G25*I25,G25*J25,G25*K25)</x:f>
        <x:v>200</x:v>
      </x:c>
      <x:c r="M25" s="246" t="n">
        <x:f>F25*J25</x:f>
        <x:v>350</x:v>
      </x:c>
      <x:c r="N25" s="246" t="n">
        <x:f>MAX(E25*I25,E25*J25,E25*K25,F25*I25,F25*J25,F25*K25,G25*I25,G25*J25,G25*K25)</x:f>
        <x:v>600</x:v>
      </x:c>
      <x:c r="O25" s="248" t="str">
        <x:v>YES</x:v>
      </x:c>
      <x:c r="P25" s="220" t="str">
        <x:v>YU7后排电调/电动放倒相对SU7公开基线一套。</x:v>
      </x:c>
      <x:c r="Q25" s="220" t="str">
        <x:f>'25_BOM假设'!K31</x:f>
        <x:v>B23_REAR_SEAT_ACTUATION</x:v>
      </x:c>
      <x:c r="R25" s="220" t="str">
        <x:f>IF(AND(L25&lt;=M25,M25&lt;=N25,O25="YES"),"PASS","FAIL")</x:f>
        <x:v>PASS</x:v>
      </x:c>
    </x:row>
  </x:sheetData>
  <x:mergeCells>
    <x:mergeCell ref="A1:R1"/>
    <x:mergeCell ref="A2:R2"/>
    <x:mergeCell ref="A3:R3"/>
  </x:mergeCells>
  <x:conditionalFormatting sqref="L6:N25">
    <x:cfRule type="cellIs" dxfId="158" priority="1" operator="lessThan">
      <x:formula>0</x:formula>
    </x:cfRule>
  </x:conditionalFormatting>
  <x:conditionalFormatting sqref="R6:R25">
    <x:cfRule type="containsText" dxfId="159" priority="2" operator="containsText" text="PASS"/>
    <x:cfRule type="containsText" dxfId="160" priority="3" operator="containsText" text="READY"/>
    <x:cfRule type="containsText" dxfId="161" priority="4" operator="containsText" text="POSITIVE"/>
    <x:cfRule type="containsText" dxfId="162" priority="5" operator="containsText" text="CROSSES_ZERO"/>
    <x:cfRule type="containsText" dxfId="163" priority="6" operator="containsText" text="COMPATIBLE"/>
    <x:cfRule type="containsText" dxfId="164" priority="7" operator="containsText" text="NEGATIVE"/>
    <x:cfRule type="containsText" dxfId="165" priority="8" operator="containsText" text="REVIEW"/>
    <x:cfRule type="containsText" dxfId="166" priority="9" operator="containsText" text="FAIL"/>
    <x:cfRule type="containsText" dxfId="167" priority="10" operator="containsText" text="PROVISIONAL"/>
  </x:conditionalFormatting>
  <x:pageMargins left="0.7" right="0.7" top="0.75" bottom="0.75" header="0.3" footer="0.3"/>
</x:worksheet>
</file>

<file path=xl/worksheets/sheet2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1" hidden="0" customWidth="1"/>
    <x:col min="2" max="2" width="23" hidden="0" customWidth="1"/>
    <x:col min="3" max="3" width="16" hidden="0" customWidth="1"/>
    <x:col min="4" max="4" width="16" hidden="0" customWidth="1"/>
    <x:col min="5" max="5" width="16" hidden="0" customWidth="1"/>
    <x:col min="6" max="6" width="15" hidden="0" customWidth="1"/>
    <x:col min="7" max="7" width="15" hidden="0" customWidth="1"/>
    <x:col min="8" max="8" width="15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6" hidden="0" customWidth="1"/>
    <x:col min="16" max="16" width="16" hidden="0" customWidth="1"/>
    <x:col min="17" max="17" width="16" hidden="0" customWidth="1"/>
    <x:col min="18" max="18" width="15" hidden="0" customWidth="1"/>
    <x:col min="19" max="19" width="16" hidden="0" customWidth="1"/>
    <x:col min="20" max="20" width="14" hidden="0" customWidth="1"/>
  </x:cols>
  <x:sheetData>
    <x:row r="1" ht="30" customHeight="1">
      <x:c r="A1" s="207" t="str">
        <x:v>27｜跨车身 BOM 汇总</x:v>
      </x:c>
      <x:c r="B1" s="207"/>
      <x:c r="C1" s="207"/>
      <x:c r="D1" s="207"/>
      <x:c r="E1" s="207"/>
      <x:c r="F1" s="207"/>
      <x:c r="G1" s="207"/>
      <x:c r="H1" s="207"/>
      <x:c r="I1" s="207"/>
      <x:c r="J1" s="207"/>
      <x:c r="K1" s="207"/>
      <x:c r="L1" s="207"/>
      <x:c r="M1" s="207"/>
      <x:c r="N1" s="207"/>
      <x:c r="O1" s="207"/>
      <x:c r="P1" s="207"/>
      <x:c r="Q1" s="207"/>
      <x:c r="R1" s="207"/>
      <x:c r="S1" s="207"/>
      <x:c r="T1" s="207"/>
    </x:row>
    <x:row r="2" ht="22" customHeight="1">
      <x:c r="A2" s="210" t="str">
        <x:v>物理BOM + 小米总装制造覆盖M09 + 质保覆盖M10｜四桥共用同一成本库</x:v>
      </x:c>
      <x:c r="B2" s="210"/>
      <x:c r="C2" s="210"/>
      <x:c r="D2" s="210"/>
      <x:c r="E2" s="210"/>
      <x:c r="F2" s="210"/>
      <x:c r="G2" s="210"/>
      <x:c r="H2" s="210"/>
      <x:c r="I2" s="210"/>
      <x:c r="J2" s="210"/>
      <x:c r="K2" s="210"/>
      <x:c r="L2" s="210"/>
      <x:c r="M2" s="210"/>
      <x:c r="N2" s="210"/>
      <x:c r="O2" s="210"/>
      <x:c r="P2" s="210"/>
      <x:c r="Q2" s="210"/>
      <x:c r="R2" s="210"/>
      <x:c r="S2" s="210"/>
      <x:c r="T2" s="210"/>
    </x:row>
    <x:row r="3" ht="44" customHeight="1">
      <x:c r="A3" s="214" t="str">
        <x:v>M09/M10只在本页叠加一次。基础物料代理中的转化系数属于供应商直接制造，不含小米总装，因此与M09边界分开。</x:v>
      </x:c>
      <x:c r="B3" s="214"/>
      <x:c r="C3" s="214"/>
      <x:c r="D3" s="214"/>
      <x:c r="E3" s="214"/>
      <x:c r="F3" s="214"/>
      <x:c r="G3" s="214"/>
      <x:c r="H3" s="214"/>
      <x:c r="I3" s="214"/>
      <x:c r="J3" s="214"/>
      <x:c r="K3" s="214"/>
      <x:c r="L3" s="214"/>
      <x:c r="M3" s="214"/>
      <x:c r="N3" s="214"/>
      <x:c r="O3" s="214"/>
      <x:c r="P3" s="214"/>
      <x:c r="Q3" s="214"/>
      <x:c r="R3" s="214"/>
      <x:c r="S3" s="214"/>
      <x:c r="T3" s="214"/>
    </x:row>
    <x:row r="5" ht="52" customHeight="1">
      <x:c r="A5" s="219" t="str">
        <x:v>pair_id</x:v>
      </x:c>
      <x:c r="B5" s="219" t="str">
        <x:v>角色</x:v>
      </x:c>
      <x:c r="C5" s="219" t="str">
        <x:v>2.3A未分配_L</x:v>
      </x:c>
      <x:c r="D5" s="219" t="str">
        <x:v>2.3A未分配_M</x:v>
      </x:c>
      <x:c r="E5" s="219" t="str">
        <x:v>2.3A未分配_H</x:v>
      </x:c>
      <x:c r="F5" s="219" t="str">
        <x:v>物理BOM_L</x:v>
      </x:c>
      <x:c r="G5" s="219" t="str">
        <x:v>物理BOM_M</x:v>
      </x:c>
      <x:c r="H5" s="219" t="str">
        <x:v>物理BOM_H</x:v>
      </x:c>
      <x:c r="I5" s="219" t="str">
        <x:v>M09_L</x:v>
      </x:c>
      <x:c r="J5" s="219" t="str">
        <x:v>M09_M</x:v>
      </x:c>
      <x:c r="K5" s="219" t="str">
        <x:v>M09_H</x:v>
      </x:c>
      <x:c r="L5" s="219" t="str">
        <x:v>M10_L</x:v>
      </x:c>
      <x:c r="M5" s="219" t="str">
        <x:v>M10_M</x:v>
      </x:c>
      <x:c r="N5" s="219" t="str">
        <x:v>M10_H</x:v>
      </x:c>
      <x:c r="O5" s="219" t="str">
        <x:v>BOM总差_L</x:v>
      </x:c>
      <x:c r="P5" s="219" t="str">
        <x:v>BOM总差_M</x:v>
      </x:c>
      <x:c r="Q5" s="219" t="str">
        <x:v>BOM总差_H</x:v>
      </x:c>
      <x:c r="R5" s="219" t="str">
        <x:v>已知未估项数</x:v>
      </x:c>
      <x:c r="S5" s="219" t="str">
        <x:v>共同成本ID数</x:v>
      </x:c>
      <x:c r="T5" s="219" t="str">
        <x:v>状态</x:v>
      </x:c>
    </x:row>
    <x:row r="6" ht="52" customHeight="1">
      <x:c r="A6" s="19" t="str">
        <x:v>P23A-STD</x:v>
      </x:c>
      <x:c r="B6" s="19" t="str">
        <x:v>标准强锚</x:v>
      </x:c>
      <x:c r="C6" s="62" t="n">
        <x:f>'20_已知差异桥'!P21</x:f>
        <x:v>12035.4</x:v>
      </x:c>
      <x:c r="D6" s="62" t="n">
        <x:f>'20_已知差异桥'!Q21</x:f>
        <x:v>12035.4</x:v>
      </x:c>
      <x:c r="E6" s="62" t="n">
        <x:f>'20_已知差异桥'!R21</x:f>
        <x:v>12035.4</x:v>
      </x:c>
      <x:c r="F6" s="232" t="n">
        <x:f>SUMIFS('26_驱动矩阵'!$L$6:$L$25,'26_驱动矩阵'!$A$6:$A$25,A6,'26_驱动矩阵'!$O$6:$O$25,"YES")</x:f>
        <x:v>2731.5</x:v>
      </x:c>
      <x:c r="G6" s="232" t="n">
        <x:f>SUMIFS('26_驱动矩阵'!$M$6:$M$25,'26_驱动矩阵'!$A$6:$A$25,A6,'26_驱动矩阵'!$O$6:$O$25,"YES")</x:f>
        <x:v>5142.1945</x:v>
      </x:c>
      <x:c r="H6" s="232" t="n">
        <x:f>SUMIFS('26_驱动矩阵'!$N$6:$N$25,'26_驱动矩阵'!$A$6:$A$25,A6,'26_驱动矩阵'!$O$6:$O$25,"YES")</x:f>
        <x:v>9461.625</x:v>
      </x:c>
      <x:c r="I6" s="62" t="n">
        <x:f>F6*'18_跨系底表'!$B$19</x:f>
        <x:v>27.315</x:v>
      </x:c>
      <x:c r="J6" s="62" t="n">
        <x:f>G6*'18_跨系底表'!$B$20</x:f>
        <x:v>102.84388999999999</x:v>
      </x:c>
      <x:c r="K6" s="62" t="n">
        <x:f>H6*'18_跨系底表'!$B$21</x:f>
        <x:v>378.46500000000003</x:v>
      </x:c>
      <x:c r="L6" s="62" t="n">
        <x:f>F6*'18_跨系底表'!$B$22</x:f>
        <x:v>13.6575</x:v>
      </x:c>
      <x:c r="M6" s="62" t="n">
        <x:f>G6*'18_跨系底表'!$B$23</x:f>
        <x:v>77.13291749999999</x:v>
      </x:c>
      <x:c r="N6" s="62" t="n">
        <x:f>H6*'18_跨系底表'!$B$24</x:f>
        <x:v>283.84875</x:v>
      </x:c>
      <x:c r="O6" s="246" t="n">
        <x:f>ROUND(SUM(F6,I6,L6),2)</x:f>
        <x:v>2772.47</x:v>
      </x:c>
      <x:c r="P6" s="246" t="n">
        <x:f>ROUND(SUM(G6,J6,M6),2)</x:f>
        <x:v>5322.17</x:v>
      </x:c>
      <x:c r="Q6" s="246" t="n">
        <x:f>ROUND(SUM(H6,K6,N6),2)</x:f>
        <x:v>10123.94</x:v>
      </x:c>
      <x:c r="R6" s="19" t="n">
        <x:v>1</x:v>
      </x:c>
      <x:c r="S6" s="19" t="n">
        <x:f>COUNTIFS('26_驱动矩阵'!$A$6:$A$25,A6,'26_驱动矩阵'!$O$6:$O$25,"YES")</x:f>
        <x:v>5</x:v>
      </x:c>
      <x:c r="T6" s="19" t="str">
        <x:f>IF(AND(O6&lt;=P6,P6&lt;=Q6,S6=5),"PASS","FAIL")</x:f>
        <x:v>PASS</x:v>
      </x:c>
    </x:row>
    <x:row r="7" ht="52" customHeight="1">
      <x:c r="A7" s="220" t="str">
        <x:v>P23A-RWD96</x:v>
      </x:c>
      <x:c r="B7" s="220" t="str">
        <x:v>96kWh后驱铰链</x:v>
      </x:c>
      <x:c r="C7" s="231" t="n">
        <x:f>'20_已知差异桥'!P22</x:f>
        <x:v>6636.84</x:v>
      </x:c>
      <x:c r="D7" s="231" t="n">
        <x:f>'20_已知差异桥'!Q22</x:f>
        <x:v>7739.84</x:v>
      </x:c>
      <x:c r="E7" s="231" t="n">
        <x:f>'20_已知差异桥'!R22</x:f>
        <x:v>9017.34</x:v>
      </x:c>
      <x:c r="F7" s="232" t="n">
        <x:f>SUMIFS('26_驱动矩阵'!$L$6:$L$25,'26_驱动矩阵'!$A$6:$A$25,A7,'26_驱动矩阵'!$O$6:$O$25,"YES")</x:f>
        <x:v>2731.5</x:v>
      </x:c>
      <x:c r="G7" s="232" t="n">
        <x:f>SUMIFS('26_驱动矩阵'!$M$6:$M$25,'26_驱动矩阵'!$A$6:$A$25,A7,'26_驱动矩阵'!$O$6:$O$25,"YES")</x:f>
        <x:v>5142.1945</x:v>
      </x:c>
      <x:c r="H7" s="232" t="n">
        <x:f>SUMIFS('26_驱动矩阵'!$N$6:$N$25,'26_驱动矩阵'!$A$6:$A$25,A7,'26_驱动矩阵'!$O$6:$O$25,"YES")</x:f>
        <x:v>9461.625</x:v>
      </x:c>
      <x:c r="I7" s="231" t="n">
        <x:f>F7*'18_跨系底表'!$B$19</x:f>
        <x:v>27.315</x:v>
      </x:c>
      <x:c r="J7" s="231" t="n">
        <x:f>G7*'18_跨系底表'!$B$20</x:f>
        <x:v>102.84388999999999</x:v>
      </x:c>
      <x:c r="K7" s="231" t="n">
        <x:f>H7*'18_跨系底表'!$B$21</x:f>
        <x:v>378.46500000000003</x:v>
      </x:c>
      <x:c r="L7" s="231" t="n">
        <x:f>F7*'18_跨系底表'!$B$22</x:f>
        <x:v>13.6575</x:v>
      </x:c>
      <x:c r="M7" s="231" t="n">
        <x:f>G7*'18_跨系底表'!$B$23</x:f>
        <x:v>77.13291749999999</x:v>
      </x:c>
      <x:c r="N7" s="231" t="n">
        <x:f>H7*'18_跨系底表'!$B$24</x:f>
        <x:v>283.84875</x:v>
      </x:c>
      <x:c r="O7" s="246" t="n">
        <x:f>ROUND(SUM(F7,I7,L7),2)</x:f>
        <x:v>2772.47</x:v>
      </x:c>
      <x:c r="P7" s="246" t="n">
        <x:f>ROUND(SUM(G7,J7,M7),2)</x:f>
        <x:v>5322.17</x:v>
      </x:c>
      <x:c r="Q7" s="246" t="n">
        <x:f>ROUND(SUM(H7,K7,N7),2)</x:f>
        <x:v>10123.94</x:v>
      </x:c>
      <x:c r="R7" s="220" t="n">
        <x:v>1</x:v>
      </x:c>
      <x:c r="S7" s="220" t="n">
        <x:f>COUNTIFS('26_驱动矩阵'!$A$6:$A$25,A7,'26_驱动矩阵'!$O$6:$O$25,"YES")</x:f>
        <x:v>5</x:v>
      </x:c>
      <x:c r="T7" s="220" t="str">
        <x:f>IF(AND(O7&lt;=P7,P7&lt;=Q7,S7=5),"PASS","FAIL")</x:f>
        <x:v>PASS</x:v>
      </x:c>
    </x:row>
    <x:row r="8" ht="52" customHeight="1">
      <x:c r="A8" s="19" t="str">
        <x:v>P23A-CHASSIS96</x:v>
      </x:c>
      <x:c r="B8" s="19" t="str">
        <x:v>96kWh底盘铰链</x:v>
      </x:c>
      <x:c r="C8" s="62" t="n">
        <x:f>'20_已知差异桥'!P23</x:f>
        <x:v>22082.67</x:v>
      </x:c>
      <x:c r="D8" s="62" t="n">
        <x:f>'20_已知差异桥'!Q23</x:f>
        <x:v>20235.17</x:v>
      </x:c>
      <x:c r="E8" s="62" t="n">
        <x:f>'20_已知差异桥'!R23</x:f>
        <x:v>17614.17</x:v>
      </x:c>
      <x:c r="F8" s="232" t="n">
        <x:f>SUMIFS('26_驱动矩阵'!$L$6:$L$25,'26_驱动矩阵'!$A$6:$A$25,A8,'26_驱动矩阵'!$O$6:$O$25,"YES")</x:f>
        <x:v>2731.5</x:v>
      </x:c>
      <x:c r="G8" s="232" t="n">
        <x:f>SUMIFS('26_驱动矩阵'!$M$6:$M$25,'26_驱动矩阵'!$A$6:$A$25,A8,'26_驱动矩阵'!$O$6:$O$25,"YES")</x:f>
        <x:v>5142.1945</x:v>
      </x:c>
      <x:c r="H8" s="232" t="n">
        <x:f>SUMIFS('26_驱动矩阵'!$N$6:$N$25,'26_驱动矩阵'!$A$6:$A$25,A8,'26_驱动矩阵'!$O$6:$O$25,"YES")</x:f>
        <x:v>9461.625</x:v>
      </x:c>
      <x:c r="I8" s="62" t="n">
        <x:f>F8*'18_跨系底表'!$B$19</x:f>
        <x:v>27.315</x:v>
      </x:c>
      <x:c r="J8" s="62" t="n">
        <x:f>G8*'18_跨系底表'!$B$20</x:f>
        <x:v>102.84388999999999</x:v>
      </x:c>
      <x:c r="K8" s="62" t="n">
        <x:f>H8*'18_跨系底表'!$B$21</x:f>
        <x:v>378.46500000000003</x:v>
      </x:c>
      <x:c r="L8" s="62" t="n">
        <x:f>F8*'18_跨系底表'!$B$22</x:f>
        <x:v>13.6575</x:v>
      </x:c>
      <x:c r="M8" s="62" t="n">
        <x:f>G8*'18_跨系底表'!$B$23</x:f>
        <x:v>77.13291749999999</x:v>
      </x:c>
      <x:c r="N8" s="62" t="n">
        <x:f>H8*'18_跨系底表'!$B$24</x:f>
        <x:v>283.84875</x:v>
      </x:c>
      <x:c r="O8" s="246" t="n">
        <x:f>ROUND(SUM(F8,I8,L8),2)</x:f>
        <x:v>2772.47</x:v>
      </x:c>
      <x:c r="P8" s="246" t="n">
        <x:f>ROUND(SUM(G8,J8,M8),2)</x:f>
        <x:v>5322.17</x:v>
      </x:c>
      <x:c r="Q8" s="246" t="n">
        <x:f>ROUND(SUM(H8,K8,N8),2)</x:f>
        <x:v>10123.94</x:v>
      </x:c>
      <x:c r="R8" s="19" t="n">
        <x:v>1</x:v>
      </x:c>
      <x:c r="S8" s="19" t="n">
        <x:f>COUNTIFS('26_驱动矩阵'!$A$6:$A$25,A8,'26_驱动矩阵'!$O$6:$O$25,"YES")</x:f>
        <x:v>5</x:v>
      </x:c>
      <x:c r="T8" s="19" t="str">
        <x:f>IF(AND(O8&lt;=P8,P8&lt;=Q8,S8=5),"PASS","FAIL")</x:f>
        <x:v>PASS</x:v>
      </x:c>
    </x:row>
    <x:row r="9" ht="52" customHeight="1">
      <x:c r="A9" s="220" t="str">
        <x:v>P23A-MAX</x:v>
      </x:c>
      <x:c r="B9" s="220" t="str">
        <x:v>Max强锚</x:v>
      </x:c>
      <x:c r="C9" s="231" t="n">
        <x:f>'20_已知差异桥'!P24</x:f>
        <x:v>23465.6</x:v>
      </x:c>
      <x:c r="D9" s="231" t="n">
        <x:f>'20_已知差异桥'!Q24</x:f>
        <x:v>23422.85</x:v>
      </x:c>
      <x:c r="E9" s="231" t="n">
        <x:f>'20_已知差异桥'!R24</x:f>
        <x:v>23319.15</x:v>
      </x:c>
      <x:c r="F9" s="232" t="n">
        <x:f>SUMIFS('26_驱动矩阵'!$L$6:$L$25,'26_驱动矩阵'!$A$6:$A$25,A9,'26_驱动矩阵'!$O$6:$O$25,"YES")</x:f>
        <x:v>2731.5</x:v>
      </x:c>
      <x:c r="G9" s="232" t="n">
        <x:f>SUMIFS('26_驱动矩阵'!$M$6:$M$25,'26_驱动矩阵'!$A$6:$A$25,A9,'26_驱动矩阵'!$O$6:$O$25,"YES")</x:f>
        <x:v>5142.1945</x:v>
      </x:c>
      <x:c r="H9" s="232" t="n">
        <x:f>SUMIFS('26_驱动矩阵'!$N$6:$N$25,'26_驱动矩阵'!$A$6:$A$25,A9,'26_驱动矩阵'!$O$6:$O$25,"YES")</x:f>
        <x:v>9461.625</x:v>
      </x:c>
      <x:c r="I9" s="231" t="n">
        <x:f>F9*'18_跨系底表'!$B$19</x:f>
        <x:v>27.315</x:v>
      </x:c>
      <x:c r="J9" s="231" t="n">
        <x:f>G9*'18_跨系底表'!$B$20</x:f>
        <x:v>102.84388999999999</x:v>
      </x:c>
      <x:c r="K9" s="231" t="n">
        <x:f>H9*'18_跨系底表'!$B$21</x:f>
        <x:v>378.46500000000003</x:v>
      </x:c>
      <x:c r="L9" s="231" t="n">
        <x:f>F9*'18_跨系底表'!$B$22</x:f>
        <x:v>13.6575</x:v>
      </x:c>
      <x:c r="M9" s="231" t="n">
        <x:f>G9*'18_跨系底表'!$B$23</x:f>
        <x:v>77.13291749999999</x:v>
      </x:c>
      <x:c r="N9" s="231" t="n">
        <x:f>H9*'18_跨系底表'!$B$24</x:f>
        <x:v>283.84875</x:v>
      </x:c>
      <x:c r="O9" s="246" t="n">
        <x:f>ROUND(SUM(F9,I9,L9),2)</x:f>
        <x:v>2772.47</x:v>
      </x:c>
      <x:c r="P9" s="246" t="n">
        <x:f>ROUND(SUM(G9,J9,M9),2)</x:f>
        <x:v>5322.17</x:v>
      </x:c>
      <x:c r="Q9" s="246" t="n">
        <x:f>ROUND(SUM(H9,K9,N9),2)</x:f>
        <x:v>10123.94</x:v>
      </x:c>
      <x:c r="R9" s="220" t="n">
        <x:v>2</x:v>
      </x:c>
      <x:c r="S9" s="220" t="n">
        <x:f>COUNTIFS('26_驱动矩阵'!$A$6:$A$25,A9,'26_驱动矩阵'!$O$6:$O$25,"YES")</x:f>
        <x:v>5</x:v>
      </x:c>
      <x:c r="T9" s="220" t="str">
        <x:f>IF(AND(O9&lt;=P9,P9&lt;=Q9,S9=5),"PASS","FAIL")</x:f>
        <x:v>PASS</x:v>
      </x:c>
    </x:row>
    <x:row r="13" ht="42" customHeight="1">
      <x:c r="A13" s="219" t="str">
        <x:v>成本项</x:v>
      </x:c>
      <x:c r="B13" s="219" t="str">
        <x:v>Low</x:v>
      </x:c>
      <x:c r="C13" s="219" t="str">
        <x:v>Mid</x:v>
      </x:c>
      <x:c r="D13" s="219" t="str">
        <x:v>High</x:v>
      </x:c>
      <x:c r="E13" s="219" t="str">
        <x:v>Mid绝对占比</x:v>
      </x:c>
      <x:c r="F13" s="219" t="str">
        <x:v>证据等级</x:v>
      </x:c>
      <x:c r="G13" s="219" t="str">
        <x:v>共同/版本</x:v>
      </x:c>
      <x:c r="H13" s="219" t="str">
        <x:v>解释</x:v>
      </x:c>
    </x:row>
    <x:row r="14" ht="46" customHeight="1">
      <x:c r="A14" s="19" t="str">
        <x:f>'25_BOM假设'!C27</x:f>
        <x:v>基础物料/加工毛代理（已清洁）</x:v>
      </x:c>
      <x:c r="B14" s="232" t="n">
        <x:f>'26_驱动矩阵'!L6</x:f>
        <x:v>1291.5</x:v>
      </x:c>
      <x:c r="C14" s="232" t="n">
        <x:f>'26_驱动矩阵'!M6</x:f>
        <x:v>2422.1944999999996</x:v>
      </x:c>
      <x:c r="D14" s="232" t="n">
        <x:f>'26_驱动矩阵'!N6</x:f>
        <x:v>4811.625</x:v>
      </x:c>
      <x:c r="E14" s="94" t="n">
        <x:f>ABS(C14)/SUM(ABS($C$14),ABS($C$15),ABS($C$16),ABS($C$17),ABS($C$18))</x:f>
        <x:v>0.4247828621068607</x:v>
      </x:c>
      <x:c r="F14" s="19" t="str">
        <x:f>'25_BOM假设'!I27</x:f>
        <x:v>D</x:v>
      </x:c>
      <x:c r="G14" s="19" t="str">
        <x:f>'25_BOM假设'!L27</x:f>
        <x:v>COMMON_ALL</x:v>
      </x:c>
      <x:c r="H14" s="19" t="str">
        <x:f>'25_BOM假设'!N27</x:f>
        <x:v>含尾门金属壳/新增玻璃；非真实白车身成本。</x:v>
      </x:c>
    </x:row>
    <x:row r="15" ht="46" customHeight="1">
      <x:c r="A15" s="220" t="str">
        <x:f>'25_BOM假设'!C28</x:f>
        <x:v>SUV尾门/货舱功能件增量包</x:v>
      </x:c>
      <x:c r="B15" s="232" t="n">
        <x:f>'26_驱动矩阵'!L7</x:f>
        <x:v>500</x:v>
      </x:c>
      <x:c r="C15" s="232" t="n">
        <x:f>'26_驱动矩阵'!M7</x:f>
        <x:v>900</x:v>
      </x:c>
      <x:c r="D15" s="232" t="n">
        <x:f>'26_驱动矩阵'!N7</x:f>
        <x:v>1400</x:v>
      </x:c>
      <x:c r="E15" s="223" t="n">
        <x:f>ABS(C15)/SUM(ABS($C$14),ABS($C$15),ABS($C$16),ABS($C$17),ABS($C$18))</x:f>
        <x:v>0.1578339707633614</x:v>
      </x:c>
      <x:c r="F15" s="220" t="str">
        <x:f>'25_BOM假设'!I28</x:f>
        <x:v>D</x:v>
      </x:c>
      <x:c r="G15" s="220" t="str">
        <x:f>'25_BOM假设'!L28</x:f>
        <x:v>COMMON_ALL</x:v>
      </x:c>
      <x:c r="H15" s="220" t="str">
        <x:f>'25_BOM假设'!N28</x:f>
        <x:v>不含金属壳/新增玻璃。</x:v>
      </x:c>
    </x:row>
    <x:row r="16" ht="46" customHeight="1">
      <x:c r="A16" s="19" t="str">
        <x:f>'25_BOM假设'!C29</x:f>
        <x:v>HyperVision绝对增量成本</x:v>
      </x:c>
      <x:c r="B16" s="232" t="n">
        <x:f>'26_驱动矩阵'!L8</x:f>
        <x:v>1100</x:v>
      </x:c>
      <x:c r="C16" s="232" t="n">
        <x:f>'26_驱动矩阵'!M8</x:f>
        <x:v>1750</x:v>
      </x:c>
      <x:c r="D16" s="232" t="n">
        <x:f>'26_驱动矩阵'!N8</x:f>
        <x:v>2850</x:v>
      </x:c>
      <x:c r="E16" s="94" t="n">
        <x:f>ABS(C16)/SUM(ABS($C$14),ABS($C$15),ABS($C$16),ABS($C$17),ABS($C$18))</x:f>
        <x:v>0.3068993875954249</x:v>
      </x:c>
      <x:c r="F16" s="19" t="str">
        <x:f>'25_BOM假设'!I29</x:f>
        <x:v>A/C</x:v>
      </x:c>
      <x:c r="G16" s="19" t="str">
        <x:f>'25_BOM假设'!L29</x:f>
        <x:v>COMMON_ALL</x:v>
      </x:c>
      <x:c r="H16" s="19" t="str">
        <x:f>'25_BOM假设'!N29</x:f>
        <x:v>Max桥2.3A已扣SU7 WHUD；此处加YU7全额。</x:v>
      </x:c>
    </x:row>
    <x:row r="17" ht="46" customHeight="1">
      <x:c r="A17" s="220" t="str">
        <x:f>'25_BOM假设'!C30</x:f>
        <x:v>气囊单元成本（数量驱动）</x:v>
      </x:c>
      <x:c r="B17" s="232" t="n">
        <x:f>'26_驱动矩阵'!L9</x:f>
        <x:v>-360</x:v>
      </x:c>
      <x:c r="C17" s="232" t="n">
        <x:f>'26_驱动矩阵'!M9</x:f>
        <x:v>-280</x:v>
      </x:c>
      <x:c r="D17" s="232" t="n">
        <x:f>'26_驱动矩阵'!N9</x:f>
        <x:v>-200</x:v>
      </x:c>
      <x:c r="E17" s="223" t="n">
        <x:f>ABS(C17)/SUM(ABS($C$14),ABS($C$15),ABS($C$16),ABS($C$17),ABS($C$18))</x:f>
        <x:v>0.049103902015267986</x:v>
      </x:c>
      <x:c r="F17" s="220" t="str">
        <x:f>'25_BOM假设'!I30</x:f>
        <x:v>B/C</x:v>
      </x:c>
      <x:c r="G17" s="220" t="str">
        <x:f>'25_BOM假设'!L30</x:f>
        <x:v>COMMON_ALL</x:v>
      </x:c>
      <x:c r="H17" s="220" t="str">
        <x:f>'25_BOM假设'!N30</x:f>
        <x:v>数量差−2，九组合求区间。</x:v>
      </x:c>
    </x:row>
    <x:row r="18" ht="46" customHeight="1">
      <x:c r="A18" s="19" t="str">
        <x:f>'25_BOM假设'!C31</x:f>
        <x:v>后排电调/放倒机构包</x:v>
      </x:c>
      <x:c r="B18" s="232" t="n">
        <x:f>'26_驱动矩阵'!L10</x:f>
        <x:v>200</x:v>
      </x:c>
      <x:c r="C18" s="232" t="n">
        <x:f>'26_驱动矩阵'!M10</x:f>
        <x:v>350</x:v>
      </x:c>
      <x:c r="D18" s="232" t="n">
        <x:f>'26_驱动矩阵'!N10</x:f>
        <x:v>600</x:v>
      </x:c>
      <x:c r="E18" s="94" t="n">
        <x:f>ABS(C18)/SUM(ABS($C$14),ABS($C$15),ABS($C$16),ABS($C$17),ABS($C$18))</x:f>
        <x:v>0.06137987751908498</x:v>
      </x:c>
      <x:c r="F18" s="19" t="str">
        <x:f>'25_BOM假设'!I31</x:f>
        <x:v>C/D</x:v>
      </x:c>
      <x:c r="G18" s="19" t="str">
        <x:f>'25_BOM假设'!L31</x:f>
        <x:v>COMMON_ALL</x:v>
      </x:c>
      <x:c r="H18" s="19" t="str">
        <x:f>'25_BOM假设'!N31</x:f>
        <x:v>不含Nappa/加热/权益。</x:v>
      </x:c>
    </x:row>
    <x:row r="21">
      <x:c r="A21" s="245" t="str">
        <x:v>边界：BOM总差只是直接变量成本的独立工程区间。全情景为正只表示现有可识别成本不足以解释指导价差；区间跨零表示当前证据不可辨识。均不能命名为SUV溢价、毛利或利润。</x:v>
      </x:c>
      <x:c r="B21" s="245"/>
      <x:c r="C21" s="245"/>
      <x:c r="D21" s="245"/>
      <x:c r="E21" s="245"/>
      <x:c r="F21" s="245"/>
      <x:c r="G21" s="245"/>
      <x:c r="H21" s="245"/>
      <x:c r="I21" s="245"/>
      <x:c r="J21" s="245"/>
      <x:c r="K21" s="245"/>
      <x:c r="L21" s="245"/>
      <x:c r="M21" s="245"/>
      <x:c r="N21" s="245"/>
      <x:c r="O21" s="245"/>
      <x:c r="P21" s="245"/>
      <x:c r="Q21" s="245"/>
      <x:c r="R21" s="245"/>
      <x:c r="S21" s="245"/>
      <x:c r="T21" s="245"/>
    </x:row>
    <x:row r="22">
      <x:c r="A22" s="245"/>
      <x:c r="B22" s="245"/>
      <x:c r="C22" s="245"/>
      <x:c r="D22" s="245"/>
      <x:c r="E22" s="245"/>
      <x:c r="F22" s="245"/>
      <x:c r="G22" s="245"/>
      <x:c r="H22" s="245"/>
      <x:c r="I22" s="245"/>
      <x:c r="J22" s="245"/>
      <x:c r="K22" s="245"/>
      <x:c r="L22" s="245"/>
      <x:c r="M22" s="245"/>
      <x:c r="N22" s="245"/>
      <x:c r="O22" s="245"/>
      <x:c r="P22" s="245"/>
      <x:c r="Q22" s="245"/>
      <x:c r="R22" s="245"/>
      <x:c r="S22" s="245"/>
      <x:c r="T22" s="245"/>
    </x:row>
  </x:sheetData>
  <x:mergeCells>
    <x:mergeCell ref="A1:T1"/>
    <x:mergeCell ref="A2:T2"/>
    <x:mergeCell ref="A3:T3"/>
    <x:mergeCell ref="A21:T21"/>
    <x:mergeCell ref="A22:T22"/>
  </x:mergeCells>
  <x:conditionalFormatting sqref="C6:Q9">
    <x:cfRule type="cellIs" dxfId="168" priority="1" operator="lessThan">
      <x:formula>0</x:formula>
    </x:cfRule>
  </x:conditionalFormatting>
  <x:conditionalFormatting sqref="T6:T9">
    <x:cfRule type="containsText" dxfId="169" priority="2" operator="containsText" text="PASS"/>
    <x:cfRule type="containsText" dxfId="170" priority="3" operator="containsText" text="READY"/>
    <x:cfRule type="containsText" dxfId="171" priority="4" operator="containsText" text="POSITIVE"/>
    <x:cfRule type="containsText" dxfId="172" priority="5" operator="containsText" text="CROSSES_ZERO"/>
    <x:cfRule type="containsText" dxfId="173" priority="6" operator="containsText" text="COMPATIBLE"/>
    <x:cfRule type="containsText" dxfId="174" priority="7" operator="containsText" text="NEGATIVE"/>
    <x:cfRule type="containsText" dxfId="175" priority="8" operator="containsText" text="REVIEW"/>
    <x:cfRule type="containsText" dxfId="176" priority="9" operator="containsText" text="FAIL"/>
    <x:cfRule type="containsText" dxfId="177" priority="10" operator="containsText" text="PROVISIONAL"/>
  </x:conditionalFormatting>
  <x:pageMargins left="0.7" right="0.7" top="0.75" bottom="0.75" header="0.3" footer="0.3"/>
</x:worksheet>
</file>

<file path=xl/worksheets/sheet2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1" hidden="0" customWidth="1"/>
    <x:col min="2" max="2" width="23" hidden="0" customWidth="1"/>
    <x:col min="3" max="3" width="16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  <x:col min="19" max="19" width="16" hidden="0" customWidth="1"/>
    <x:col min="20" max="20" width="16" hidden="0" customWidth="1"/>
    <x:col min="21" max="21" width="16" hidden="0" customWidth="1"/>
    <x:col min="22" max="22" width="15" hidden="0" customWidth="1"/>
    <x:col min="23" max="23" width="23" hidden="0" customWidth="1"/>
    <x:col min="24" max="24" width="24" hidden="0" customWidth="1"/>
    <x:col min="25" max="25" width="14" hidden="0" customWidth="1"/>
    <x:col min="26" max="26" width="28" hidden="0" customWidth="1"/>
    <x:col min="27" max="27" width="56" hidden="0" customWidth="1"/>
    <x:col min="28" max="28" width="15" hidden="0" customWidth="1"/>
  </x:cols>
  <x:sheetData>
    <x:row r="1" ht="30" customHeight="1">
      <x:c r="A1" s="207" t="str">
        <x:v>28｜四桥九情景残差矩阵</x:v>
      </x:c>
      <x:c r="B1" s="207"/>
      <x:c r="C1" s="207"/>
      <x:c r="D1" s="207"/>
      <x:c r="E1" s="207"/>
      <x:c r="F1" s="207"/>
      <x:c r="G1" s="207"/>
      <x:c r="H1" s="207"/>
      <x:c r="I1" s="207"/>
      <x:c r="J1" s="207"/>
      <x:c r="K1" s="207"/>
      <x:c r="L1" s="207"/>
      <x:c r="M1" s="207"/>
      <x:c r="N1" s="207"/>
      <x:c r="O1" s="207"/>
      <x:c r="P1" s="207"/>
      <x:c r="Q1" s="207"/>
      <x:c r="R1" s="207"/>
      <x:c r="S1" s="207"/>
      <x:c r="T1" s="207"/>
      <x:c r="U1" s="207"/>
      <x:c r="V1" s="207"/>
      <x:c r="W1" s="207"/>
      <x:c r="X1" s="207"/>
      <x:c r="Y1" s="207"/>
      <x:c r="Z1" s="207"/>
      <x:c r="AA1" s="207"/>
      <x:c r="AB1" s="207"/>
    </x:row>
    <x:row r="2" ht="22" customHeight="1">
      <x:c r="A2" s="210" t="str">
        <x:v>R=2.3A未分配价差U−独立跨车身BOM B｜两个情景轴独立组合</x:v>
      </x:c>
      <x:c r="B2" s="210"/>
      <x:c r="C2" s="210"/>
      <x:c r="D2" s="210"/>
      <x:c r="E2" s="210"/>
      <x:c r="F2" s="210"/>
      <x:c r="G2" s="210"/>
      <x:c r="H2" s="210"/>
      <x:c r="I2" s="210"/>
      <x:c r="J2" s="210"/>
      <x:c r="K2" s="210"/>
      <x:c r="L2" s="210"/>
      <x:c r="M2" s="210"/>
      <x:c r="N2" s="210"/>
      <x:c r="O2" s="210"/>
      <x:c r="P2" s="210"/>
      <x:c r="Q2" s="210"/>
      <x:c r="R2" s="210"/>
      <x:c r="S2" s="210"/>
      <x:c r="T2" s="210"/>
      <x:c r="U2" s="210"/>
      <x:c r="V2" s="210"/>
      <x:c r="W2" s="210"/>
      <x:c r="X2" s="210"/>
      <x:c r="Y2" s="210"/>
      <x:c r="Z2" s="210"/>
      <x:c r="AA2" s="210"/>
      <x:c r="AB2" s="210"/>
    </x:row>
    <x:row r="3" ht="44" customHeight="1">
      <x:c r="A3" s="214" t="str">
        <x:v>Low/Mid/High不是同一随机变量，不能只做低减低、中减中、高减高。本页保留全部9种组合，并用MIN/MAX得到严格残差区间。</x:v>
      </x:c>
      <x:c r="B3" s="214"/>
      <x:c r="C3" s="214"/>
      <x:c r="D3" s="214"/>
      <x:c r="E3" s="214"/>
      <x:c r="F3" s="214"/>
      <x:c r="G3" s="214"/>
      <x:c r="H3" s="214"/>
      <x:c r="I3" s="214"/>
      <x:c r="J3" s="214"/>
      <x:c r="K3" s="214"/>
      <x:c r="L3" s="214"/>
      <x:c r="M3" s="214"/>
      <x:c r="N3" s="214"/>
      <x:c r="O3" s="214"/>
      <x:c r="P3" s="214"/>
      <x:c r="Q3" s="214"/>
      <x:c r="R3" s="214"/>
      <x:c r="S3" s="214"/>
      <x:c r="T3" s="214"/>
      <x:c r="U3" s="214"/>
      <x:c r="V3" s="214"/>
      <x:c r="W3" s="214"/>
      <x:c r="X3" s="214"/>
      <x:c r="Y3" s="214"/>
      <x:c r="Z3" s="214"/>
      <x:c r="AA3" s="214"/>
      <x:c r="AB3" s="214"/>
    </x:row>
    <x:row r="5" ht="56" customHeight="1">
      <x:c r="A5" s="219" t="str">
        <x:v>pair_id</x:v>
      </x:c>
      <x:c r="B5" s="219" t="str">
        <x:v>角色</x:v>
      </x:c>
      <x:c r="C5" s="219" t="str">
        <x:v>原始未税价差</x:v>
      </x:c>
      <x:c r="D5" s="219" t="str">
        <x:v>U_L</x:v>
      </x:c>
      <x:c r="E5" s="219" t="str">
        <x:v>U_M</x:v>
      </x:c>
      <x:c r="F5" s="219" t="str">
        <x:v>U_H</x:v>
      </x:c>
      <x:c r="G5" s="219" t="str">
        <x:v>B_L</x:v>
      </x:c>
      <x:c r="H5" s="219" t="str">
        <x:v>B_M</x:v>
      </x:c>
      <x:c r="I5" s="219" t="str">
        <x:v>B_H</x:v>
      </x:c>
      <x:c r="J5" s="219" t="str">
        <x:v>R_LL</x:v>
      </x:c>
      <x:c r="K5" s="219" t="str">
        <x:v>R_LM</x:v>
      </x:c>
      <x:c r="L5" s="219" t="str">
        <x:v>R_LH</x:v>
      </x:c>
      <x:c r="M5" s="219" t="str">
        <x:v>R_ML</x:v>
      </x:c>
      <x:c r="N5" s="219" t="str">
        <x:v>R_MM</x:v>
      </x:c>
      <x:c r="O5" s="219" t="str">
        <x:v>R_MH</x:v>
      </x:c>
      <x:c r="P5" s="219" t="str">
        <x:v>R_HL</x:v>
      </x:c>
      <x:c r="Q5" s="219" t="str">
        <x:v>R_HM</x:v>
      </x:c>
      <x:c r="R5" s="219" t="str">
        <x:v>R_HH</x:v>
      </x:c>
      <x:c r="S5" s="219" t="str">
        <x:v>ResidualMin</x:v>
      </x:c>
      <x:c r="T5" s="219" t="str">
        <x:v>ResidualMM</x:v>
      </x:c>
      <x:c r="U5" s="219" t="str">
        <x:v>ResidualMax</x:v>
      </x:c>
      <x:c r="V5" s="219" t="str">
        <x:v>容差</x:v>
      </x:c>
      <x:c r="W5" s="219" t="str">
        <x:v>严格符号状态</x:v>
      </x:c>
      <x:c r="X5" s="219" t="str">
        <x:v>工程容差状态</x:v>
      </x:c>
      <x:c r="Y5" s="219" t="str">
        <x:v>已知未估项</x:v>
      </x:c>
      <x:c r="Z5" s="219" t="str">
        <x:v>最终状态</x:v>
      </x:c>
      <x:c r="AA5" s="219" t="str">
        <x:v>解释</x:v>
      </x:c>
      <x:c r="AB5" s="219" t="str">
        <x:v>反向MM校验</x:v>
      </x:c>
    </x:row>
    <x:row r="6" ht="62" customHeight="1">
      <x:c r="A6" s="19" t="str">
        <x:v>P23A-STD</x:v>
      </x:c>
      <x:c r="B6" s="19" t="str">
        <x:v>标准强锚</x:v>
      </x:c>
      <x:c r="C6" s="62" t="n">
        <x:f>'20_已知差异桥'!C21</x:f>
        <x:v>12035.398230088496</x:v>
      </x:c>
      <x:c r="D6" s="232" t="n">
        <x:f>'27_BOM汇总'!C6</x:f>
        <x:v>12035.4</x:v>
      </x:c>
      <x:c r="E6" s="232" t="n">
        <x:f>'27_BOM汇总'!D6</x:f>
        <x:v>12035.4</x:v>
      </x:c>
      <x:c r="F6" s="232" t="n">
        <x:f>'27_BOM汇总'!E6</x:f>
        <x:v>12035.4</x:v>
      </x:c>
      <x:c r="G6" s="232" t="n">
        <x:f>'27_BOM汇总'!O6</x:f>
        <x:v>2772.47</x:v>
      </x:c>
      <x:c r="H6" s="232" t="n">
        <x:f>'27_BOM汇总'!P6</x:f>
        <x:v>5322.17</x:v>
      </x:c>
      <x:c r="I6" s="232" t="n">
        <x:f>'27_BOM汇总'!Q6</x:f>
        <x:v>10123.94</x:v>
      </x:c>
      <x:c r="J6" s="246" t="n">
        <x:f>D6-G6</x:f>
        <x:v>9262.93</x:v>
      </x:c>
      <x:c r="K6" s="246" t="n">
        <x:f>D6-H6</x:f>
        <x:v>6713.23</x:v>
      </x:c>
      <x:c r="L6" s="246" t="n">
        <x:f>D6-I6</x:f>
        <x:v>1911.4599999999991</x:v>
      </x:c>
      <x:c r="M6" s="246" t="n">
        <x:f>E6-G6</x:f>
        <x:v>9262.93</x:v>
      </x:c>
      <x:c r="N6" s="246" t="n">
        <x:f>E6-H6</x:f>
        <x:v>6713.23</x:v>
      </x:c>
      <x:c r="O6" s="246" t="n">
        <x:f>E6-I6</x:f>
        <x:v>1911.4599999999991</x:v>
      </x:c>
      <x:c r="P6" s="246" t="n">
        <x:f>F6-G6</x:f>
        <x:v>9262.93</x:v>
      </x:c>
      <x:c r="Q6" s="246" t="n">
        <x:f>F6-H6</x:f>
        <x:v>6713.23</x:v>
      </x:c>
      <x:c r="R6" s="246" t="n">
        <x:f>F6-I6</x:f>
        <x:v>1911.4599999999991</x:v>
      </x:c>
      <x:c r="S6" s="250" t="n">
        <x:f>MIN(J6:R6)</x:f>
        <x:v>1911.4599999999991</x:v>
      </x:c>
      <x:c r="T6" s="250" t="n">
        <x:f>N6</x:f>
        <x:v>6713.23</x:v>
      </x:c>
      <x:c r="U6" s="250" t="n">
        <x:f>MAX(J6:R6)</x:f>
        <x:v>9262.93</x:v>
      </x:c>
      <x:c r="V6" s="62" t="n">
        <x:f>MAX('23_2.3B口径'!$G$6,'23_2.3B口径'!$G$7*ABS(C6))</x:f>
        <x:v>2000</x:v>
      </x:c>
      <x:c r="W6" s="19" t="str">
        <x:f>IF(S6&gt;0,"ROBUST_POSITIVE",IF(U6&lt;0,"ROBUST_NEGATIVE","CROSSES_ZERO"))</x:f>
        <x:v>ROBUST_POSITIVE</x:v>
      </x:c>
      <x:c r="X6" s="19" t="str">
        <x:f>IF(AND(S6&gt;=-V6,U6&lt;=V6),"ROBUST_COMPATIBLE",IF(S6&gt;V6,"ROBUST_POSITIVE",IF(U6&lt;-V6,"ROBUST_NEGATIVE",IF(ABS(T6)&lt;=V6,"MID_COMPATIBLE","SCENARIO_DEPENDENT"))))</x:f>
        <x:v>SCENARIO_DEPENDENT</x:v>
      </x:c>
      <x:c r="Y6" s="19" t="n">
        <x:f>'27_BOM汇总'!R6</x:f>
        <x:v>1</x:v>
      </x:c>
      <x:c r="Z6" s="19" t="str">
        <x:f>IF(Y6&gt;0,"PROVISIONAL_"&amp;W6,W6)</x:f>
        <x:v>PROVISIONAL_ROBUST_POSITIVE</x:v>
      </x:c>
      <x:c r="AA6" s="19" t="str">
        <x:v>残差全区间为正，但高成本情景接近工程容差；基础车身成本不能证明固定加价。</x:v>
      </x:c>
      <x:c r="AB6" s="19" t="n">
        <x:f>ROUND((-T6)+T6,2)</x:f>
        <x:v>0</x:v>
      </x:c>
    </x:row>
    <x:row r="7" ht="62" customHeight="1">
      <x:c r="A7" s="220" t="str">
        <x:v>P23A-RWD96</x:v>
      </x:c>
      <x:c r="B7" s="220" t="str">
        <x:v>96kWh后驱铰链</x:v>
      </x:c>
      <x:c r="C7" s="231" t="n">
        <x:f>'20_已知差异桥'!C22</x:f>
        <x:v>3185.840707964613</x:v>
      </x:c>
      <x:c r="D7" s="232" t="n">
        <x:f>'27_BOM汇总'!C7</x:f>
        <x:v>6636.84</x:v>
      </x:c>
      <x:c r="E7" s="232" t="n">
        <x:f>'27_BOM汇总'!D7</x:f>
        <x:v>7739.84</x:v>
      </x:c>
      <x:c r="F7" s="232" t="n">
        <x:f>'27_BOM汇总'!E7</x:f>
        <x:v>9017.34</x:v>
      </x:c>
      <x:c r="G7" s="232" t="n">
        <x:f>'27_BOM汇总'!O7</x:f>
        <x:v>2772.47</x:v>
      </x:c>
      <x:c r="H7" s="232" t="n">
        <x:f>'27_BOM汇总'!P7</x:f>
        <x:v>5322.17</x:v>
      </x:c>
      <x:c r="I7" s="232" t="n">
        <x:f>'27_BOM汇总'!Q7</x:f>
        <x:v>10123.94</x:v>
      </x:c>
      <x:c r="J7" s="246" t="n">
        <x:f>D7-G7</x:f>
        <x:v>3864.3700000000003</x:v>
      </x:c>
      <x:c r="K7" s="246" t="n">
        <x:f>D7-H7</x:f>
        <x:v>1314.67</x:v>
      </x:c>
      <x:c r="L7" s="246" t="n">
        <x:f>D7-I7</x:f>
        <x:v>-3487.1000000000004</x:v>
      </x:c>
      <x:c r="M7" s="246" t="n">
        <x:f>E7-G7</x:f>
        <x:v>4967.370000000001</x:v>
      </x:c>
      <x:c r="N7" s="246" t="n">
        <x:f>E7-H7</x:f>
        <x:v>2417.67</x:v>
      </x:c>
      <x:c r="O7" s="246" t="n">
        <x:f>E7-I7</x:f>
        <x:v>-2384.1000000000004</x:v>
      </x:c>
      <x:c r="P7" s="246" t="n">
        <x:f>F7-G7</x:f>
        <x:v>6244.870000000001</x:v>
      </x:c>
      <x:c r="Q7" s="246" t="n">
        <x:f>F7-H7</x:f>
        <x:v>3695.17</x:v>
      </x:c>
      <x:c r="R7" s="246" t="n">
        <x:f>F7-I7</x:f>
        <x:v>-1106.6000000000004</x:v>
      </x:c>
      <x:c r="S7" s="250" t="n">
        <x:f>MIN(J7:R7)</x:f>
        <x:v>-3487.1000000000004</x:v>
      </x:c>
      <x:c r="T7" s="250" t="n">
        <x:f>N7</x:f>
        <x:v>2417.67</x:v>
      </x:c>
      <x:c r="U7" s="250" t="n">
        <x:f>MAX(J7:R7)</x:f>
        <x:v>6244.870000000001</x:v>
      </x:c>
      <x:c r="V7" s="231" t="n">
        <x:f>MAX('23_2.3B口径'!$G$6,'23_2.3B口径'!$G$7*ABS(C7))</x:f>
        <x:v>2000</x:v>
      </x:c>
      <x:c r="W7" s="220" t="str">
        <x:f>IF(S7&gt;0,"ROBUST_POSITIVE",IF(U7&lt;0,"ROBUST_NEGATIVE","CROSSES_ZERO"))</x:f>
        <x:v>CROSSES_ZERO</x:v>
      </x:c>
      <x:c r="X7" s="220" t="str">
        <x:f>IF(AND(S7&gt;=-V7,U7&lt;=V7),"ROBUST_COMPATIBLE",IF(S7&gt;V7,"ROBUST_POSITIVE",IF(U7&lt;-V7,"ROBUST_NEGATIVE",IF(ABS(T7)&lt;=V7,"MID_COMPATIBLE","SCENARIO_DEPENDENT"))))</x:f>
        <x:v>SCENARIO_DEPENDENT</x:v>
      </x:c>
      <x:c r="Y7" s="220" t="n">
        <x:f>'27_BOM汇总'!R7</x:f>
        <x:v>1</x:v>
      </x:c>
      <x:c r="Z7" s="220" t="str">
        <x:f>IF(Y7&gt;0,"PROVISIONAL_"&amp;W7,W7)</x:f>
        <x:v>PROVISIONAL_CROSSES_ZERO</x:v>
      </x:c>
      <x:c r="AA7" s="220" t="str">
        <x:v>残差区间跨零；该中间桥在当前成本证据下不可辨识。</x:v>
      </x:c>
      <x:c r="AB7" s="220" t="n">
        <x:f>ROUND((-T7)+T7,2)</x:f>
        <x:v>0</x:v>
      </x:c>
    </x:row>
    <x:row r="8" ht="62" customHeight="1">
      <x:c r="A8" s="19" t="str">
        <x:v>P23A-CHASSIS96</x:v>
      </x:c>
      <x:c r="B8" s="19" t="str">
        <x:v>96kWh底盘铰链</x:v>
      </x:c>
      <x:c r="C8" s="62" t="n">
        <x:f>'20_已知差异桥'!C23</x:f>
        <x:v>26548.672566371708</x:v>
      </x:c>
      <x:c r="D8" s="232" t="n">
        <x:f>'27_BOM汇总'!C8</x:f>
        <x:v>22082.67</x:v>
      </x:c>
      <x:c r="E8" s="232" t="n">
        <x:f>'27_BOM汇总'!D8</x:f>
        <x:v>20235.17</x:v>
      </x:c>
      <x:c r="F8" s="232" t="n">
        <x:f>'27_BOM汇总'!E8</x:f>
        <x:v>17614.17</x:v>
      </x:c>
      <x:c r="G8" s="232" t="n">
        <x:f>'27_BOM汇总'!O8</x:f>
        <x:v>2772.47</x:v>
      </x:c>
      <x:c r="H8" s="232" t="n">
        <x:f>'27_BOM汇总'!P8</x:f>
        <x:v>5322.17</x:v>
      </x:c>
      <x:c r="I8" s="232" t="n">
        <x:f>'27_BOM汇总'!Q8</x:f>
        <x:v>10123.94</x:v>
      </x:c>
      <x:c r="J8" s="246" t="n">
        <x:f>D8-G8</x:f>
        <x:v>19310.199999999997</x:v>
      </x:c>
      <x:c r="K8" s="246" t="n">
        <x:f>D8-H8</x:f>
        <x:v>16760.5</x:v>
      </x:c>
      <x:c r="L8" s="246" t="n">
        <x:f>D8-I8</x:f>
        <x:v>11958.729999999998</x:v>
      </x:c>
      <x:c r="M8" s="246" t="n">
        <x:f>E8-G8</x:f>
        <x:v>17462.699999999997</x:v>
      </x:c>
      <x:c r="N8" s="246" t="n">
        <x:f>E8-H8</x:f>
        <x:v>14912.999999999998</x:v>
      </x:c>
      <x:c r="O8" s="246" t="n">
        <x:f>E8-I8</x:f>
        <x:v>10111.229999999998</x:v>
      </x:c>
      <x:c r="P8" s="246" t="n">
        <x:f>F8-G8</x:f>
        <x:v>14841.699999999999</x:v>
      </x:c>
      <x:c r="Q8" s="246" t="n">
        <x:f>F8-H8</x:f>
        <x:v>12291.999999999998</x:v>
      </x:c>
      <x:c r="R8" s="246" t="n">
        <x:f>F8-I8</x:f>
        <x:v>7490.229999999998</x:v>
      </x:c>
      <x:c r="S8" s="250" t="n">
        <x:f>MIN(J8:R8)</x:f>
        <x:v>7490.229999999998</x:v>
      </x:c>
      <x:c r="T8" s="250" t="n">
        <x:f>N8</x:f>
        <x:v>14912.999999999998</x:v>
      </x:c>
      <x:c r="U8" s="250" t="n">
        <x:f>MAX(J8:R8)</x:f>
        <x:v>19310.199999999997</x:v>
      </x:c>
      <x:c r="V8" s="62" t="n">
        <x:f>MAX('23_2.3B口径'!$G$6,'23_2.3B口径'!$G$7*ABS(C8))</x:f>
        <x:v>2654.867256637171</x:v>
      </x:c>
      <x:c r="W8" s="19" t="str">
        <x:f>IF(S8&gt;0,"ROBUST_POSITIVE",IF(U8&lt;0,"ROBUST_NEGATIVE","CROSSES_ZERO"))</x:f>
        <x:v>ROBUST_POSITIVE</x:v>
      </x:c>
      <x:c r="X8" s="19" t="str">
        <x:f>IF(AND(S8&gt;=-V8,U8&lt;=V8),"ROBUST_COMPATIBLE",IF(S8&gt;V8,"ROBUST_POSITIVE",IF(U8&lt;-V8,"ROBUST_NEGATIVE",IF(ABS(T8)&lt;=V8,"MID_COMPATIBLE","SCENARIO_DEPENDENT"))))</x:f>
        <x:v>ROBUST_POSITIVE</x:v>
      </x:c>
      <x:c r="Y8" s="19" t="n">
        <x:f>'27_BOM汇总'!R8</x:f>
        <x:v>1</x:v>
      </x:c>
      <x:c r="Z8" s="19" t="str">
        <x:f>IF(Y8&gt;0,"PROVISIONAL_"&amp;W8,W8)</x:f>
        <x:v>PROVISIONAL_ROBUST_POSITIVE</x:v>
      </x:c>
      <x:c r="AA8" s="19" t="str">
        <x:v>残差全区间为正；与RWD96共享SU7 Pro，只作相关铰链复核。</x:v>
      </x:c>
      <x:c r="AB8" s="19" t="n">
        <x:f>ROUND((-T8)+T8,2)</x:f>
        <x:v>0</x:v>
      </x:c>
    </x:row>
    <x:row r="9" ht="62" customHeight="1">
      <x:c r="A9" s="220" t="str">
        <x:v>P23A-MAX</x:v>
      </x:c>
      <x:c r="B9" s="220" t="str">
        <x:v>Max强锚</x:v>
      </x:c>
      <x:c r="C9" s="231" t="n">
        <x:f>'20_已知差异桥'!C24</x:f>
        <x:v>23008.849557522102</x:v>
      </x:c>
      <x:c r="D9" s="232" t="n">
        <x:f>'27_BOM汇总'!C9</x:f>
        <x:v>23465.6</x:v>
      </x:c>
      <x:c r="E9" s="232" t="n">
        <x:f>'27_BOM汇总'!D9</x:f>
        <x:v>23422.85</x:v>
      </x:c>
      <x:c r="F9" s="232" t="n">
        <x:f>'27_BOM汇总'!E9</x:f>
        <x:v>23319.15</x:v>
      </x:c>
      <x:c r="G9" s="232" t="n">
        <x:f>'27_BOM汇总'!O9</x:f>
        <x:v>2772.47</x:v>
      </x:c>
      <x:c r="H9" s="232" t="n">
        <x:f>'27_BOM汇总'!P9</x:f>
        <x:v>5322.17</x:v>
      </x:c>
      <x:c r="I9" s="232" t="n">
        <x:f>'27_BOM汇总'!Q9</x:f>
        <x:v>10123.94</x:v>
      </x:c>
      <x:c r="J9" s="246" t="n">
        <x:f>D9-G9</x:f>
        <x:v>20693.129999999997</x:v>
      </x:c>
      <x:c r="K9" s="246" t="n">
        <x:f>D9-H9</x:f>
        <x:v>18143.43</x:v>
      </x:c>
      <x:c r="L9" s="246" t="n">
        <x:f>D9-I9</x:f>
        <x:v>13341.659999999998</x:v>
      </x:c>
      <x:c r="M9" s="246" t="n">
        <x:f>E9-G9</x:f>
        <x:v>20650.379999999997</x:v>
      </x:c>
      <x:c r="N9" s="246" t="n">
        <x:f>E9-H9</x:f>
        <x:v>18100.68</x:v>
      </x:c>
      <x:c r="O9" s="246" t="n">
        <x:f>E9-I9</x:f>
        <x:v>13298.909999999998</x:v>
      </x:c>
      <x:c r="P9" s="246" t="n">
        <x:f>F9-G9</x:f>
        <x:v>20546.68</x:v>
      </x:c>
      <x:c r="Q9" s="246" t="n">
        <x:f>F9-H9</x:f>
        <x:v>17996.980000000003</x:v>
      </x:c>
      <x:c r="R9" s="246" t="n">
        <x:f>F9-I9</x:f>
        <x:v>13195.210000000001</x:v>
      </x:c>
      <x:c r="S9" s="250" t="n">
        <x:f>MIN(J9:R9)</x:f>
        <x:v>13195.210000000001</x:v>
      </x:c>
      <x:c r="T9" s="250" t="n">
        <x:f>N9</x:f>
        <x:v>18100.68</x:v>
      </x:c>
      <x:c r="U9" s="250" t="n">
        <x:f>MAX(J9:R9)</x:f>
        <x:v>20693.129999999997</x:v>
      </x:c>
      <x:c r="V9" s="231" t="n">
        <x:f>MAX('23_2.3B口径'!$G$6,'23_2.3B口径'!$G$7*ABS(C9))</x:f>
        <x:v>2300.8849557522103</x:v>
      </x:c>
      <x:c r="W9" s="220" t="str">
        <x:f>IF(S9&gt;0,"ROBUST_POSITIVE",IF(U9&lt;0,"ROBUST_NEGATIVE","CROSSES_ZERO"))</x:f>
        <x:v>ROBUST_POSITIVE</x:v>
      </x:c>
      <x:c r="X9" s="220" t="str">
        <x:f>IF(AND(S9&gt;=-V9,U9&lt;=V9),"ROBUST_COMPATIBLE",IF(S9&gt;V9,"ROBUST_POSITIVE",IF(U9&lt;-V9,"ROBUST_NEGATIVE",IF(ABS(T9)&lt;=V9,"MID_COMPATIBLE","SCENARIO_DEPENDENT"))))</x:f>
        <x:v>ROBUST_POSITIVE</x:v>
      </x:c>
      <x:c r="Y9" s="220" t="n">
        <x:f>'27_BOM汇总'!R9</x:f>
        <x:v>2</x:v>
      </x:c>
      <x:c r="Z9" s="220" t="str">
        <x:f>IF(Y9&gt;0,"PROVISIONAL_"&amp;W9,W9)</x:f>
        <x:v>PROVISIONAL_ROBUST_POSITIVE</x:v>
      </x:c>
      <x:c r="AA9" s="220" t="str">
        <x:v>残差全区间显著为正，且有Max碳纤维等已知未估项；不能归因于利润。</x:v>
      </x:c>
      <x:c r="AB9" s="220" t="n">
        <x:f>ROUND((-T9)+T9,2)</x:f>
        <x:v>0</x:v>
      </x:c>
    </x:row>
    <x:row r="13" ht="40" customHeight="1">
      <x:c r="A13" s="219" t="str">
        <x:v>桥</x:v>
      </x:c>
      <x:c r="B13" s="219" t="str">
        <x:v>ResidualMin</x:v>
      </x:c>
      <x:c r="C13" s="219" t="str">
        <x:v>ResidualMM</x:v>
      </x:c>
      <x:c r="D13" s="219" t="str">
        <x:v>ResidualMax</x:v>
      </x:c>
      <x:c r="E13" s="219" t="str">
        <x:v>严格状态</x:v>
      </x:c>
    </x:row>
    <x:row r="14" ht="38" customHeight="1">
      <x:c r="A14" s="19" t="str">
        <x:f>B6</x:f>
        <x:v>标准强锚</x:v>
      </x:c>
      <x:c r="B14" s="62" t="n">
        <x:f>S6</x:f>
        <x:v>1911.4599999999991</x:v>
      </x:c>
      <x:c r="C14" s="62" t="n">
        <x:f>T6</x:f>
        <x:v>6713.23</x:v>
      </x:c>
      <x:c r="D14" s="62" t="n">
        <x:f>U6</x:f>
        <x:v>9262.93</x:v>
      </x:c>
      <x:c r="E14" s="19" t="str">
        <x:f>W6</x:f>
        <x:v>ROBUST_POSITIVE</x:v>
      </x:c>
    </x:row>
    <x:row r="15" ht="38" customHeight="1">
      <x:c r="A15" s="220" t="str">
        <x:f>B7</x:f>
        <x:v>96kWh后驱铰链</x:v>
      </x:c>
      <x:c r="B15" s="231" t="n">
        <x:f>S7</x:f>
        <x:v>-3487.1000000000004</x:v>
      </x:c>
      <x:c r="C15" s="231" t="n">
        <x:f>T7</x:f>
        <x:v>2417.67</x:v>
      </x:c>
      <x:c r="D15" s="231" t="n">
        <x:f>U7</x:f>
        <x:v>6244.870000000001</x:v>
      </x:c>
      <x:c r="E15" s="220" t="str">
        <x:f>W7</x:f>
        <x:v>CROSSES_ZERO</x:v>
      </x:c>
    </x:row>
    <x:row r="16" ht="38" customHeight="1">
      <x:c r="A16" s="19" t="str">
        <x:f>B8</x:f>
        <x:v>96kWh底盘铰链</x:v>
      </x:c>
      <x:c r="B16" s="62" t="n">
        <x:f>S8</x:f>
        <x:v>7490.229999999998</x:v>
      </x:c>
      <x:c r="C16" s="62" t="n">
        <x:f>T8</x:f>
        <x:v>14912.999999999998</x:v>
      </x:c>
      <x:c r="D16" s="62" t="n">
        <x:f>U8</x:f>
        <x:v>19310.199999999997</x:v>
      </x:c>
      <x:c r="E16" s="19" t="str">
        <x:f>W8</x:f>
        <x:v>ROBUST_POSITIVE</x:v>
      </x:c>
    </x:row>
    <x:row r="17" ht="38" customHeight="1">
      <x:c r="A17" s="220" t="str">
        <x:f>B9</x:f>
        <x:v>Max强锚</x:v>
      </x:c>
      <x:c r="B17" s="231" t="n">
        <x:f>S9</x:f>
        <x:v>13195.210000000001</x:v>
      </x:c>
      <x:c r="C17" s="231" t="n">
        <x:f>T9</x:f>
        <x:v>18100.68</x:v>
      </x:c>
      <x:c r="D17" s="231" t="n">
        <x:f>U9</x:f>
        <x:v>20693.129999999997</x:v>
      </x:c>
      <x:c r="E17" s="220" t="str">
        <x:f>W9</x:f>
        <x:v>ROBUST_POSITIVE</x:v>
      </x:c>
    </x:row>
    <x:row r="20" ht="42" customHeight="1">
      <x:c r="A20" s="219" t="str">
        <x:v>状态解释</x:v>
      </x:c>
      <x:c r="B20" s="219" t="str">
        <x:v>严格条件</x:v>
      </x:c>
      <x:c r="C20" s="219" t="str">
        <x:v>可以说</x:v>
      </x:c>
      <x:c r="D20" s="219" t="str">
        <x:v>不能说</x:v>
      </x:c>
      <x:c r="E20" s="219" t="str">
        <x:v>后续动作</x:v>
      </x:c>
    </x:row>
    <x:row r="21" ht="48" customHeight="1">
      <x:c r="A21" s="19" t="str">
        <x:v>ROBUST_POSITIVE</x:v>
      </x:c>
      <x:c r="B21" s="19" t="str">
        <x:v>ResidualMin&gt;0</x:v>
      </x:c>
      <x:c r="C21" s="19" t="str">
        <x:v>已识别成本不足以解释指导价差</x:v>
      </x:c>
      <x:c r="D21" s="19" t="str">
        <x:v>不能称溢价/毛利/利润</x:v>
      </x:c>
      <x:c r="E21" s="19" t="str">
        <x:v>2.3C拆版本价值与未估项</x:v>
      </x:c>
    </x:row>
    <x:row r="22" ht="48" customHeight="1">
      <x:c r="A22" s="220" t="str">
        <x:v>CROSSES_ZERO</x:v>
      </x:c>
      <x:c r="B22" s="220" t="str">
        <x:v>ResidualMin≤0≤ResidualMax</x:v>
      </x:c>
      <x:c r="C22" s="220" t="str">
        <x:v>当前证据不可辨识</x:v>
      </x:c>
      <x:c r="D22" s="220" t="str">
        <x:v>不能选择中值证明结论</x:v>
      </x:c>
      <x:c r="E22" s="220" t="str">
        <x:v>优先补成本证据</x:v>
      </x:c>
    </x:row>
    <x:row r="23" ht="48" customHeight="1">
      <x:c r="A23" s="19" t="str">
        <x:v>ROBUST_NEGATIVE</x:v>
      </x:c>
      <x:c r="B23" s="19" t="str">
        <x:v>ResidualMax&lt;0</x:v>
      </x:c>
      <x:c r="C23" s="19" t="str">
        <x:v>可能成本高估或有抵消项</x:v>
      </x:c>
      <x:c r="D23" s="19" t="str">
        <x:v>不能直接称亏损</x:v>
      </x:c>
      <x:c r="E23" s="19" t="str">
        <x:v>复核重复计数</x:v>
      </x:c>
    </x:row>
    <x:row r="24" ht="48" customHeight="1">
      <x:c r="A24" s="220" t="str">
        <x:v>PROVISIONAL_</x:v>
      </x:c>
      <x:c r="B24" s="220" t="str">
        <x:v>存在已知未估项</x:v>
      </x:c>
      <x:c r="C24" s="220" t="str">
        <x:v>方向性诊断</x:v>
      </x:c>
      <x:c r="D24" s="220" t="str">
        <x:v>不能作点估计</x:v>
      </x:c>
      <x:c r="E24" s="220" t="str">
        <x:v>保持区间开放</x:v>
      </x:c>
    </x:row>
  </x:sheetData>
  <x:mergeCells>
    <x:mergeCell ref="A1:AB1"/>
    <x:mergeCell ref="A2:AB2"/>
    <x:mergeCell ref="A3:AB3"/>
  </x:mergeCells>
  <x:conditionalFormatting sqref="J6:U9">
    <x:cfRule type="cellIs" dxfId="178" priority="1" operator="lessThan">
      <x:formula>0</x:formula>
    </x:cfRule>
  </x:conditionalFormatting>
  <x:conditionalFormatting sqref="W6:Z9">
    <x:cfRule type="containsText" dxfId="179" priority="2" operator="containsText" text="PASS"/>
    <x:cfRule type="containsText" dxfId="180" priority="3" operator="containsText" text="READY"/>
    <x:cfRule type="containsText" dxfId="181" priority="4" operator="containsText" text="POSITIVE"/>
    <x:cfRule type="containsText" dxfId="182" priority="5" operator="containsText" text="CROSSES_ZERO"/>
    <x:cfRule type="containsText" dxfId="183" priority="6" operator="containsText" text="COMPATIBLE"/>
    <x:cfRule type="containsText" dxfId="184" priority="7" operator="containsText" text="NEGATIVE"/>
    <x:cfRule type="containsText" dxfId="185" priority="8" operator="containsText" text="REVIEW"/>
    <x:cfRule type="containsText" dxfId="186" priority="9" operator="containsText" text="FAIL"/>
    <x:cfRule type="containsText" dxfId="187" priority="10" operator="containsText" text="PROVISIONAL"/>
  </x:conditionalFormatting>
  <x:conditionalFormatting sqref="E14:E17">
    <x:cfRule type="containsText" dxfId="188" priority="11" operator="containsText" text="PASS"/>
    <x:cfRule type="containsText" dxfId="189" priority="12" operator="containsText" text="READY"/>
    <x:cfRule type="containsText" dxfId="190" priority="13" operator="containsText" text="POSITIVE"/>
    <x:cfRule type="containsText" dxfId="191" priority="14" operator="containsText" text="CROSSES_ZERO"/>
    <x:cfRule type="containsText" dxfId="192" priority="15" operator="containsText" text="COMPATIBLE"/>
    <x:cfRule type="containsText" dxfId="193" priority="16" operator="containsText" text="NEGATIVE"/>
    <x:cfRule type="containsText" dxfId="194" priority="17" operator="containsText" text="REVIEW"/>
    <x:cfRule type="containsText" dxfId="195" priority="18" operator="containsText" text="FAIL"/>
    <x:cfRule type="containsText" dxfId="196" priority="19" operator="containsText" text="PROVISIONAL"/>
  </x:conditionalFormatting>
  <x:pageMargins left="0.7" right="0.7" top="0.75" bottom="0.75" header="0.3" footer="0.3"/>
  <x:drawing xmlns:r="http://schemas.openxmlformats.org/officeDocument/2006/relationships" r:id="R15fa055ddead4a01"/>
</x:worksheet>
</file>

<file path=xl/worksheets/sheet3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9" hidden="0" customWidth="1"/>
    <x:col min="2" max="2" width="18" hidden="0" customWidth="1"/>
    <x:col min="3" max="3" width="16" hidden="0" customWidth="1"/>
    <x:col min="4" max="4" width="55" hidden="0" customWidth="1"/>
    <x:col min="5" max="5" width="3" hidden="0" customWidth="1"/>
    <x:col min="6" max="6" width="15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6" hidden="0" customWidth="1"/>
    <x:col min="15" max="15" width="22" hidden="0" customWidth="1"/>
    <x:col min="16" max="16" width="22" hidden="0" customWidth="1"/>
  </x:cols>
  <x:sheetData>
    <x:row r="1" ht="30" customHeight="1">
      <x:c r="A1" s="207" t="str">
        <x:v>29｜交叉验证与规则提炼</x:v>
      </x:c>
      <x:c r="B1" s="207"/>
      <x:c r="C1" s="207"/>
      <x:c r="D1" s="207"/>
      <x:c r="E1" s="207"/>
      <x:c r="F1" s="207"/>
      <x:c r="G1" s="207"/>
      <x:c r="H1" s="207"/>
      <x:c r="I1" s="207"/>
      <x:c r="J1" s="207"/>
      <x:c r="K1" s="207"/>
      <x:c r="L1" s="207"/>
      <x:c r="M1" s="207"/>
      <x:c r="N1" s="207"/>
      <x:c r="O1" s="207"/>
      <x:c r="P1" s="207"/>
    </x:row>
    <x:row r="2" ht="22" customHeight="1">
      <x:c r="A2" s="210" t="str">
        <x:v>两端强锚检验 + 中间相关铰链复核｜共同车身BOM不能把价差强行压成常数</x:v>
      </x:c>
      <x:c r="B2" s="210"/>
      <x:c r="C2" s="210"/>
      <x:c r="D2" s="210"/>
      <x:c r="E2" s="210"/>
      <x:c r="F2" s="210"/>
      <x:c r="G2" s="210"/>
      <x:c r="H2" s="210"/>
      <x:c r="I2" s="210"/>
      <x:c r="J2" s="210"/>
      <x:c r="K2" s="210"/>
      <x:c r="L2" s="210"/>
      <x:c r="M2" s="210"/>
      <x:c r="N2" s="210"/>
      <x:c r="O2" s="210"/>
      <x:c r="P2" s="210"/>
    </x:row>
    <x:row r="3" ht="44" customHeight="1">
      <x:c r="A3" s="214" t="str">
        <x:v>强锚差与中间双重差分只作事后诊断，绝不能回填BOM。中间两桥共享SU7 Pro，统计权重合并为一个相关块。</x:v>
      </x:c>
      <x:c r="B3" s="214"/>
      <x:c r="C3" s="214"/>
      <x:c r="D3" s="214"/>
      <x:c r="E3" s="214"/>
      <x:c r="F3" s="214"/>
      <x:c r="G3" s="214"/>
      <x:c r="H3" s="214"/>
      <x:c r="I3" s="214"/>
      <x:c r="J3" s="214"/>
      <x:c r="K3" s="214"/>
      <x:c r="L3" s="214"/>
      <x:c r="M3" s="214"/>
      <x:c r="N3" s="214"/>
      <x:c r="O3" s="214"/>
      <x:c r="P3" s="214"/>
    </x:row>
    <x:row r="5" ht="42" customHeight="1">
      <x:c r="A5" s="219" t="str">
        <x:v>诊断指标</x:v>
      </x:c>
      <x:c r="B5" s="219" t="str">
        <x:v>数值</x:v>
      </x:c>
      <x:c r="C5" s="219" t="str">
        <x:v>单位/状态</x:v>
      </x:c>
      <x:c r="D5" s="219" t="str">
        <x:v>解释</x:v>
      </x:c>
      <x:c r="F5" s="227" t="str">
        <x:v>Phase 2.3B 提炼出的六条规则</x:v>
      </x:c>
      <x:c r="G5" s="227"/>
      <x:c r="H5" s="227"/>
      <x:c r="I5" s="227"/>
      <x:c r="J5" s="227"/>
      <x:c r="K5" s="227"/>
      <x:c r="L5" s="227"/>
      <x:c r="M5" s="227"/>
      <x:c r="N5" s="227"/>
      <x:c r="O5" s="227"/>
      <x:c r="P5" s="227"/>
    </x:row>
    <x:row r="6" ht="42" customHeight="1">
      <x:c r="A6" s="19" t="str">
        <x:v>标准桥中值残差</x:v>
      </x:c>
      <x:c r="B6" s="232" t="n">
        <x:f>'28_四桥残差'!T6</x:f>
        <x:v>6713.23</x:v>
      </x:c>
      <x:c r="C6" s="19" t="str">
        <x:v>元</x:v>
      </x:c>
      <x:c r="D6" s="19" t="str">
        <x:v>低端强锚。</x:v>
      </x:c>
      <x:c r="F6" s="219" t="str">
        <x:v>rule_id</x:v>
      </x:c>
      <x:c r="G6" s="219" t="str">
        <x:v>规则</x:v>
      </x:c>
      <x:c r="H6" s="219"/>
      <x:c r="I6" s="219"/>
      <x:c r="J6" s="219"/>
      <x:c r="K6" s="219" t="str">
        <x:v>证据</x:v>
      </x:c>
      <x:c r="L6" s="219"/>
      <x:c r="M6" s="219"/>
      <x:c r="N6" s="219" t="str">
        <x:v>状态</x:v>
      </x:c>
      <x:c r="O6" s="219" t="str">
        <x:v>后续含义</x:v>
      </x:c>
      <x:c r="P6" s="219"/>
    </x:row>
    <x:row r="7" ht="60" customHeight="1">
      <x:c r="A7" s="220" t="str">
        <x:v>Max桥中值残差</x:v>
      </x:c>
      <x:c r="B7" s="232" t="n">
        <x:f>'28_四桥残差'!T9</x:f>
        <x:v>18100.68</x:v>
      </x:c>
      <x:c r="C7" s="220" t="str">
        <x:v>元</x:v>
      </x:c>
      <x:c r="D7" s="220" t="str">
        <x:v>高端强锚。</x:v>
      </x:c>
      <x:c r="F7" s="255" t="str">
        <x:v>R23B-01</x:v>
      </x:c>
      <x:c r="G7" s="255" t="str">
        <x:v>跨车系价差不是固定常数。</x:v>
      </x:c>
      <x:c r="H7" s="255"/>
      <x:c r="I7" s="255"/>
      <x:c r="J7" s="255"/>
      <x:c r="K7" s="255" t="str">
        <x:v>标准与Max强锚中值残差仍相差显著；共同基础BOM无法消除版本梯度。</x:v>
      </x:c>
      <x:c r="L7" s="255"/>
      <x:c r="M7" s="255"/>
      <x:c r="N7" s="255" t="str">
        <x:v>PASS</x:v>
      </x:c>
      <x:c r="O7" s="255" t="str">
        <x:v>2.3C必须引入版本相关价值/定价项。</x:v>
      </x:c>
      <x:c r="P7" s="255"/>
    </x:row>
    <x:row r="8" ht="60" customHeight="1">
      <x:c r="A8" s="19" t="str">
        <x:v>2.3A强锚未分配差</x:v>
      </x:c>
      <x:c r="B8" s="232" t="n">
        <x:f>'27_BOM汇总'!D9-'27_BOM汇总'!D6</x:f>
        <x:v>11387.449999999999</x:v>
      </x:c>
      <x:c r="C8" s="19" t="str">
        <x:v>元</x:v>
      </x:c>
      <x:c r="D8" s="19" t="str">
        <x:v>使两端残差相同时需要的Max−标准BOM差；只作事后目标。</x:v>
      </x:c>
      <x:c r="F8" s="220" t="str">
        <x:v>R23B-02</x:v>
      </x:c>
      <x:c r="G8" s="220" t="str">
        <x:v>125—145kg只是新增物料总约束。</x:v>
      </x:c>
      <x:c r="H8" s="220"/>
      <x:c r="I8" s="220"/>
      <x:c r="J8" s="220"/>
      <x:c r="K8" s="220" t="str">
        <x:v>三组同三电工信部锚一致，但质量混合多个模块。</x:v>
      </x:c>
      <x:c r="L8" s="220"/>
      <x:c r="M8" s="220"/>
      <x:c r="N8" s="220" t="str">
        <x:v>PASS</x:v>
      </x:c>
      <x:c r="O8" s="220" t="str">
        <x:v>不得把132kg命名为白车身重量。</x:v>
      </x:c>
      <x:c r="P8" s="220"/>
    </x:row>
    <x:row r="9" ht="60" customHeight="1">
      <x:c r="A9" s="220" t="str">
        <x:v>独立BOM强锚差</x:v>
      </x:c>
      <x:c r="B9" s="232" t="n">
        <x:f>'27_BOM汇总'!P9-'27_BOM汇总'!P6</x:f>
        <x:v>0</x:v>
      </x:c>
      <x:c r="C9" s="220" t="str">
        <x:v>元</x:v>
      </x:c>
      <x:c r="D9" s="220" t="str">
        <x:v>当前物理模型的Max−标准BOM差。</x:v>
      </x:c>
      <x:c r="F9" s="255" t="str">
        <x:v>R23B-03</x:v>
      </x:c>
      <x:c r="G9" s="255" t="str">
        <x:v>三桥全情景仍为正，一桥跨零。</x:v>
      </x:c>
      <x:c r="H9" s="255"/>
      <x:c r="I9" s="255"/>
      <x:c r="J9" s="255"/>
      <x:c r="K9" s="255" t="str">
        <x:v>标准、CHASSIS96、Max严格为正；RWD96跨零。</x:v>
      </x:c>
      <x:c r="L9" s="255"/>
      <x:c r="M9" s="255"/>
      <x:c r="N9" s="255" t="str">
        <x:v>PASS</x:v>
      </x:c>
      <x:c r="O9" s="255" t="str">
        <x:v>基础BOM只能解释一部分价差。</x:v>
      </x:c>
      <x:c r="P9" s="255"/>
    </x:row>
    <x:row r="10" ht="60" customHeight="1">
      <x:c r="A10" s="19" t="str">
        <x:v>强锚中值残差差</x:v>
      </x:c>
      <x:c r="B10" s="232" t="n">
        <x:f>B7-B6</x:f>
        <x:v>11387.45</x:v>
      </x:c>
      <x:c r="C10" s="19" t="str">
        <x:v>元</x:v>
      </x:c>
      <x:c r="D10" s="19" t="str">
        <x:v>仍大则固定跨系加价规则失败。</x:v>
      </x:c>
      <x:c r="F10" s="220" t="str">
        <x:v>R23B-04</x:v>
      </x:c>
      <x:c r="G10" s="220" t="str">
        <x:v>中间两桥是一个相关块。</x:v>
      </x:c>
      <x:c r="H10" s="220"/>
      <x:c r="I10" s="220"/>
      <x:c r="J10" s="220"/>
      <x:c r="K10" s="220" t="str">
        <x:v>共享SU7 Pro；双重差分回到车系内残余。</x:v>
      </x:c>
      <x:c r="L10" s="220"/>
      <x:c r="M10" s="220"/>
      <x:c r="N10" s="220" t="str">
        <x:v>PASS</x:v>
      </x:c>
      <x:c r="O10" s="220" t="str">
        <x:v>不得重复计权。</x:v>
      </x:c>
      <x:c r="P10" s="220"/>
    </x:row>
    <x:row r="11" ht="60" customHeight="1">
      <x:c r="A11" s="220" t="str">
        <x:v>强锚差缩小比例</x:v>
      </x:c>
      <x:c r="B11" s="225" t="n">
        <x:f>1-ABS(B10)/MAX(ABS(B8),1)</x:f>
        <x:v>-2.220446049250313e-16</x:v>
      </x:c>
      <x:c r="C11" s="220" t="str">
        <x:v>%</x:v>
      </x:c>
      <x:c r="D11" s="220" t="str">
        <x:v>负值表示独立BOM没有缩小差异。</x:v>
      </x:c>
      <x:c r="F11" s="255" t="str">
        <x:v>R23B-05</x:v>
      </x:c>
      <x:c r="G11" s="255" t="str">
        <x:v>高配差异不能归给车身尺寸。</x:v>
      </x:c>
      <x:c r="H11" s="255"/>
      <x:c r="I11" s="255"/>
      <x:c r="J11" s="255"/>
      <x:c r="K11" s="255" t="str">
        <x:v>Max与标准的共同BOM相同，但Max残差明显更高。</x:v>
      </x:c>
      <x:c r="L11" s="255"/>
      <x:c r="M11" s="255"/>
      <x:c r="N11" s="255" t="str">
        <x:v>PASS</x:v>
      </x:c>
      <x:c r="O11" s="255" t="str">
        <x:v>版本配置与定位必须单列。</x:v>
      </x:c>
      <x:c r="P11" s="255"/>
    </x:row>
    <x:row r="12" ht="60" customHeight="1">
      <x:c r="A12" s="19" t="str">
        <x:v>RWD96中值残差</x:v>
      </x:c>
      <x:c r="B12" s="232" t="n">
        <x:f>'28_四桥残差'!T7</x:f>
        <x:v>2417.67</x:v>
      </x:c>
      <x:c r="C12" s="19" t="str">
        <x:v>元</x:v>
      </x:c>
      <x:c r="D12" s="19" t="str">
        <x:v>相关铰链块下侧。</x:v>
      </x:c>
      <x:c r="F12" s="220" t="str">
        <x:v>R23B-06</x:v>
      </x:c>
      <x:c r="G12" s="220" t="str">
        <x:v>当前只能给诊断区间。</x:v>
      </x:c>
      <x:c r="H12" s="220"/>
      <x:c r="I12" s="220"/>
      <x:c r="J12" s="220"/>
      <x:c r="K12" s="220" t="str">
        <x:v>清洁比例、材料篮子和尾门功能件仍为C/D级工程先验。</x:v>
      </x:c>
      <x:c r="L12" s="220"/>
      <x:c r="M12" s="220"/>
      <x:c r="N12" s="220" t="str">
        <x:v>PASS</x:v>
      </x:c>
      <x:c r="O12" s="220" t="str">
        <x:v>保留PROVISIONAL与开放项。</x:v>
      </x:c>
      <x:c r="P12" s="220"/>
    </x:row>
    <x:row r="13" ht="40" customHeight="1">
      <x:c r="A13" s="220" t="str">
        <x:v>CHASSIS96中值残差</x:v>
      </x:c>
      <x:c r="B13" s="232" t="n">
        <x:f>'28_四桥残差'!T8</x:f>
        <x:v>14912.999999999998</x:v>
      </x:c>
      <x:c r="C13" s="220" t="str">
        <x:v>元</x:v>
      </x:c>
      <x:c r="D13" s="220" t="str">
        <x:v>相关铰链块上侧。</x:v>
      </x:c>
    </x:row>
    <x:row r="14" ht="40" customHeight="1">
      <x:c r="A14" s="19" t="str">
        <x:v>中间残差双重差分</x:v>
      </x:c>
      <x:c r="B14" s="232" t="n">
        <x:f>B13-B12</x:f>
        <x:v>12495.329999999998</x:v>
      </x:c>
      <x:c r="C14" s="19" t="str">
        <x:v>元</x:v>
      </x:c>
      <x:c r="D14" s="19" t="str">
        <x:v>回到YU7长续航→Pro残余，权重0。</x:v>
      </x:c>
    </x:row>
    <x:row r="15" ht="40" customHeight="1">
      <x:c r="A15" s="220" t="str">
        <x:v>Phase2.2长续航→Pro残余</x:v>
      </x:c>
      <x:c r="B15" s="232" t="n">
        <x:f>'12_价差总览'!J11</x:f>
        <x:v>12495.33</x:v>
      </x:c>
      <x:c r="C15" s="220" t="str">
        <x:v>元</x:v>
      </x:c>
      <x:c r="D15" s="220" t="str">
        <x:v>恒等式回勾，不是新增证据。</x:v>
      </x:c>
      <x:c r="F15" s="261" t="str">
        <x:v>下一阶段入口：Phase 2.3C 只对“待解释价差区间”研究价值捕获与版本定位；不得把ResidualMM直接当作空间价值、固定成本或利润。优先补证：Max碳纤维/舒适项 → 机盖净差 → 单列模块质量 → 玻璃零件号。</x:v>
      </x:c>
      <x:c r="G15" s="261"/>
      <x:c r="H15" s="261"/>
      <x:c r="I15" s="261"/>
      <x:c r="J15" s="261"/>
      <x:c r="K15" s="261"/>
      <x:c r="L15" s="261"/>
      <x:c r="M15" s="261"/>
      <x:c r="N15" s="261"/>
      <x:c r="O15" s="261"/>
      <x:c r="P15" s="261"/>
    </x:row>
    <x:row r="16" ht="40" customHeight="1">
      <x:c r="A16" s="19" t="str">
        <x:v>双重差分回勾误差</x:v>
      </x:c>
      <x:c r="B16" s="232" t="n">
        <x:f>B14-B15</x:f>
        <x:v>-1.8189894035458565e-12</x:v>
      </x:c>
      <x:c r="C16" s="19" t="str">
        <x:v>元</x:v>
      </x:c>
      <x:c r="D16" s="19" t="str">
        <x:v>共同BOM中值一致时应为0。</x:v>
      </x:c>
      <x:c r="F16" s="261"/>
      <x:c r="G16" s="261"/>
      <x:c r="H16" s="261"/>
      <x:c r="I16" s="261"/>
      <x:c r="J16" s="261"/>
      <x:c r="K16" s="261"/>
      <x:c r="L16" s="261"/>
      <x:c r="M16" s="261"/>
      <x:c r="N16" s="261"/>
      <x:c r="O16" s="261"/>
      <x:c r="P16" s="261"/>
    </x:row>
    <x:row r="17" ht="40" customHeight="1">
      <x:c r="A17" s="220" t="str">
        <x:v>严格正残差桥数</x:v>
      </x:c>
      <x:c r="B17" s="232" t="n">
        <x:f>COUNTIF('28_四桥残差'!$W$6:$W$9,"ROBUST_POSITIVE")</x:f>
        <x:v>3</x:v>
      </x:c>
      <x:c r="C17" s="220" t="str">
        <x:v>个</x:v>
      </x:c>
      <x:c r="D17" s="220" t="str">
        <x:v>全9情景大于0。</x:v>
      </x:c>
      <x:c r="F17" s="261"/>
      <x:c r="G17" s="261"/>
      <x:c r="H17" s="261"/>
      <x:c r="I17" s="261"/>
      <x:c r="J17" s="261"/>
      <x:c r="K17" s="261"/>
      <x:c r="L17" s="261"/>
      <x:c r="M17" s="261"/>
      <x:c r="N17" s="261"/>
      <x:c r="O17" s="261"/>
      <x:c r="P17" s="261"/>
    </x:row>
    <x:row r="18" ht="40" customHeight="1">
      <x:c r="A18" s="19" t="str">
        <x:v>跨零桥数</x:v>
      </x:c>
      <x:c r="B18" s="232" t="n">
        <x:f>COUNTIF('28_四桥残差'!$W$6:$W$9,"CROSSES_ZERO")</x:f>
        <x:v>1</x:v>
      </x:c>
      <x:c r="C18" s="19" t="str">
        <x:v>个</x:v>
      </x:c>
      <x:c r="D18" s="19" t="str">
        <x:v>当前证据不可辨识。</x:v>
      </x:c>
    </x:row>
    <x:row r="19" ht="40" customHeight="1">
      <x:c r="A19" s="220" t="str">
        <x:v>自由配平项</x:v>
      </x:c>
      <x:c r="B19" s="232" t="n">
        <x:f>COUNTIF('25_BOM假设'!$J$27:$J$31,"YES")</x:f>
        <x:v>0</x:v>
      </x:c>
      <x:c r="C19" s="220" t="str">
        <x:v>个</x:v>
      </x:c>
      <x:c r="D19" s="220" t="str">
        <x:v>必须为0。</x:v>
      </x:c>
    </x:row>
  </x:sheetData>
  <x:mergeCells>
    <x:mergeCell ref="A1:P1"/>
    <x:mergeCell ref="A2:P2"/>
    <x:mergeCell ref="A3:P3"/>
    <x:mergeCell ref="F5:P5"/>
    <x:mergeCell ref="G6:J6"/>
    <x:mergeCell ref="K6:M6"/>
    <x:mergeCell ref="O6:P6"/>
    <x:mergeCell ref="G7:J7"/>
    <x:mergeCell ref="K7:M7"/>
    <x:mergeCell ref="O7:P7"/>
    <x:mergeCell ref="G8:J8"/>
    <x:mergeCell ref="K8:M8"/>
    <x:mergeCell ref="O8:P8"/>
    <x:mergeCell ref="G9:J9"/>
    <x:mergeCell ref="K9:M9"/>
    <x:mergeCell ref="O9:P9"/>
    <x:mergeCell ref="G10:J10"/>
    <x:mergeCell ref="K10:M10"/>
    <x:mergeCell ref="O10:P10"/>
    <x:mergeCell ref="G11:J11"/>
    <x:mergeCell ref="K11:M11"/>
    <x:mergeCell ref="O11:P11"/>
    <x:mergeCell ref="G12:J12"/>
    <x:mergeCell ref="K12:M12"/>
    <x:mergeCell ref="O12:P12"/>
    <x:mergeCell ref="F15:P15"/>
    <x:mergeCell ref="F16:P16"/>
    <x:mergeCell ref="F17:P17"/>
  </x:mergeCells>
  <x:conditionalFormatting sqref="N7:N12">
    <x:cfRule type="containsText" dxfId="197" priority="1" operator="containsText" text="PASS"/>
    <x:cfRule type="containsText" dxfId="198" priority="2" operator="containsText" text="READY"/>
    <x:cfRule type="containsText" dxfId="199" priority="3" operator="containsText" text="POSITIVE"/>
    <x:cfRule type="containsText" dxfId="200" priority="4" operator="containsText" text="CROSSES_ZERO"/>
    <x:cfRule type="containsText" dxfId="201" priority="5" operator="containsText" text="COMPATIBLE"/>
    <x:cfRule type="containsText" dxfId="202" priority="6" operator="containsText" text="NEGATIVE"/>
    <x:cfRule type="containsText" dxfId="203" priority="7" operator="containsText" text="REVIEW"/>
    <x:cfRule type="containsText" dxfId="204" priority="8" operator="containsText" text="FAIL"/>
    <x:cfRule type="containsText" dxfId="205" priority="9" operator="containsText" text="PROVISIONAL"/>
  </x:conditionalFormatting>
  <x:pageMargins left="0.7" right="0.7" top="0.75" bottom="0.75" header="0.3" footer="0.3"/>
</x:worksheet>
</file>

<file path=xl/worksheets/sheet3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50" hidden="0" customWidth="1"/>
    <x:col min="3" max="3" width="20" hidden="0" customWidth="1"/>
    <x:col min="4" max="4" width="20" hidden="0" customWidth="1"/>
    <x:col min="5" max="5" width="14" hidden="0" customWidth="1"/>
    <x:col min="6" max="6" width="13" hidden="0" customWidth="1"/>
    <x:col min="7" max="7" width="62" hidden="0" customWidth="1"/>
  </x:cols>
  <x:sheetData>
    <x:row r="1" ht="30" customHeight="1">
      <x:c r="A1" s="207" t="str">
        <x:v>30｜Phase 2.3B 模型校验</x:v>
      </x:c>
      <x:c r="B1" s="207"/>
      <x:c r="C1" s="207"/>
      <x:c r="D1" s="207"/>
      <x:c r="E1" s="207"/>
      <x:c r="F1" s="207"/>
      <x:c r="G1" s="207"/>
    </x:row>
    <x:row r="2" ht="22" customHeight="1">
      <x:c r="A2" s="210" t="str">
        <x:v>方向、回链、区间、九情景恒等式、防售价反推、防重复计数与结论边界</x:v>
      </x:c>
      <x:c r="B2" s="210"/>
      <x:c r="C2" s="210"/>
      <x:c r="D2" s="210"/>
      <x:c r="E2" s="210"/>
      <x:c r="F2" s="210"/>
      <x:c r="G2" s="210"/>
    </x:row>
    <x:row r="3" ht="44" customHeight="1">
      <x:c r="A3" s="214" t="str">
        <x:v>只有全部硬校验通过，工作簿才可标记READY_FOR_2.3C_WITH_BOUNDARY；通过不代表成本值已被官方确认。</x:v>
      </x:c>
      <x:c r="B3" s="214"/>
      <x:c r="C3" s="214"/>
      <x:c r="D3" s="214"/>
      <x:c r="E3" s="214"/>
      <x:c r="F3" s="214"/>
      <x:c r="G3" s="214"/>
    </x:row>
    <x:row r="5" ht="42" customHeight="1">
      <x:c r="A5" s="219" t="str">
        <x:v>check_id</x:v>
      </x:c>
      <x:c r="B5" s="219" t="str">
        <x:v>校验</x:v>
      </x:c>
      <x:c r="C5" s="219" t="str">
        <x:v>期望值</x:v>
      </x:c>
      <x:c r="D5" s="219" t="str">
        <x:v>实际值</x:v>
      </x:c>
      <x:c r="E5" s="219" t="str">
        <x:v>容差</x:v>
      </x:c>
      <x:c r="F5" s="219" t="str">
        <x:v>状态</x:v>
      </x:c>
      <x:c r="G5" s="219" t="str">
        <x:v>说明</x:v>
      </x:c>
    </x:row>
    <x:row r="6" ht="34" customHeight="1">
      <x:c r="A6" s="19" t="str">
        <x:v>C01_SOURCE_ROWS</x:v>
      </x:c>
      <x:c r="B6" s="19" t="str">
        <x:v>来源行数</x:v>
      </x:c>
      <x:c r="C6" s="262" t="n">
        <x:v>15</x:v>
      </x:c>
      <x:c r="D6" s="133" t="n">
        <x:f>COUNTA('24_独立物证'!$A$6:$A$20)</x:f>
        <x:v>15</x:v>
      </x:c>
      <x:c r="E6" s="62" t="n">
        <x:v>0</x:v>
      </x:c>
      <x:c r="F6" s="19" t="str">
        <x:f>IF(ABS(D6-C6)&lt;=E6,"PASS","FAIL")</x:f>
        <x:v>PASS</x:v>
      </x:c>
      <x:c r="G6" s="19" t="str">
        <x:v>来源目录完整。</x:v>
      </x:c>
    </x:row>
    <x:row r="7" ht="34" customHeight="1">
      <x:c r="A7" s="220" t="str">
        <x:v>C02_EVIDENCE_ROWS</x:v>
      </x:c>
      <x:c r="B7" s="220" t="str">
        <x:v>独立证据行数</x:v>
      </x:c>
      <x:c r="C7" s="262" t="n">
        <x:v>15</x:v>
      </x:c>
      <x:c r="D7" s="263" t="n">
        <x:f>COUNTA('24_独立物证'!$A$24:$A$38)</x:f>
        <x:v>15</x:v>
      </x:c>
      <x:c r="E7" s="231" t="n">
        <x:v>0</x:v>
      </x:c>
      <x:c r="F7" s="220" t="str">
        <x:f>IF(ABS(D7-C7)&lt;=E7,"PASS","FAIL")</x:f>
        <x:v>PASS</x:v>
      </x:c>
      <x:c r="G7" s="220" t="str">
        <x:v>物理证据不引用售价。</x:v>
      </x:c>
    </x:row>
    <x:row r="8" ht="34" customHeight="1">
      <x:c r="A8" s="19" t="str">
        <x:v>C03_PARAMETER_ROWS</x:v>
      </x:c>
      <x:c r="B8" s="19" t="str">
        <x:v>工程参数行数</x:v>
      </x:c>
      <x:c r="C8" s="262" t="n">
        <x:v>17</x:v>
      </x:c>
      <x:c r="D8" s="133" t="n">
        <x:f>COUNTA('25_BOM假设'!$A$6:$A$22)</x:f>
        <x:v>17</x:v>
      </x:c>
      <x:c r="E8" s="62" t="n">
        <x:v>0</x:v>
      </x:c>
      <x:c r="F8" s="19" t="str">
        <x:f>IF(ABS(D8-C8)&lt;=E8,"PASS","FAIL")</x:f>
        <x:v>PASS</x:v>
      </x:c>
      <x:c r="G8" s="19" t="str">
        <x:v>Low/Mid/High参数。</x:v>
      </x:c>
    </x:row>
    <x:row r="9" ht="34" customHeight="1">
      <x:c r="A9" s="220" t="str">
        <x:v>C04_COST_ROWS</x:v>
      </x:c>
      <x:c r="B9" s="220" t="str">
        <x:v>纳入成本项数</x:v>
      </x:c>
      <x:c r="C9" s="262" t="n">
        <x:v>5</x:v>
      </x:c>
      <x:c r="D9" s="263" t="n">
        <x:f>COUNTIF('25_BOM假设'!$M$27:$M$31,"YES")</x:f>
        <x:v>5</x:v>
      </x:c>
      <x:c r="E9" s="231" t="n">
        <x:v>0</x:v>
      </x:c>
      <x:c r="F9" s="220" t="str">
        <x:f>IF(ABS(D9-C9)&lt;=E9,"PASS","FAIL")</x:f>
        <x:v>PASS</x:v>
      </x:c>
      <x:c r="G9" s="220" t="str">
        <x:v>五个共同模块。</x:v>
      </x:c>
    </x:row>
    <x:row r="10" ht="34" customHeight="1">
      <x:c r="A10" s="19" t="str">
        <x:v>C05_PRICE_DERIVED</x:v>
      </x:c>
      <x:c r="B10" s="19" t="str">
        <x:v>售价衍生成本项数</x:v>
      </x:c>
      <x:c r="C10" s="262" t="n">
        <x:v>0</x:v>
      </x:c>
      <x:c r="D10" s="133" t="n">
        <x:f>COUNTIF('25_BOM假设'!$J$27:$J$31,"YES")</x:f>
        <x:v>0</x:v>
      </x:c>
      <x:c r="E10" s="62" t="n">
        <x:v>0</x:v>
      </x:c>
      <x:c r="F10" s="19" t="str">
        <x:f>IF(ABS(D10-C10)&lt;=E10,"PASS","FAIL")</x:f>
        <x:v>PASS</x:v>
      </x:c>
      <x:c r="G10" s="19" t="str">
        <x:v>硬失败条件。</x:v>
      </x:c>
    </x:row>
    <x:row r="11" ht="34" customHeight="1">
      <x:c r="A11" s="220" t="str">
        <x:v>C06_COST_ORDER</x:v>
      </x:c>
      <x:c r="B11" s="220" t="str">
        <x:v>成本区间错序数</x:v>
      </x:c>
      <x:c r="C11" s="262" t="n">
        <x:v>0</x:v>
      </x:c>
      <x:c r="D11" s="263" t="n">
        <x:f>COUNTIF('25_BOM假设'!$O$27:$O$31,"FAIL")</x:f>
        <x:v>0</x:v>
      </x:c>
      <x:c r="E11" s="231" t="n">
        <x:v>0</x:v>
      </x:c>
      <x:c r="F11" s="220" t="str">
        <x:f>IF(ABS(D11-C11)&lt;=E11,"PASS","FAIL")</x:f>
        <x:v>PASS</x:v>
      </x:c>
      <x:c r="G11" s="220" t="str">
        <x:v>单价Low≤Mid≤High。</x:v>
      </x:c>
    </x:row>
    <x:row r="12" ht="34" customHeight="1">
      <x:c r="A12" s="19" t="str">
        <x:v>C07_COST_SOURCE</x:v>
      </x:c>
      <x:c r="B12" s="19" t="str">
        <x:v>成本来源缺失数</x:v>
      </x:c>
      <x:c r="C12" s="262" t="n">
        <x:v>0</x:v>
      </x:c>
      <x:c r="D12" s="133" t="n">
        <x:f>COUNTIF('25_BOM假设'!$P$27:$P$31,"FAIL")</x:f>
        <x:v>0</x:v>
      </x:c>
      <x:c r="E12" s="62" t="n">
        <x:v>0</x:v>
      </x:c>
      <x:c r="F12" s="19" t="str">
        <x:f>IF(ABS(D12-C12)&lt;=E12,"PASS","FAIL")</x:f>
        <x:v>PASS</x:v>
      </x:c>
      <x:c r="G12" s="19" t="str">
        <x:v>每项有来源/公式。</x:v>
      </x:c>
    </x:row>
    <x:row r="13" ht="34" customHeight="1">
      <x:c r="A13" s="220" t="str">
        <x:v>C08_DRIVER_ROWS</x:v>
      </x:c>
      <x:c r="B13" s="220" t="str">
        <x:v>驱动矩阵行数</x:v>
      </x:c>
      <x:c r="C13" s="262" t="n">
        <x:v>20</x:v>
      </x:c>
      <x:c r="D13" s="263" t="n">
        <x:f>COUNTA('26_驱动矩阵'!$A$6:$A$25)</x:f>
        <x:v>20</x:v>
      </x:c>
      <x:c r="E13" s="231" t="n">
        <x:v>0</x:v>
      </x:c>
      <x:c r="F13" s="220" t="str">
        <x:f>IF(ABS(D13-C13)&lt;=E13,"PASS","FAIL")</x:f>
        <x:v>PASS</x:v>
      </x:c>
      <x:c r="G13" s="220" t="str">
        <x:v>4桥×5项。</x:v>
      </x:c>
    </x:row>
    <x:row r="14" ht="34" customHeight="1">
      <x:c r="A14" s="19" t="str">
        <x:v>C09_DRIVER_STATUS</x:v>
      </x:c>
      <x:c r="B14" s="19" t="str">
        <x:v>驱动矩阵失败数</x:v>
      </x:c>
      <x:c r="C14" s="262" t="n">
        <x:v>0</x:v>
      </x:c>
      <x:c r="D14" s="133" t="n">
        <x:f>COUNTIF('26_驱动矩阵'!$R$6:$R$25,"FAIL")</x:f>
        <x:v>0</x:v>
      </x:c>
      <x:c r="E14" s="62" t="n">
        <x:v>0</x:v>
      </x:c>
      <x:c r="F14" s="19" t="str">
        <x:f>IF(ABS(D14-C14)&lt;=E14,"PASS","FAIL")</x:f>
        <x:v>PASS</x:v>
      </x:c>
      <x:c r="G14" s="19" t="str">
        <x:v>负数量也保持有序。</x:v>
      </x:c>
    </x:row>
    <x:row r="15" ht="34" customHeight="1">
      <x:c r="A15" s="220" t="str">
        <x:v>C10_COMMON_IDS</x:v>
      </x:c>
      <x:c r="B15" s="220" t="str">
        <x:v>每桥共同成本ID最小数</x:v>
      </x:c>
      <x:c r="C15" s="262" t="n">
        <x:v>5</x:v>
      </x:c>
      <x:c r="D15" s="263" t="n">
        <x:f>MIN('27_BOM汇总'!$S$6:$S$9)</x:f>
        <x:v>5</x:v>
      </x:c>
      <x:c r="E15" s="231" t="n">
        <x:v>0</x:v>
      </x:c>
      <x:c r="F15" s="220" t="str">
        <x:f>IF(ABS(D15-C15)&lt;=E15,"PASS","FAIL")</x:f>
        <x:v>PASS</x:v>
      </x:c>
      <x:c r="G15" s="220" t="str">
        <x:v>禁止自由输入。</x:v>
      </x:c>
    </x:row>
    <x:row r="16" ht="34" customHeight="1">
      <x:c r="A16" s="19" t="str">
        <x:v>C11_SUMMARY_STATUS</x:v>
      </x:c>
      <x:c r="B16" s="19" t="str">
        <x:v>BOM汇总失败数</x:v>
      </x:c>
      <x:c r="C16" s="262" t="n">
        <x:v>0</x:v>
      </x:c>
      <x:c r="D16" s="133" t="n">
        <x:f>COUNTIF('27_BOM汇总'!$T$6:$T$9,"FAIL")</x:f>
        <x:v>0</x:v>
      </x:c>
      <x:c r="E16" s="62" t="n">
        <x:v>0</x:v>
      </x:c>
      <x:c r="F16" s="19" t="str">
        <x:f>IF(ABS(D16-C16)&lt;=E16,"PASS","FAIL")</x:f>
        <x:v>PASS</x:v>
      </x:c>
      <x:c r="G16" s="19" t="str">
        <x:v>汇总区间有序。</x:v>
      </x:c>
    </x:row>
    <x:row r="17" ht="34" customHeight="1">
      <x:c r="A17" s="220" t="str">
        <x:v>C12_PHYSICAL_TIE</x:v>
      </x:c>
      <x:c r="B17" s="220" t="str">
        <x:v>物理BOM汇总回勾最大误差</x:v>
      </x:c>
      <x:c r="C17" s="262" t="n">
        <x:v>0</x:v>
      </x:c>
      <x:c r="D17" s="263" t="n">
        <x:f>MAX(ABS('27_BOM汇总'!F6-SUMIFS('26_驱动矩阵'!$L$6:$L$25,'26_驱动矩阵'!$A$6:$A$25,'27_BOM汇总'!A6)),ABS('27_BOM汇总'!G6-SUMIFS('26_驱动矩阵'!$M$6:$M$25,'26_驱动矩阵'!$A$6:$A$25,'27_BOM汇总'!A6)),ABS('27_BOM汇总'!H6-SUMIFS('26_驱动矩阵'!$N$6:$N$25,'26_驱动矩阵'!$A$6:$A$25,'27_BOM汇总'!A6)),ABS('27_BOM汇总'!F7-SUMIFS('26_驱动矩阵'!$L$6:$L$25,'26_驱动矩阵'!$A$6:$A$25,'27_BOM汇总'!A7)),ABS('27_BOM汇总'!G7-SUMIFS('26_驱动矩阵'!$M$6:$M$25,'26_驱动矩阵'!$A$6:$A$25,'27_BOM汇总'!A7)),ABS('27_BOM汇总'!H7-SUMIFS('26_驱动矩阵'!$N$6:$N$25,'26_驱动矩阵'!$A$6:$A$25,'27_BOM汇总'!A7)),ABS('27_BOM汇总'!F8-SUMIFS('26_驱动矩阵'!$L$6:$L$25,'26_驱动矩阵'!$A$6:$A$25,'27_BOM汇总'!A8)),ABS('27_BOM汇总'!G8-SUMIFS('26_驱动矩阵'!$M$6:$M$25,'26_驱动矩阵'!$A$6:$A$25,'27_BOM汇总'!A8)),ABS('27_BOM汇总'!H8-SUMIFS('26_驱动矩阵'!$N$6:$N$25,'26_驱动矩阵'!$A$6:$A$25,'27_BOM汇总'!A8)),ABS('27_BOM汇总'!F9-SUMIFS('26_驱动矩阵'!$L$6:$L$25,'26_驱动矩阵'!$A$6:$A$25,'27_BOM汇总'!A9)),ABS('27_BOM汇总'!G9-SUMIFS('26_驱动矩阵'!$M$6:$M$25,'26_驱动矩阵'!$A$6:$A$25,'27_BOM汇总'!A9)),ABS('27_BOM汇总'!H9-SUMIFS('26_驱动矩阵'!$N$6:$N$25,'26_驱动矩阵'!$A$6:$A$25,'27_BOM汇总'!A9)))</x:f>
        <x:v>0</x:v>
      </x:c>
      <x:c r="E17" s="231" t="n">
        <x:v>0.01</x:v>
      </x:c>
      <x:c r="F17" s="220" t="str">
        <x:f>IF(ABS(D17-C17)&lt;=E17,"PASS","FAIL")</x:f>
        <x:v>PASS</x:v>
      </x:c>
      <x:c r="G17" s="220" t="str">
        <x:v>SUMIFS回链。</x:v>
      </x:c>
    </x:row>
    <x:row r="18" ht="34" customHeight="1">
      <x:c r="A18" s="19" t="str">
        <x:v>C13_M09_TIE</x:v>
      </x:c>
      <x:c r="B18" s="19" t="str">
        <x:v>M09回勾最大误差</x:v>
      </x:c>
      <x:c r="C18" s="262" t="n">
        <x:v>0</x:v>
      </x:c>
      <x:c r="D18" s="133" t="n">
        <x:f>MAX(ABS('27_BOM汇总'!I6-'27_BOM汇总'!F6*'18_跨系底表'!$B$19),ABS('27_BOM汇总'!J6-'27_BOM汇总'!G6*'18_跨系底表'!$B$20),ABS('27_BOM汇总'!K6-'27_BOM汇总'!H6*'18_跨系底表'!$B$21),ABS('27_BOM汇总'!I7-'27_BOM汇总'!F7*'18_跨系底表'!$B$19),ABS('27_BOM汇总'!J7-'27_BOM汇总'!G7*'18_跨系底表'!$B$20),ABS('27_BOM汇总'!K7-'27_BOM汇总'!H7*'18_跨系底表'!$B$21),ABS('27_BOM汇总'!I8-'27_BOM汇总'!F8*'18_跨系底表'!$B$19),ABS('27_BOM汇总'!J8-'27_BOM汇总'!G8*'18_跨系底表'!$B$20),ABS('27_BOM汇总'!K8-'27_BOM汇总'!H8*'18_跨系底表'!$B$21),ABS('27_BOM汇总'!I9-'27_BOM汇总'!F9*'18_跨系底表'!$B$19),ABS('27_BOM汇总'!J9-'27_BOM汇总'!G9*'18_跨系底表'!$B$20),ABS('27_BOM汇总'!K9-'27_BOM汇总'!H9*'18_跨系底表'!$B$21))</x:f>
        <x:v>0</x:v>
      </x:c>
      <x:c r="E18" s="62" t="n">
        <x:v>0.01</x:v>
      </x:c>
      <x:c r="F18" s="19" t="str">
        <x:f>IF(ABS(D18-C18)&lt;=E18,"PASS","FAIL")</x:f>
        <x:v>PASS</x:v>
      </x:c>
      <x:c r="G18" s="19" t="str">
        <x:v>M09只计一次。</x:v>
      </x:c>
    </x:row>
    <x:row r="19" ht="34" customHeight="1">
      <x:c r="A19" s="220" t="str">
        <x:v>C14_M10_TIE</x:v>
      </x:c>
      <x:c r="B19" s="220" t="str">
        <x:v>M10回勾最大误差</x:v>
      </x:c>
      <x:c r="C19" s="262" t="n">
        <x:v>0</x:v>
      </x:c>
      <x:c r="D19" s="263" t="n">
        <x:f>MAX(ABS('27_BOM汇总'!L6-'27_BOM汇总'!F6*'18_跨系底表'!$B$22),ABS('27_BOM汇总'!M6-'27_BOM汇总'!G6*'18_跨系底表'!$B$23),ABS('27_BOM汇总'!N6-'27_BOM汇总'!H6*'18_跨系底表'!$B$24),ABS('27_BOM汇总'!L7-'27_BOM汇总'!F7*'18_跨系底表'!$B$22),ABS('27_BOM汇总'!M7-'27_BOM汇总'!G7*'18_跨系底表'!$B$23),ABS('27_BOM汇总'!N7-'27_BOM汇总'!H7*'18_跨系底表'!$B$24),ABS('27_BOM汇总'!L8-'27_BOM汇总'!F8*'18_跨系底表'!$B$22),ABS('27_BOM汇总'!M8-'27_BOM汇总'!G8*'18_跨系底表'!$B$23),ABS('27_BOM汇总'!N8-'27_BOM汇总'!H8*'18_跨系底表'!$B$24),ABS('27_BOM汇总'!L9-'27_BOM汇总'!F9*'18_跨系底表'!$B$22),ABS('27_BOM汇总'!M9-'27_BOM汇总'!G9*'18_跨系底表'!$B$23),ABS('27_BOM汇总'!N9-'27_BOM汇总'!H9*'18_跨系底表'!$B$24))</x:f>
        <x:v>0</x:v>
      </x:c>
      <x:c r="E19" s="231" t="n">
        <x:v>0.01</x:v>
      </x:c>
      <x:c r="F19" s="220" t="str">
        <x:f>IF(ABS(D19-C19)&lt;=E19,"PASS","FAIL")</x:f>
        <x:v>PASS</x:v>
      </x:c>
      <x:c r="G19" s="220" t="str">
        <x:v>M10只计一次。</x:v>
      </x:c>
    </x:row>
    <x:row r="20" ht="34" customHeight="1">
      <x:c r="A20" s="19" t="str">
        <x:v>C15_TOTAL_TIE</x:v>
      </x:c>
      <x:c r="B20" s="19" t="str">
        <x:v>BOM总差恒等式最大误差</x:v>
      </x:c>
      <x:c r="C20" s="262" t="n">
        <x:v>0</x:v>
      </x:c>
      <x:c r="D20" s="133" t="n">
        <x:f>MAX(ABS('27_BOM汇总'!O6-SUM('27_BOM汇总'!F6,'27_BOM汇总'!I6,'27_BOM汇总'!L6)),ABS('27_BOM汇总'!P6-SUM('27_BOM汇总'!G6,'27_BOM汇总'!J6,'27_BOM汇总'!M6)),ABS('27_BOM汇总'!Q6-SUM('27_BOM汇总'!H6,'27_BOM汇总'!K6,'27_BOM汇总'!N6)),ABS('27_BOM汇总'!O7-SUM('27_BOM汇总'!F7,'27_BOM汇总'!I7,'27_BOM汇总'!L7)),ABS('27_BOM汇总'!P7-SUM('27_BOM汇总'!G7,'27_BOM汇总'!J7,'27_BOM汇总'!M7)),ABS('27_BOM汇总'!Q7-SUM('27_BOM汇总'!H7,'27_BOM汇总'!K7,'27_BOM汇总'!N7)),ABS('27_BOM汇总'!O8-SUM('27_BOM汇总'!F8,'27_BOM汇总'!I8,'27_BOM汇总'!L8)),ABS('27_BOM汇总'!P8-SUM('27_BOM汇总'!G8,'27_BOM汇总'!J8,'27_BOM汇总'!M8)),ABS('27_BOM汇总'!Q8-SUM('27_BOM汇总'!H8,'27_BOM汇总'!K8,'27_BOM汇总'!N8)),ABS('27_BOM汇总'!O9-SUM('27_BOM汇总'!F9,'27_BOM汇总'!I9,'27_BOM汇总'!L9)),ABS('27_BOM汇总'!P9-SUM('27_BOM汇总'!G9,'27_BOM汇总'!J9,'27_BOM汇总'!M9)),ABS('27_BOM汇总'!Q9-SUM('27_BOM汇总'!H9,'27_BOM汇总'!K9,'27_BOM汇总'!N9)))</x:f>
        <x:v>0.0025000000000545697</x:v>
      </x:c>
      <x:c r="E20" s="62" t="n">
        <x:v>0.01</x:v>
      </x:c>
      <x:c r="F20" s="19" t="str">
        <x:f>IF(ABS(D20-C20)&lt;=E20,"PASS","FAIL")</x:f>
        <x:v>PASS</x:v>
      </x:c>
      <x:c r="G20" s="19" t="str">
        <x:v>物理BOM+M09+M10。</x:v>
      </x:c>
    </x:row>
    <x:row r="21" ht="34" customHeight="1">
      <x:c r="A21" s="220" t="str">
        <x:v>C16_U_INPUT_TIE</x:v>
      </x:c>
      <x:c r="B21" s="220" t="str">
        <x:v>2.3A未分配价差回勾误差</x:v>
      </x:c>
      <x:c r="C21" s="262" t="n">
        <x:v>0</x:v>
      </x:c>
      <x:c r="D21" s="263" t="n">
        <x:f>MAX(ABS('27_BOM汇总'!C6-'20_已知差异桥'!P21),ABS('27_BOM汇总'!D6-'20_已知差异桥'!Q21),ABS('27_BOM汇总'!E6-'20_已知差异桥'!R21),ABS('27_BOM汇总'!C7-'20_已知差异桥'!P22),ABS('27_BOM汇总'!D7-'20_已知差异桥'!Q22),ABS('27_BOM汇总'!E7-'20_已知差异桥'!R22),ABS('27_BOM汇总'!C8-'20_已知差异桥'!P23),ABS('27_BOM汇总'!D8-'20_已知差异桥'!Q23),ABS('27_BOM汇总'!E8-'20_已知差异桥'!R23),ABS('27_BOM汇总'!C9-'20_已知差异桥'!P24),ABS('27_BOM汇总'!D9-'20_已知差异桥'!Q24),ABS('27_BOM汇总'!E9-'20_已知差异桥'!R24))</x:f>
        <x:v>0</x:v>
      </x:c>
      <x:c r="E21" s="231" t="n">
        <x:v>0.01</x:v>
      </x:c>
      <x:c r="F21" s="220" t="str">
        <x:f>IF(ABS(D21-C21)&lt;=E21,"PASS","FAIL")</x:f>
        <x:v>PASS</x:v>
      </x:c>
      <x:c r="G21" s="220" t="str">
        <x:v>Phase2.3A逐格回勾。</x:v>
      </x:c>
    </x:row>
    <x:row r="22" ht="34" customHeight="1">
      <x:c r="A22" s="19" t="str">
        <x:v>C17_RESIDUAL_9GRID</x:v>
      </x:c>
      <x:c r="B22" s="19" t="str">
        <x:v>九情景R=U−B最大误差</x:v>
      </x:c>
      <x:c r="C22" s="262" t="n">
        <x:v>0</x:v>
      </x:c>
      <x:c r="D22" s="133" t="n">
        <x:f>MAX(ABS('28_四桥残差'!J6-('28_四桥残差'!D6-'28_四桥残差'!G6)),ABS('28_四桥残差'!K6-('28_四桥残差'!D6-'28_四桥残差'!H6)),ABS('28_四桥残差'!L6-('28_四桥残差'!D6-'28_四桥残差'!I6)),ABS('28_四桥残差'!M6-('28_四桥残差'!E6-'28_四桥残差'!G6)),ABS('28_四桥残差'!N6-('28_四桥残差'!E6-'28_四桥残差'!H6)),ABS('28_四桥残差'!O6-('28_四桥残差'!E6-'28_四桥残差'!I6)),ABS('28_四桥残差'!P6-('28_四桥残差'!F6-'28_四桥残差'!G6)),ABS('28_四桥残差'!Q6-('28_四桥残差'!F6-'28_四桥残差'!H6)),ABS('28_四桥残差'!R6-('28_四桥残差'!F6-'28_四桥残差'!I6)),ABS('28_四桥残差'!J7-('28_四桥残差'!D7-'28_四桥残差'!G7)),ABS('28_四桥残差'!K7-('28_四桥残差'!D7-'28_四桥残差'!H7)),ABS('28_四桥残差'!L7-('28_四桥残差'!D7-'28_四桥残差'!I7)),ABS('28_四桥残差'!M7-('28_四桥残差'!E7-'28_四桥残差'!G7)),ABS('28_四桥残差'!N7-('28_四桥残差'!E7-'28_四桥残差'!H7)),ABS('28_四桥残差'!O7-('28_四桥残差'!E7-'28_四桥残差'!I7)),ABS('28_四桥残差'!P7-('28_四桥残差'!F7-'28_四桥残差'!G7)),ABS('28_四桥残差'!Q7-('28_四桥残差'!F7-'28_四桥残差'!H7)),ABS('28_四桥残差'!R7-('28_四桥残差'!F7-'28_四桥残差'!I7)),ABS('28_四桥残差'!J8-('28_四桥残差'!D8-'28_四桥残差'!G8)),ABS('28_四桥残差'!K8-('28_四桥残差'!D8-'28_四桥残差'!H8)),ABS('28_四桥残差'!L8-('28_四桥残差'!D8-'28_四桥残差'!I8)),ABS('28_四桥残差'!M8-('28_四桥残差'!E8-'28_四桥残差'!G8)),ABS('28_四桥残差'!N8-('28_四桥残差'!E8-'28_四桥残差'!H8)),ABS('28_四桥残差'!O8-('28_四桥残差'!E8-'28_四桥残差'!I8)),ABS('28_四桥残差'!P8-('28_四桥残差'!F8-'28_四桥残差'!G8)),ABS('28_四桥残差'!Q8-('28_四桥残差'!F8-'28_四桥残差'!H8)),ABS('28_四桥残差'!R8-('28_四桥残差'!F8-'28_四桥残差'!I8)),ABS('28_四桥残差'!J9-('28_四桥残差'!D9-'28_四桥残差'!G9)),ABS('28_四桥残差'!K9-('28_四桥残差'!D9-'28_四桥残差'!H9)),ABS('28_四桥残差'!L9-('28_四桥残差'!D9-'28_四桥残差'!I9)),ABS('28_四桥残差'!M9-('28_四桥残差'!E9-'28_四桥残差'!G9)),ABS('28_四桥残差'!N9-('28_四桥残差'!E9-'28_四桥残差'!H9)),ABS('28_四桥残差'!O9-('28_四桥残差'!E9-'28_四桥残差'!I9)),ABS('28_四桥残差'!P9-('28_四桥残差'!F9-'28_四桥残差'!G9)),ABS('28_四桥残差'!Q9-('28_四桥残差'!F9-'28_四桥残差'!H9)),ABS('28_四桥残差'!R9-('28_四桥残差'!F9-'28_四桥残差'!I9)))</x:f>
        <x:v>0</x:v>
      </x:c>
      <x:c r="E22" s="62" t="n">
        <x:v>0.01</x:v>
      </x:c>
      <x:c r="F22" s="19" t="str">
        <x:f>IF(ABS(D22-C22)&lt;=E22,"PASS","FAIL")</x:f>
        <x:v>PASS</x:v>
      </x:c>
      <x:c r="G22" s="19" t="str">
        <x:v>4桥×9组合。</x:v>
      </x:c>
    </x:row>
    <x:row r="23" ht="34" customHeight="1">
      <x:c r="A23" s="220" t="str">
        <x:v>C18_RESIDUAL_RANGE</x:v>
      </x:c>
      <x:c r="B23" s="220" t="str">
        <x:v>Residual区间错序数</x:v>
      </x:c>
      <x:c r="C23" s="262" t="n">
        <x:v>0</x:v>
      </x:c>
      <x:c r="D23" s="263" t="n">
        <x:f>IF(AND('28_四桥残差'!S6&lt;='28_四桥残差'!T6,'28_四桥残差'!T6&lt;='28_四桥残差'!U6),0,1)+IF(AND('28_四桥残差'!S7&lt;='28_四桥残差'!T7,'28_四桥残差'!T7&lt;='28_四桥残差'!U7),0,1)+IF(AND('28_四桥残差'!S8&lt;='28_四桥残差'!T8,'28_四桥残差'!T8&lt;='28_四桥残差'!U8),0,1)+IF(AND('28_四桥残差'!S9&lt;='28_四桥残差'!T9,'28_四桥残差'!T9&lt;='28_四桥残差'!U9),0,1)</x:f>
        <x:v>0</x:v>
      </x:c>
      <x:c r="E23" s="231" t="n">
        <x:v>0</x:v>
      </x:c>
      <x:c r="F23" s="220" t="str">
        <x:f>IF(ABS(D23-C23)&lt;=E23,"PASS","FAIL")</x:f>
        <x:v>PASS</x:v>
      </x:c>
      <x:c r="G23" s="220" t="str">
        <x:v>MIN≤MM≤MAX。</x:v>
      </x:c>
    </x:row>
    <x:row r="24" ht="34" customHeight="1">
      <x:c r="A24" s="19" t="str">
        <x:v>C19_REVERSE_SIGN</x:v>
      </x:c>
      <x:c r="B24" s="19" t="str">
        <x:v>反向预测校验最大误差</x:v>
      </x:c>
      <x:c r="C24" s="262" t="n">
        <x:v>0</x:v>
      </x:c>
      <x:c r="D24" s="133" t="n">
        <x:f>MAX(ABS('28_四桥残差'!AB6),ABS('28_四桥残差'!AB7),ABS('28_四桥残差'!AB8),ABS('28_四桥残差'!AB9))</x:f>
        <x:v>0</x:v>
      </x:c>
      <x:c r="E24" s="62" t="n">
        <x:v>0.01</x:v>
      </x:c>
      <x:c r="F24" s="19" t="str">
        <x:f>IF(ABS(D24-C24)&lt;=E24,"PASS","FAIL")</x:f>
        <x:v>PASS</x:v>
      </x:c>
      <x:c r="G24" s="19" t="str">
        <x:v>反向不计第二样本。</x:v>
      </x:c>
    </x:row>
    <x:row r="25" ht="34" customHeight="1">
      <x:c r="A25" s="220" t="str">
        <x:v>C20_STRICT_POSITIVE</x:v>
      </x:c>
      <x:c r="B25" s="220" t="str">
        <x:v>严格正残差桥数</x:v>
      </x:c>
      <x:c r="C25" s="262" t="n">
        <x:v>3</x:v>
      </x:c>
      <x:c r="D25" s="263" t="n">
        <x:f>COUNTIF('28_四桥残差'!$W$6:$W$9,"ROBUST_POSITIVE")</x:f>
        <x:v>3</x:v>
      </x:c>
      <x:c r="E25" s="231" t="n">
        <x:v>0</x:v>
      </x:c>
      <x:c r="F25" s="220" t="str">
        <x:f>IF(ABS(D25-C25)&lt;=E25,"PASS","FAIL")</x:f>
        <x:v>PASS</x:v>
      </x:c>
      <x:c r="G25" s="220" t="str">
        <x:v>标准/CHASSIS96/Max。</x:v>
      </x:c>
    </x:row>
    <x:row r="26" ht="34" customHeight="1">
      <x:c r="A26" s="19" t="str">
        <x:v>C21_CROSS_ZERO</x:v>
      </x:c>
      <x:c r="B26" s="19" t="str">
        <x:v>严格跨零桥数</x:v>
      </x:c>
      <x:c r="C26" s="262" t="n">
        <x:v>1</x:v>
      </x:c>
      <x:c r="D26" s="133" t="n">
        <x:f>COUNTIF('28_四桥残差'!$W$6:$W$9,"CROSSES_ZERO")</x:f>
        <x:v>1</x:v>
      </x:c>
      <x:c r="E26" s="62" t="n">
        <x:v>0</x:v>
      </x:c>
      <x:c r="F26" s="19" t="str">
        <x:f>IF(ABS(D26-C26)&lt;=E26,"PASS","FAIL")</x:f>
        <x:v>PASS</x:v>
      </x:c>
      <x:c r="G26" s="19" t="str">
        <x:v>RWD96。</x:v>
      </x:c>
    </x:row>
    <x:row r="27" ht="34" customHeight="1">
      <x:c r="A27" s="220" t="str">
        <x:v>C22_DEP_WEIGHT</x:v>
      </x:c>
      <x:c r="B27" s="220" t="str">
        <x:v>中间双差权重</x:v>
      </x:c>
      <x:c r="C27" s="262" t="n">
        <x:v>0</x:v>
      </x:c>
      <x:c r="D27" s="263" t="n">
        <x:f>'23_2.3B口径'!$F$23</x:f>
        <x:v>0</x:v>
      </x:c>
      <x:c r="E27" s="231" t="n">
        <x:v>0</x:v>
      </x:c>
      <x:c r="F27" s="220" t="str">
        <x:f>IF(ABS(D27-C27)&lt;=E27,"PASS","FAIL")</x:f>
        <x:v>PASS</x:v>
      </x:c>
      <x:c r="G27" s="220" t="str">
        <x:v>相关诊断权重0。</x:v>
      </x:c>
    </x:row>
    <x:row r="28" ht="34" customHeight="1">
      <x:c r="A28" s="19" t="str">
        <x:v>C23_HINGE_DD</x:v>
      </x:c>
      <x:c r="B28" s="19" t="str">
        <x:v>中间中值双差回勾</x:v>
      </x:c>
      <x:c r="C28" s="262" t="n">
        <x:v>0</x:v>
      </x:c>
      <x:c r="D28" s="133" t="n">
        <x:f>('28_四桥残差'!T8-'28_四桥残差'!T7)-'12_价差总览'!J11</x:f>
        <x:v>-1.8189894035458565e-12</x:v>
      </x:c>
      <x:c r="E28" s="62" t="n">
        <x:v>0.01</x:v>
      </x:c>
      <x:c r="F28" s="19" t="str">
        <x:f>IF(ABS(D28-C28)&lt;=E28,"PASS","FAIL")</x:f>
        <x:v>PASS</x:v>
      </x:c>
      <x:c r="G28" s="19" t="str">
        <x:v>共同BOM中值相同。</x:v>
      </x:c>
    </x:row>
    <x:row r="29" ht="34" customHeight="1">
      <x:c r="A29" s="220" t="str">
        <x:v>C24_ANCHOR_NONCONST</x:v>
      </x:c>
      <x:c r="B29" s="220" t="str">
        <x:v>强锚残差差大于5000</x:v>
      </x:c>
      <x:c r="C29" s="262" t="n">
        <x:v>1</x:v>
      </x:c>
      <x:c r="D29" s="263" t="n">
        <x:f>IF(ABS('29_交叉验证'!B10)&gt;5000,1,0)</x:f>
        <x:v>1</x:v>
      </x:c>
      <x:c r="E29" s="231" t="n">
        <x:v>0</x:v>
      </x:c>
      <x:c r="F29" s="220" t="str">
        <x:f>IF(ABS(D29-C29)&lt;=E29,"PASS","FAIL")</x:f>
        <x:v>PASS</x:v>
      </x:c>
      <x:c r="G29" s="220" t="str">
        <x:v>价差不是固定常数。</x:v>
      </x:c>
    </x:row>
    <x:row r="30" ht="34" customHeight="1">
      <x:c r="A30" s="19" t="str">
        <x:v>C25_UNKNOWN_VISIBLE</x:v>
      </x:c>
      <x:c r="B30" s="19" t="str">
        <x:v>每桥已知未估项最小数</x:v>
      </x:c>
      <x:c r="C30" s="262" t="n">
        <x:v>1</x:v>
      </x:c>
      <x:c r="D30" s="133" t="n">
        <x:f>MIN('28_四桥残差'!$Y$6:$Y$9)</x:f>
        <x:v>1</x:v>
      </x:c>
      <x:c r="E30" s="62" t="n">
        <x:v>0</x:v>
      </x:c>
      <x:c r="F30" s="19" t="str">
        <x:f>IF(ABS(D30-C30)&lt;=E30,"PASS","FAIL")</x:f>
        <x:v>PASS</x:v>
      </x:c>
      <x:c r="G30" s="19" t="str">
        <x:v>不得用0替代。</x:v>
      </x:c>
    </x:row>
    <x:row r="31" ht="34" customHeight="1">
      <x:c r="A31" s="220" t="str">
        <x:v>C26_PROVISIONAL</x:v>
      </x:c>
      <x:c r="B31" s="220" t="str">
        <x:v>PROVISIONAL状态数</x:v>
      </x:c>
      <x:c r="C31" s="262" t="n">
        <x:v>4</x:v>
      </x:c>
      <x:c r="D31" s="263" t="n">
        <x:f>IF(LEFT('28_四桥残差'!Z6,11)="PROVISIONAL",1,0)+IF(LEFT('28_四桥残差'!Z7,11)="PROVISIONAL",1,0)+IF(LEFT('28_四桥残差'!Z8,11)="PROVISIONAL",1,0)+IF(LEFT('28_四桥残差'!Z9,11)="PROVISIONAL",1,0)</x:f>
        <x:v>4</x:v>
      </x:c>
      <x:c r="E31" s="231" t="n">
        <x:v>0</x:v>
      </x:c>
      <x:c r="F31" s="220" t="str">
        <x:f>IF(ABS(D31-C31)&lt;=E31,"PASS","FAIL")</x:f>
        <x:v>PASS</x:v>
      </x:c>
      <x:c r="G31" s="220" t="str">
        <x:v>全部保留证据边界。</x:v>
      </x:c>
    </x:row>
    <x:row r="32" ht="34" customHeight="1">
      <x:c r="A32" s="19" t="str">
        <x:v>C27_BASE_LOW</x:v>
      </x:c>
      <x:c r="B32" s="19" t="str">
        <x:v>基础物料代理Low</x:v>
      </x:c>
      <x:c r="C32" s="262" t="n">
        <x:v>1291.5</x:v>
      </x:c>
      <x:c r="D32" s="133" t="n">
        <x:f>'25_BOM假设'!D27</x:f>
        <x:v>1291.5</x:v>
      </x:c>
      <x:c r="E32" s="62" t="n">
        <x:v>0.01</x:v>
      </x:c>
      <x:c r="F32" s="19" t="str">
        <x:f>IF(ABS(D32-C32)&lt;=E32,"PASS","FAIL")</x:f>
        <x:v>PASS</x:v>
      </x:c>
      <x:c r="G32" s="19" t="str">
        <x:v>独立公式量级。</x:v>
      </x:c>
    </x:row>
    <x:row r="33" ht="34" customHeight="1">
      <x:c r="A33" s="220" t="str">
        <x:v>C28_BASE_MID</x:v>
      </x:c>
      <x:c r="B33" s="220" t="str">
        <x:v>基础物料代理Mid</x:v>
      </x:c>
      <x:c r="C33" s="262" t="n">
        <x:v>2422.1945</x:v>
      </x:c>
      <x:c r="D33" s="263" t="n">
        <x:f>'25_BOM假设'!E27</x:f>
        <x:v>2422.1944999999996</x:v>
      </x:c>
      <x:c r="E33" s="231" t="n">
        <x:v>0.01</x:v>
      </x:c>
      <x:c r="F33" s="220" t="str">
        <x:f>IF(ABS(D33-C33)&lt;=E33,"PASS","FAIL")</x:f>
        <x:v>PASS</x:v>
      </x:c>
      <x:c r="G33" s="220" t="str">
        <x:v>独立公式量级。</x:v>
      </x:c>
    </x:row>
    <x:row r="34" ht="34" customHeight="1">
      <x:c r="A34" s="19" t="str">
        <x:v>C29_BASE_HIGH</x:v>
      </x:c>
      <x:c r="B34" s="19" t="str">
        <x:v>基础物料代理High</x:v>
      </x:c>
      <x:c r="C34" s="262" t="n">
        <x:v>4811.625</x:v>
      </x:c>
      <x:c r="D34" s="133" t="n">
        <x:f>'25_BOM假设'!F27</x:f>
        <x:v>4811.625</x:v>
      </x:c>
      <x:c r="E34" s="62" t="n">
        <x:v>0.01</x:v>
      </x:c>
      <x:c r="F34" s="19" t="str">
        <x:f>IF(ABS(D34-C34)&lt;=E34,"PASS","FAIL")</x:f>
        <x:v>PASS</x:v>
      </x:c>
      <x:c r="G34" s="19" t="str">
        <x:v>独立公式量级。</x:v>
      </x:c>
    </x:row>
    <x:row r="35" ht="34" customHeight="1">
      <x:c r="A35" s="220" t="str">
        <x:v>C30_HYPER_LOW</x:v>
      </x:c>
      <x:c r="B35" s="220" t="str">
        <x:v>HyperVision Low</x:v>
      </x:c>
      <x:c r="C35" s="262" t="n">
        <x:v>1100</x:v>
      </x:c>
      <x:c r="D35" s="263" t="n">
        <x:f>'25_BOM假设'!D29</x:f>
        <x:v>1100</x:v>
      </x:c>
      <x:c r="E35" s="231" t="n">
        <x:v>0.01</x:v>
      </x:c>
      <x:c r="F35" s="220" t="str">
        <x:f>IF(ABS(D35-C35)&lt;=E35,"PASS","FAIL")</x:f>
        <x:v>PASS</x:v>
      </x:c>
      <x:c r="G35" s="220" t="str">
        <x:v>550×2。</x:v>
      </x:c>
    </x:row>
    <x:row r="36" ht="34" customHeight="1">
      <x:c r="A36" s="19" t="str">
        <x:v>C31_HYPER_MID</x:v>
      </x:c>
      <x:c r="B36" s="19" t="str">
        <x:v>HyperVision Mid</x:v>
      </x:c>
      <x:c r="C36" s="262" t="n">
        <x:v>1750</x:v>
      </x:c>
      <x:c r="D36" s="133" t="n">
        <x:f>'25_BOM假设'!E29</x:f>
        <x:v>1750</x:v>
      </x:c>
      <x:c r="E36" s="62" t="n">
        <x:v>0.01</x:v>
      </x:c>
      <x:c r="F36" s="19" t="str">
        <x:f>IF(ABS(D36-C36)&lt;=E36,"PASS","FAIL")</x:f>
        <x:v>PASS</x:v>
      </x:c>
      <x:c r="G36" s="19" t="str">
        <x:v>700×2.5。</x:v>
      </x:c>
    </x:row>
    <x:row r="37" ht="34" customHeight="1">
      <x:c r="A37" s="220" t="str">
        <x:v>C32_HYPER_HIGH</x:v>
      </x:c>
      <x:c r="B37" s="220" t="str">
        <x:v>HyperVision High</x:v>
      </x:c>
      <x:c r="C37" s="262" t="n">
        <x:v>2850</x:v>
      </x:c>
      <x:c r="D37" s="263" t="n">
        <x:f>'25_BOM假设'!F29</x:f>
        <x:v>2850</x:v>
      </x:c>
      <x:c r="E37" s="231" t="n">
        <x:v>0.01</x:v>
      </x:c>
      <x:c r="F37" s="220" t="str">
        <x:f>IF(ABS(D37-C37)&lt;=E37,"PASS","FAIL")</x:f>
        <x:v>PASS</x:v>
      </x:c>
      <x:c r="G37" s="220" t="str">
        <x:v>950×3。</x:v>
      </x:c>
    </x:row>
    <x:row r="38" ht="34" customHeight="1">
      <x:c r="A38" s="19" t="str">
        <x:v>C33_AIRBAG_SIGN</x:v>
      </x:c>
      <x:c r="B38" s="19" t="str">
        <x:v>气囊成本中值为负</x:v>
      </x:c>
      <x:c r="C38" s="262" t="n">
        <x:v>1</x:v>
      </x:c>
      <x:c r="D38" s="133" t="n">
        <x:f>IF(SUMIFS('26_驱动矩阵'!$M$6:$M$25,'26_驱动矩阵'!$A$6:$A$25,"P23A-STD",'26_驱动矩阵'!$C$6:$C$25,"B23_AIRBAG_UNIT")&lt;0,1,0)</x:f>
        <x:v>1</x:v>
      </x:c>
      <x:c r="E38" s="62" t="n">
        <x:v>0</x:v>
      </x:c>
      <x:c r="F38" s="19" t="str">
        <x:f>IF(ABS(D38-C38)&lt;=E38,"PASS","FAIL")</x:f>
        <x:v>PASS</x:v>
      </x:c>
      <x:c r="G38" s="19" t="str">
        <x:v>YU7少2个。</x:v>
      </x:c>
    </x:row>
    <x:row r="39" ht="34" customHeight="1">
      <x:c r="A39" s="220" t="str">
        <x:v>C34_COMMON_BOM</x:v>
      </x:c>
      <x:c r="B39" s="220" t="str">
        <x:v>四桥BOM中值最大差</x:v>
      </x:c>
      <x:c r="C39" s="262" t="n">
        <x:v>0</x:v>
      </x:c>
      <x:c r="D39" s="263" t="n">
        <x:f>MAX('27_BOM汇总'!$P$6:$P$9)-MIN('27_BOM汇总'!$P$6:$P$9)</x:f>
        <x:v>0</x:v>
      </x:c>
      <x:c r="E39" s="231" t="n">
        <x:v>0.01</x:v>
      </x:c>
      <x:c r="F39" s="220" t="str">
        <x:f>IF(ABS(D39-C39)&lt;=E39,"PASS","FAIL")</x:f>
        <x:v>PASS</x:v>
      </x:c>
      <x:c r="G39" s="220" t="str">
        <x:v>共同成本包保持一致。</x:v>
      </x:c>
    </x:row>
    <x:row r="40" ht="34" customHeight="1">
      <x:c r="A40" s="19" t="str">
        <x:v>C35_RAW_ANCHOR_GAP</x:v>
      </x:c>
      <x:c r="B40" s="19" t="str">
        <x:v>2.3A强锚未分配差</x:v>
      </x:c>
      <x:c r="C40" s="262" t="n">
        <x:v>11387.4513274336</x:v>
      </x:c>
      <x:c r="D40" s="133" t="n">
        <x:f>'29_交叉验证'!B8</x:f>
        <x:v>11387.449999999999</x:v>
      </x:c>
      <x:c r="E40" s="62" t="n">
        <x:v>0.01</x:v>
      </x:c>
      <x:c r="F40" s="19" t="str">
        <x:f>IF(ABS(D40-C40)&lt;=E40,"PASS","FAIL")</x:f>
        <x:v>PASS</x:v>
      </x:c>
      <x:c r="G40" s="19" t="str">
        <x:v>不能回填BOM。</x:v>
      </x:c>
    </x:row>
  </x:sheetData>
  <x:mergeCells>
    <x:mergeCell ref="A1:G1"/>
    <x:mergeCell ref="A2:G2"/>
    <x:mergeCell ref="A3:G3"/>
  </x:mergeCells>
  <x:conditionalFormatting sqref="F6:F40">
    <x:cfRule type="containsText" dxfId="206" priority="1" operator="containsText" text="PASS"/>
    <x:cfRule type="containsText" dxfId="207" priority="2" operator="containsText" text="READY"/>
    <x:cfRule type="containsText" dxfId="208" priority="3" operator="containsText" text="POSITIVE"/>
    <x:cfRule type="containsText" dxfId="209" priority="4" operator="containsText" text="CROSSES_ZERO"/>
    <x:cfRule type="containsText" dxfId="210" priority="5" operator="containsText" text="COMPATIBLE"/>
    <x:cfRule type="containsText" dxfId="211" priority="6" operator="containsText" text="NEGATIVE"/>
    <x:cfRule type="containsText" dxfId="212" priority="7" operator="containsText" text="REVIEW"/>
    <x:cfRule type="containsText" dxfId="213" priority="8" operator="containsText" text="FAIL"/>
    <x:cfRule type="containsText" dxfId="214" priority="9" operator="containsText" text="PROVISIONAL"/>
  </x:conditionalFormatting>
  <x:pageMargins left="0.7" right="0.7" top="0.75" bottom="0.75" header="0.3" footer="0.3"/>
</x:worksheet>
</file>

<file path=xl/worksheets/sheet3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4" hidden="0" customWidth="1"/>
    <x:col min="3" max="3" width="34" hidden="0" customWidth="1"/>
    <x:col min="4" max="4" width="58" hidden="0" customWidth="1"/>
    <x:col min="5" max="5" width="3" hidden="0" customWidth="1"/>
    <x:col min="6" max="6" width="24" hidden="0" customWidth="1"/>
    <x:col min="7" max="7" width="27" hidden="0" customWidth="1"/>
    <x:col min="8" max="8" width="24" hidden="0" customWidth="1"/>
    <x:col min="9" max="9" width="25" hidden="0" customWidth="1"/>
    <x:col min="10" max="10" width="48" hidden="0" customWidth="1"/>
    <x:col min="11" max="11" width="3" hidden="0" customWidth="1"/>
    <x:col min="12" max="12" width="12" hidden="0" customWidth="1"/>
    <x:col min="13" max="13" width="12" hidden="0" customWidth="1"/>
    <x:col min="14" max="14" width="12" hidden="0" customWidth="1"/>
    <x:col min="15" max="15" width="12" hidden="0" customWidth="1"/>
    <x:col min="16" max="16" width="12" hidden="0" customWidth="1"/>
  </x:cols>
  <x:sheetData>
    <x:row r="1" ht="30" customHeight="1">
      <x:c r="A1" s="266" t="str">
        <x:v>31｜Phase 2.3C 价值捕获与版本定位口径</x:v>
      </x:c>
      <x:c r="B1" s="266"/>
      <x:c r="C1" s="266"/>
      <x:c r="D1" s="266"/>
      <x:c r="E1" s="266"/>
      <x:c r="F1" s="266"/>
      <x:c r="G1" s="266"/>
      <x:c r="H1" s="266"/>
      <x:c r="I1" s="266"/>
      <x:c r="J1" s="266"/>
      <x:c r="K1" s="266"/>
      <x:c r="L1" s="266"/>
      <x:c r="M1" s="266"/>
      <x:c r="N1" s="266"/>
      <x:c r="O1" s="266"/>
      <x:c r="P1" s="266"/>
    </x:row>
    <x:row r="2" ht="22" customHeight="1">
      <x:c r="A2" s="269" t="str">
        <x:v>未税元/车｜普通硬件传导、版本门槛、车身×层级交互与特殊机制分层</x:v>
      </x:c>
      <x:c r="B2" s="269"/>
      <x:c r="C2" s="269"/>
      <x:c r="D2" s="269"/>
      <x:c r="E2" s="269"/>
      <x:c r="F2" s="269"/>
      <x:c r="G2" s="269"/>
      <x:c r="H2" s="269"/>
      <x:c r="I2" s="269"/>
      <x:c r="J2" s="269"/>
      <x:c r="K2" s="269"/>
      <x:c r="L2" s="269"/>
      <x:c r="M2" s="269"/>
      <x:c r="N2" s="269"/>
      <x:c r="O2" s="269"/>
      <x:c r="P2" s="269"/>
    </x:row>
    <x:row r="3" ht="44" customHeight="1">
      <x:c r="A3" s="273" t="str">
        <x:v>售价只能识别组合关系：不得把综合传导系数拆成电池/电驱/底盘各自系数；不得把跨车系残差直接命名为空间价值、SUV溢价或利润。</x:v>
      </x:c>
      <x:c r="B3" s="273"/>
      <x:c r="C3" s="273"/>
      <x:c r="D3" s="273"/>
      <x:c r="E3" s="273"/>
      <x:c r="F3" s="273"/>
      <x:c r="G3" s="273"/>
      <x:c r="H3" s="273"/>
      <x:c r="I3" s="273"/>
      <x:c r="J3" s="273"/>
      <x:c r="K3" s="273"/>
      <x:c r="L3" s="273"/>
      <x:c r="M3" s="273"/>
      <x:c r="N3" s="273"/>
      <x:c r="O3" s="273"/>
      <x:c r="P3" s="273"/>
    </x:row>
    <x:row r="5" ht="40" customHeight="1">
      <x:c r="A5" s="278" t="str">
        <x:v>模型对象</x:v>
      </x:c>
      <x:c r="B5" s="278" t="str">
        <x:v>符号</x:v>
      </x:c>
      <x:c r="C5" s="278" t="str">
        <x:v>本阶段取值</x:v>
      </x:c>
      <x:c r="D5" s="278" t="str">
        <x:v>解释</x:v>
      </x:c>
      <x:c r="F5" s="278" t="str">
        <x:v>参数块</x:v>
      </x:c>
      <x:c r="G5" s="278" t="str">
        <x:v>可用独立变化</x:v>
      </x:c>
      <x:c r="H5" s="278" t="str">
        <x:v>识别状态</x:v>
      </x:c>
      <x:c r="I5" s="278" t="str">
        <x:v>本阶段输出</x:v>
      </x:c>
      <x:c r="J5" s="278" t="str">
        <x:v>边界</x:v>
      </x:c>
    </x:row>
    <x:row r="6" ht="43" customHeight="1">
      <x:c r="A6" s="19" t="str">
        <x:v>未税相邻售价差</x:v>
      </x:c>
      <x:c r="B6" s="19" t="str">
        <x:v>ΔP</x:v>
      </x:c>
      <x:c r="C6" s="19" t="str">
        <x:v>04_售价成本校准｜G7:G11</x:v>
      </x:c>
      <x:c r="D6" s="19" t="str">
        <x:v>统一排除限时权益与付费选装。</x:v>
      </x:c>
      <x:c r="F6" s="19" t="str">
        <x:v>综合变量成本κ</x:v>
      </x:c>
      <x:c r="G6" s="19" t="str">
        <x:v>4条普通桥</x:v>
      </x:c>
      <x:c r="H6" s="19" t="str">
        <x:v>PROVISIONAL_IDENTIFIED</x:v>
      </x:c>
      <x:c r="I6" s="19" t="str">
        <x:v>中位＋经验包络</x:v>
      </x:c>
      <x:c r="J6" s="19" t="str">
        <x:v>n=4，成本输入仍是工程估计。</x:v>
      </x:c>
    </x:row>
    <x:row r="7" ht="43" customHeight="1">
      <x:c r="A7" s="279" t="str">
        <x:v>已识别增量变量成本</x:v>
      </x:c>
      <x:c r="B7" s="279" t="str">
        <x:v>ΔC</x:v>
      </x:c>
      <x:c r="C7" s="279" t="str">
        <x:v>04_售价成本校准｜K:M</x:v>
      </x:c>
      <x:c r="D7" s="279" t="str">
        <x:v>含物理BOM、M09制造覆盖和M10质保覆盖；只乘增量，不乘整车BOM。</x:v>
      </x:c>
      <x:c r="E7" s="280"/>
      <x:c r="F7" s="279" t="str">
        <x:v>电池κ</x:v>
      </x:c>
      <x:c r="G7" s="279" t="str">
        <x:v>与CDC/底盘/版本共变</x:v>
      </x:c>
      <x:c r="H7" s="279" t="str">
        <x:v>NOT_IDENTIFIED</x:v>
      </x:c>
      <x:c r="I7" s="279" t="str">
        <x:v>不输出</x:v>
      </x:c>
      <x:c r="J7" s="279" t="str">
        <x:v>不能把SU7标准→Pro当纯电池实验。</x:v>
      </x:c>
    </x:row>
    <x:row r="8" ht="43" customHeight="1">
      <x:c r="A8" s="19" t="str">
        <x:v>综合硬件传导</x:v>
      </x:c>
      <x:c r="B8" s="19" t="str">
        <x:v>κ_hw×ΔC</x:v>
      </x:c>
      <x:c r="C8" s="19" t="str">
        <x:v>4条CALIBRATED_SIGNAL</x:v>
      </x:c>
      <x:c r="D8" s="19" t="str">
        <x:v>κ是价格/估计变量成本比，不是毛利率，也不是单模块加价率。</x:v>
      </x:c>
      <x:c r="F8" s="19" t="str">
        <x:v>电驱κ</x:v>
      </x:c>
      <x:c r="G8" s="19" t="str">
        <x:v>与空悬/制动/高配共变</x:v>
      </x:c>
      <x:c r="H8" s="19" t="str">
        <x:v>NOT_IDENTIFIED</x:v>
      </x:c>
      <x:c r="I8" s="19" t="str">
        <x:v>不输出</x:v>
      </x:c>
      <x:c r="J8" s="19" t="str">
        <x:v>LR→Pro是门槛样本，不是纯电驱样本。</x:v>
      </x:c>
    </x:row>
    <x:row r="9" ht="43" customHeight="1">
      <x:c r="A9" s="279" t="str">
        <x:v>版本门槛</x:v>
      </x:c>
      <x:c r="B9" s="279" t="str">
        <x:v>G_ladder</x:v>
      </x:c>
      <x:c r="C9" s="279" t="str">
        <x:v>YU7长续航→Pro单样本</x:v>
      </x:c>
      <x:c r="D9" s="279" t="str">
        <x:v>仅在功能结构相似且普通硬件仍不足以解释版本角色时启用。</x:v>
      </x:c>
      <x:c r="E9" s="280"/>
      <x:c r="F9" s="279" t="str">
        <x:v>底盘κ</x:v>
      </x:c>
      <x:c r="G9" s="279" t="str">
        <x:v>与电池或电驱共变</x:v>
      </x:c>
      <x:c r="H9" s="279" t="str">
        <x:v>NOT_IDENTIFIED</x:v>
      </x:c>
      <x:c r="I9" s="279" t="str">
        <x:v>不输出</x:v>
      </x:c>
      <x:c r="J9" s="279" t="str">
        <x:v>缺少同车同三电只换底盘的公开价格。</x:v>
      </x:c>
    </x:row>
    <x:row r="10" ht="43" customHeight="1">
      <x:c r="A10" s="19" t="str">
        <x:v>车身×层级交互</x:v>
      </x:c>
      <x:c r="B10" s="19" t="str">
        <x:v>X_body×tier</x:v>
      </x:c>
      <x:c r="C10" s="19" t="str">
        <x:v>2.3B两端强锚＋相关铰链</x:v>
      </x:c>
      <x:c r="D10" s="19" t="str">
        <x:v>只作跨车身桥诊断；不能作为固定跨车系常数。</x:v>
      </x:c>
      <x:c r="F10" s="19" t="str">
        <x:v>舒适/碳纤维κ</x:v>
      </x:c>
      <x:c r="G10" s="19" t="str">
        <x:v>Max配置仍有未估项</x:v>
      </x:c>
      <x:c r="H10" s="19" t="str">
        <x:v>NOT_IDENTIFIED</x:v>
      </x:c>
      <x:c r="I10" s="19" t="str">
        <x:v>不输出</x:v>
      </x:c>
      <x:c r="J10" s="19" t="str">
        <x:v>选装、标配和未估项边界尚未闭合。</x:v>
      </x:c>
    </x:row>
    <x:row r="11" ht="43" customHeight="1">
      <x:c r="A11" s="279" t="str">
        <x:v>特殊机制</x:v>
      </x:c>
      <x:c r="B11" s="279" t="str">
        <x:v>S_special</x:v>
      </x:c>
      <x:c r="C11" s="279" t="str">
        <x:v>当前未识别</x:v>
      </x:c>
      <x:c r="D11" s="279" t="str">
        <x:v>升顶机构、认证、低产量摊销等须在Phase3另做bottom-up。</x:v>
      </x:c>
      <x:c r="E11" s="280"/>
      <x:c r="F11" s="279" t="str">
        <x:v>Pro门槛G</x:v>
      </x:c>
      <x:c r="G11" s="279" t="str">
        <x:v>1条单样本</x:v>
      </x:c>
      <x:c r="H11" s="279" t="str">
        <x:v>PROVISIONAL_GATE</x:v>
      </x:c>
      <x:c r="I11" s="279" t="str">
        <x:v>条件式区间</x:v>
      </x:c>
      <x:c r="J11" s="279" t="str">
        <x:v>不能因版本名称自动套用。</x:v>
      </x:c>
    </x:row>
    <x:row r="12" ht="43" customHeight="1">
      <x:c r="A12" s="19" t="str">
        <x:v>校准误差</x:v>
      </x:c>
      <x:c r="B12" s="19" t="str">
        <x:v>ε</x:v>
      </x:c>
      <x:c r="C12" s="19" t="str">
        <x:v>普通桥中心残差散布</x:v>
      </x:c>
      <x:c r="D12" s="19" t="str">
        <x:v>与κ经验包络是两种替代不确定性表达，禁止同时叠加。</x:v>
      </x:c>
      <x:c r="F12" s="19" t="str">
        <x:v>通用Max收口G</x:v>
      </x:c>
      <x:c r="G12" s="19" t="str">
        <x:v>2条Pro→Max普通桥</x:v>
      </x:c>
      <x:c r="H12" s="19" t="str">
        <x:v>CENTER_ZERO</x:v>
      </x:c>
      <x:c r="I12" s="19" t="str">
        <x:v>默认0</x:v>
      </x:c>
      <x:c r="J12" s="19" t="str">
        <x:v>两条中心残差分居0两侧；无固定Max额外项证据。</x:v>
      </x:c>
    </x:row>
    <x:row r="15" ht="24" customHeight="1">
      <x:c r="A15" s="283" t="str">
        <x:v>核心方程与八条硬规则</x:v>
      </x:c>
      <x:c r="B15" s="283"/>
      <x:c r="C15" s="283"/>
      <x:c r="D15" s="283"/>
      <x:c r="E15" s="283"/>
      <x:c r="F15" s="283"/>
      <x:c r="G15" s="283"/>
      <x:c r="H15" s="283"/>
      <x:c r="I15" s="283"/>
      <x:c r="J15" s="283"/>
      <x:c r="K15" s="283"/>
      <x:c r="L15" s="283"/>
      <x:c r="M15" s="283"/>
      <x:c r="N15" s="283"/>
      <x:c r="O15" s="283"/>
      <x:c r="P15" s="283"/>
    </x:row>
    <x:row r="16">
      <x:c r="A16" s="288" t="str">
        <x:v>ΔP_exVAT = κ_hw × ΔC_identified + G_ladder + X_body×tier + S_special + ε；最终消费者含税价差 = ΔP_exVAT × (1 + VAT)。</x:v>
      </x:c>
      <x:c r="B16" s="288"/>
      <x:c r="C16" s="288"/>
      <x:c r="D16" s="288"/>
      <x:c r="E16" s="288"/>
      <x:c r="F16" s="288"/>
      <x:c r="G16" s="288"/>
      <x:c r="H16" s="288"/>
      <x:c r="I16" s="288"/>
      <x:c r="J16" s="288"/>
      <x:c r="K16" s="288"/>
      <x:c r="L16" s="288"/>
      <x:c r="M16" s="288"/>
      <x:c r="N16" s="288"/>
      <x:c r="O16" s="288"/>
      <x:c r="P16" s="288"/>
    </x:row>
    <x:row r="17">
      <x:c r="A17" s="288"/>
      <x:c r="B17" s="288"/>
      <x:c r="C17" s="288"/>
      <x:c r="D17" s="288"/>
      <x:c r="E17" s="288"/>
      <x:c r="F17" s="288"/>
      <x:c r="G17" s="288"/>
      <x:c r="H17" s="288"/>
      <x:c r="I17" s="288"/>
      <x:c r="J17" s="288"/>
      <x:c r="K17" s="288"/>
      <x:c r="L17" s="288"/>
      <x:c r="M17" s="288"/>
      <x:c r="N17" s="288"/>
      <x:c r="O17" s="288"/>
      <x:c r="P17" s="288"/>
    </x:row>
    <x:row r="19" ht="40" customHeight="1">
      <x:c r="A19" s="278" t="str">
        <x:v>rule_id</x:v>
      </x:c>
      <x:c r="B19" s="278" t="str">
        <x:v>规则</x:v>
      </x:c>
      <x:c r="C19" s="278" t="str">
        <x:v>必须做</x:v>
      </x:c>
      <x:c r="D19" s="278" t="str">
        <x:v>禁止做</x:v>
      </x:c>
      <x:c r="F19" s="278" t="str">
        <x:v>source_id</x:v>
      </x:c>
      <x:c r="G19" s="278" t="str">
        <x:v>工作簿接口</x:v>
      </x:c>
      <x:c r="H19" s="278" t="str">
        <x:v>用途</x:v>
      </x:c>
      <x:c r="I19" s="278" t="str">
        <x:v>新外部输入</x:v>
      </x:c>
      <x:c r="J19" s="278" t="str">
        <x:v>边界</x:v>
      </x:c>
    </x:row>
    <x:row r="20" ht="43" customHeight="1">
      <x:c r="A20" s="290" t="str">
        <x:v>G23C-01</x:v>
      </x:c>
      <x:c r="B20" s="19" t="str">
        <x:v>κ只乘已识别增量变量成本</x:v>
      </x:c>
      <x:c r="C20" s="19" t="str">
        <x:v>保留成本Low/Mid/High</x:v>
      </x:c>
      <x:c r="D20" s="19" t="str">
        <x:v>乘整车BOM或固定成本</x:v>
      </x:c>
      <x:c r="F20" s="19" t="str">
        <x:v>SRC23C-01</x:v>
      </x:c>
      <x:c r="G20" s="19" t="str">
        <x:v>04_售价成本校准｜A6:V11</x:v>
      </x:c>
      <x:c r="H20" s="19" t="str">
        <x:v>五桥价格、成本、信号</x:v>
      </x:c>
      <x:c r="I20" s="106" t="n">
        <x:v>0</x:v>
      </x:c>
      <x:c r="J20" s="19" t="str">
        <x:v>继承2.1C/2.2，不改成本。</x:v>
      </x:c>
    </x:row>
    <x:row r="21" ht="43" customHeight="1">
      <x:c r="A21" s="291" t="str">
        <x:v>G23C-02</x:v>
      </x:c>
      <x:c r="B21" s="279" t="str">
        <x:v>普通桥与门槛桥分样本</x:v>
      </x:c>
      <x:c r="C21" s="279" t="str">
        <x:v>LR→Pro从κ样本剔除</x:v>
      </x:c>
      <x:c r="D21" s="279" t="str">
        <x:v>用2.15x抬高统一κ</x:v>
      </x:c>
      <x:c r="E21" s="280"/>
      <x:c r="F21" s="279" t="str">
        <x:v>SRC23C-02</x:v>
      </x:c>
      <x:c r="G21" s="279" t="str">
        <x:v>12_价差总览｜A7:P12</x:v>
      </x:c>
      <x:c r="H21" s="279" t="str">
        <x:v>残余与版本梯度回勾</x:v>
      </x:c>
      <x:c r="I21" s="292" t="n">
        <x:v>0</x:v>
      </x:c>
      <x:c r="J21" s="279" t="str">
        <x:v>Low/High是成本情景，不是残余顺序。</x:v>
      </x:c>
    </x:row>
    <x:row r="22" ht="43" customHeight="1">
      <x:c r="A22" s="290" t="str">
        <x:v>G23C-03</x:v>
      </x:c>
      <x:c r="B22" s="19" t="str">
        <x:v>模块系数保持不可识别</x:v>
      </x:c>
      <x:c r="C22" s="19" t="str">
        <x:v>只输出综合κ</x:v>
      </x:c>
      <x:c r="D22" s="19" t="str">
        <x:v>凭共线桥拆电池/电驱/底盘κ</x:v>
      </x:c>
      <x:c r="F22" s="19" t="str">
        <x:v>SRC23C-03</x:v>
      </x:c>
      <x:c r="G22" s="19" t="str">
        <x:v>20_已知差异桥｜A20:R24</x:v>
      </x:c>
      <x:c r="H22" s="19" t="str">
        <x:v>跨车系已知差异</x:v>
      </x:c>
      <x:c r="I22" s="106" t="n">
        <x:v>0</x:v>
      </x:c>
      <x:c r="J22" s="19" t="str">
        <x:v>U_L/M/H可能不单调。</x:v>
      </x:c>
    </x:row>
    <x:row r="23" ht="43" customHeight="1">
      <x:c r="A23" s="291" t="str">
        <x:v>G23C-04</x:v>
      </x:c>
      <x:c r="B23" s="279" t="str">
        <x:v>不确定性方法二选一</x:v>
      </x:c>
      <x:c r="C23" s="279" t="str">
        <x:v>κ包络或中心κ＋ε散布</x:v>
      </x:c>
      <x:c r="D23" s="279" t="str">
        <x:v>κ包络再叠加ε散布</x:v>
      </x:c>
      <x:c r="E23" s="280"/>
      <x:c r="F23" s="279" t="str">
        <x:v>SRC23C-04</x:v>
      </x:c>
      <x:c r="G23" s="279" t="str">
        <x:v>28_四桥残差｜A5:AB9</x:v>
      </x:c>
      <x:c r="H23" s="279" t="str">
        <x:v>严格残差区间</x:v>
      </x:c>
      <x:c r="I23" s="292" t="n">
        <x:v>0</x:v>
      </x:c>
      <x:c r="J23" s="279" t="str">
        <x:v>3×3九组合；未估项保持开放。</x:v>
      </x:c>
    </x:row>
    <x:row r="24" ht="43" customHeight="1">
      <x:c r="A24" s="290" t="str">
        <x:v>G23C-05</x:v>
      </x:c>
      <x:c r="B24" s="19" t="str">
        <x:v>Pro门槛按功能触发</x:v>
      </x:c>
      <x:c r="C24" s="19" t="str">
        <x:v>同核心三电上形成明显产品层级</x:v>
      </x:c>
      <x:c r="D24" s="19" t="str">
        <x:v>看见Pro/Max名称自动加价</x:v>
      </x:c>
      <x:c r="F24" s="19" t="str">
        <x:v>SRC23C-05</x:v>
      </x:c>
      <x:c r="G24" s="19" t="str">
        <x:v>29_交叉验证｜A5:P19</x:v>
      </x:c>
      <x:c r="H24" s="19" t="str">
        <x:v>强锚差与相关双差</x:v>
      </x:c>
      <x:c r="I24" s="106" t="n">
        <x:v>0</x:v>
      </x:c>
      <x:c r="J24" s="19" t="str">
        <x:v>B14/B15为恒等式，权重0。</x:v>
      </x:c>
    </x:row>
    <x:row r="25" ht="43" customHeight="1">
      <x:c r="A25" s="290" t="str">
        <x:v>G23C-06</x:v>
      </x:c>
      <x:c r="B25" s="279" t="str">
        <x:v>跨车系表示二选一</x:v>
      </x:c>
      <x:c r="C25" s="279" t="str">
        <x:v>完整tier残差或基线＋交互</x:v>
      </x:c>
      <x:c r="D25" s="279" t="str">
        <x:v>两种表示同时相加</x:v>
      </x:c>
    </x:row>
    <x:row r="26" ht="43" customHeight="1">
      <x:c r="A26" s="290" t="str">
        <x:v>G23C-07</x:v>
      </x:c>
      <x:c r="B26" s="19" t="str">
        <x:v>Max交互只作验证</x:v>
      </x:c>
      <x:c r="C26" s="19" t="str">
        <x:v>默认加法权重0</x:v>
      </x:c>
      <x:c r="D26" s="19" t="str">
        <x:v>把1.14万元当Pro→Max额外项</x:v>
      </x:c>
      <x:c r="F26" s="296" t="str">
        <x:v>来源说明：Phase 2.3C没有新增外部事实输入；所有外部链接、官方证据与成本来源继续由继承工作簿的来源/证据页承载。本阶段只做公式化再分层。</x:v>
      </x:c>
      <x:c r="G26" s="296"/>
      <x:c r="H26" s="296"/>
      <x:c r="I26" s="296"/>
      <x:c r="J26" s="296"/>
    </x:row>
    <x:row r="27" ht="43" customHeight="1">
      <x:c r="A27" s="290" t="str">
        <x:v>G23C-08</x:v>
      </x:c>
      <x:c r="B27" s="279" t="str">
        <x:v>特殊机制另建bottom-up</x:v>
      </x:c>
      <x:c r="C27" s="279" t="str">
        <x:v>机构/认证/低产量单列</x:v>
      </x:c>
      <x:c r="D27" s="279" t="str">
        <x:v>塞入κ或普通版本门槛</x:v>
      </x:c>
      <x:c r="F27" s="296"/>
      <x:c r="G27" s="296"/>
      <x:c r="H27" s="296"/>
      <x:c r="I27" s="296"/>
      <x:c r="J27" s="296"/>
    </x:row>
    <x:row r="28">
      <x:c r="F28" s="296"/>
      <x:c r="G28" s="296"/>
      <x:c r="H28" s="296"/>
      <x:c r="I28" s="296"/>
      <x:c r="J28" s="296"/>
    </x:row>
  </x:sheetData>
  <x:mergeCells>
    <x:mergeCell ref="A1:P1"/>
    <x:mergeCell ref="A2:P2"/>
    <x:mergeCell ref="A3:P3"/>
    <x:mergeCell ref="A15:P15"/>
    <x:mergeCell ref="A16:P17"/>
    <x:mergeCell ref="F26:J28"/>
  </x:mergeCells>
  <x:conditionalFormatting sqref="H6:H12">
    <x:cfRule type="containsText" dxfId="224" priority="1" operator="containsText" text="PASS"/>
    <x:cfRule type="containsText" dxfId="225" priority="2" operator="containsText" text="READY"/>
    <x:cfRule type="containsText" dxfId="226" priority="3" operator="containsText" text="IDENTIFIED"/>
    <x:cfRule type="containsText" dxfId="227" priority="4" operator="containsText" text="CALIBRATION"/>
    <x:cfRule type="containsText" dxfId="228" priority="5" operator="containsText" text="CORROBORATIVE"/>
    <x:cfRule type="containsText" dxfId="229" priority="6" operator="containsText" text="REFERENCE"/>
    <x:cfRule type="containsText" dxfId="230" priority="7" operator="containsText" text="CROSSES_ZERO"/>
    <x:cfRule type="containsText" dxfId="231" priority="8" operator="containsText" text="PENDING"/>
    <x:cfRule type="containsText" dxfId="232" priority="9" operator="containsText" text="PROVISIONAL"/>
    <x:cfRule type="containsText" dxfId="233" priority="10" operator="containsText" text="GATE"/>
    <x:cfRule type="containsText" dxfId="234" priority="11" operator="containsText" text="NOT_IDENTIFIED"/>
    <x:cfRule type="containsText" dxfId="235" priority="12" operator="containsText" text="FAIL"/>
    <x:cfRule type="containsText" dxfId="236" priority="13" operator="containsText" text="DO_NOT_ADD"/>
    <x:cfRule type="containsText" dxfId="237" priority="14" operator="containsText" text="EXCLUDED"/>
  </x:conditionalFormatting>
  <x:pageMargins left="0.7" right="0.7" top="0.75" bottom="0.75" header="0.3" footer="0.3"/>
</x:worksheet>
</file>

<file path=xl/worksheets/sheet3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0" hidden="0" customWidth="1"/>
    <x:col min="3" max="3" width="34" hidden="0" customWidth="1"/>
    <x:col min="4" max="4" width="24" hidden="0" customWidth="1"/>
    <x:col min="5" max="5" width="21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3" hidden="0" customWidth="1"/>
    <x:col min="14" max="14" width="55" hidden="0" customWidth="1"/>
    <x:col min="15" max="15" width="3" hidden="0" customWidth="1"/>
    <x:col min="16" max="16" width="34" hidden="0" customWidth="1"/>
    <x:col min="17" max="17" width="16" hidden="0" customWidth="1"/>
    <x:col min="18" max="18" width="3" hidden="0" customWidth="1"/>
    <x:col min="19" max="19" width="12" hidden="0" customWidth="1"/>
    <x:col min="20" max="20" width="12" hidden="0" customWidth="1"/>
    <x:col min="21" max="21" width="12" hidden="0" customWidth="1"/>
    <x:col min="22" max="22" width="12" hidden="0" customWidth="1"/>
    <x:col min="23" max="23" width="12" hidden="0" customWidth="1"/>
    <x:col min="24" max="24" width="12" hidden="0" customWidth="1"/>
    <x:col min="25" max="25" width="12" hidden="0" customWidth="1"/>
    <x:col min="26" max="26" width="12" hidden="0" customWidth="1"/>
    <x:col min="27" max="27" width="12" hidden="0" customWidth="1"/>
    <x:col min="28" max="28" width="12" hidden="0" customWidth="1"/>
  </x:cols>
  <x:sheetData>
    <x:row r="1" ht="30" customHeight="1">
      <x:c r="A1" s="266" t="str">
        <x:v>32｜五桥综合硬件传导率</x:v>
      </x:c>
      <x:c r="B1" s="266"/>
      <x:c r="C1" s="266"/>
      <x:c r="D1" s="266"/>
      <x:c r="E1" s="266"/>
      <x:c r="F1" s="266"/>
      <x:c r="G1" s="266"/>
      <x:c r="H1" s="266"/>
      <x:c r="I1" s="266"/>
      <x:c r="J1" s="266"/>
      <x:c r="K1" s="266"/>
      <x:c r="L1" s="266"/>
      <x:c r="M1" s="266"/>
      <x:c r="N1" s="266"/>
      <x:c r="O1" s="266"/>
      <x:c r="P1" s="266"/>
      <x:c r="Q1" s="266"/>
      <x:c r="R1" s="266"/>
      <x:c r="S1" s="266"/>
      <x:c r="T1" s="266"/>
      <x:c r="U1" s="266"/>
      <x:c r="V1" s="266"/>
      <x:c r="W1" s="266"/>
      <x:c r="X1" s="266"/>
      <x:c r="Y1" s="266"/>
      <x:c r="Z1" s="266"/>
      <x:c r="AA1" s="266"/>
      <x:c r="AB1" s="266"/>
    </x:row>
    <x:row r="2" ht="22" customHeight="1">
      <x:c r="A2" s="269" t="str">
        <x:v>κ = 未税售价差 ÷ 已识别总增量变量成本｜中心校准只纳入4条CALIBRATED_SIGNAL</x:v>
      </x:c>
      <x:c r="B2" s="269"/>
      <x:c r="C2" s="269"/>
      <x:c r="D2" s="269"/>
      <x:c r="E2" s="269"/>
      <x:c r="F2" s="269"/>
      <x:c r="G2" s="269"/>
      <x:c r="H2" s="269"/>
      <x:c r="I2" s="269"/>
      <x:c r="J2" s="269"/>
      <x:c r="K2" s="269"/>
      <x:c r="L2" s="269"/>
      <x:c r="M2" s="269"/>
      <x:c r="N2" s="269"/>
      <x:c r="O2" s="269"/>
      <x:c r="P2" s="269"/>
      <x:c r="Q2" s="269"/>
      <x:c r="R2" s="269"/>
      <x:c r="S2" s="269"/>
      <x:c r="T2" s="269"/>
      <x:c r="U2" s="269"/>
      <x:c r="V2" s="269"/>
      <x:c r="W2" s="269"/>
      <x:c r="X2" s="269"/>
      <x:c r="Y2" s="269"/>
      <x:c r="Z2" s="269"/>
      <x:c r="AA2" s="269"/>
      <x:c r="AB2" s="269"/>
    </x:row>
    <x:row r="3" ht="44" customHeight="1">
      <x:c r="A3" s="273" t="str">
        <x:v>Low/Mid/High成本列会产生反向的倍率范围。本阶段的κ情景只从中成本四条普通桥的横截面提炼；YU7长续航→Pro作为门槛诊断留出。</x:v>
      </x:c>
      <x:c r="B3" s="273"/>
      <x:c r="C3" s="273"/>
      <x:c r="D3" s="273"/>
      <x:c r="E3" s="273"/>
      <x:c r="F3" s="273"/>
      <x:c r="G3" s="273"/>
      <x:c r="H3" s="273"/>
      <x:c r="I3" s="273"/>
      <x:c r="J3" s="273"/>
      <x:c r="K3" s="273"/>
      <x:c r="L3" s="273"/>
      <x:c r="M3" s="273"/>
      <x:c r="N3" s="273"/>
      <x:c r="O3" s="273"/>
      <x:c r="P3" s="273"/>
      <x:c r="Q3" s="273"/>
      <x:c r="R3" s="273"/>
      <x:c r="S3" s="273"/>
      <x:c r="T3" s="273"/>
      <x:c r="U3" s="273"/>
      <x:c r="V3" s="273"/>
      <x:c r="W3" s="273"/>
      <x:c r="X3" s="273"/>
      <x:c r="Y3" s="273"/>
      <x:c r="Z3" s="273"/>
      <x:c r="AA3" s="273"/>
      <x:c r="AB3" s="273"/>
    </x:row>
    <x:row r="5" ht="40" customHeight="1">
      <x:c r="A5" s="278" t="str">
        <x:v>bridge_id</x:v>
      </x:c>
      <x:c r="B5" s="278" t="str">
        <x:v>车系</x:v>
      </x:c>
      <x:c r="C5" s="278" t="str">
        <x:v>相邻升级</x:v>
      </x:c>
      <x:c r="D5" s="278" t="str">
        <x:v>上游信号</x:v>
      </x:c>
      <x:c r="E5" s="278" t="str">
        <x:v>2.3C角色</x:v>
      </x:c>
      <x:c r="F5" s="278" t="str">
        <x:v>未税售价差</x:v>
      </x:c>
      <x:c r="G5" s="278" t="str">
        <x:v>总成本_Low</x:v>
      </x:c>
      <x:c r="H5" s="278" t="str">
        <x:v>总成本_Mid</x:v>
      </x:c>
      <x:c r="I5" s="278" t="str">
        <x:v>总成本_High</x:v>
      </x:c>
      <x:c r="J5" s="278" t="str">
        <x:v>P/C_Low成本</x:v>
      </x:c>
      <x:c r="K5" s="278" t="str">
        <x:v>P/C_Mid成本</x:v>
      </x:c>
      <x:c r="L5" s="278" t="str">
        <x:v>P/C_High成本</x:v>
      </x:c>
      <x:c r="M5" s="278" t="str">
        <x:v>中心校准权重</x:v>
      </x:c>
      <x:c r="N5" s="278" t="str">
        <x:v>上游解释</x:v>
      </x:c>
      <x:c r="P5" s="278" t="str">
        <x:v>桥</x:v>
      </x:c>
      <x:c r="Q5" s="278" t="str">
        <x:v>中成本P/C</x:v>
      </x:c>
    </x:row>
    <x:row r="6" ht="38" customHeight="1">
      <x:c r="A6" s="58" t="str">
        <x:f>'04_售价成本校准'!A7</x:f>
        <x:v>BR-SU7-STD-PRO</x:v>
      </x:c>
      <x:c r="B6" s="58" t="str">
        <x:f>'04_售价成本校准'!B7</x:f>
        <x:v>SU7</x:v>
      </x:c>
      <x:c r="C6" s="58" t="str">
        <x:f>'04_售价成本校准'!C7&amp;" → "&amp;'04_售价成本校准'!D7</x:f>
        <x:v>SU7-G2-STD → SU7-G2-PRO</x:v>
      </x:c>
      <x:c r="D6" s="58" t="str">
        <x:f>'04_售价成本校准'!T7</x:f>
        <x:v>CALIBRATED_SIGNAL</x:v>
      </x:c>
      <x:c r="E6" s="19" t="str">
        <x:f>IF(D6="CALIBRATED_SIGNAL","CALIBRATION","GATE_DIAGNOSTIC")</x:f>
        <x:v>CALIBRATION</x:v>
      </x:c>
      <x:c r="F6" s="60" t="n">
        <x:f>'04_售价成本校准'!G7</x:f>
        <x:v>26548.67</x:v>
      </x:c>
      <x:c r="G6" s="303" t="n">
        <x:f>'04_售价成本校准'!K7</x:f>
        <x:v>17508.75</x:v>
      </x:c>
      <x:c r="H6" s="303" t="n">
        <x:f>'04_售价成本校准'!L7</x:f>
        <x:v>21749.49</x:v>
      </x:c>
      <x:c r="I6" s="303" t="n">
        <x:f>'04_售价成本校准'!M7</x:f>
        <x:v>27118.08</x:v>
      </x:c>
      <x:c r="J6" s="301" t="n">
        <x:f>F6/G6</x:f>
        <x:v>1.5163087027914612</x:v>
      </x:c>
      <x:c r="K6" s="301" t="n">
        <x:f>F6/H6</x:f>
        <x:v>1.2206571280521978</x:v>
      </x:c>
      <x:c r="L6" s="301" t="n">
        <x:f>F6/I6</x:f>
        <x:v>0.9790025695034456</x:v>
      </x:c>
      <x:c r="M6" s="19" t="n">
        <x:f>IF(E6="CALIBRATION",1,0)</x:f>
        <x:v>1</x:v>
      </x:c>
      <x:c r="N6" s="58" t="str">
        <x:f>'04_售价成本校准'!V7</x:f>
        <x:v>+23.3kWh、CDC与双腔空悬。</x:v>
      </x:c>
      <x:c r="P6" s="19" t="str">
        <x:f>C6</x:f>
        <x:v>SU7-G2-STD → SU7-G2-PRO</x:v>
      </x:c>
      <x:c r="Q6" s="298" t="n">
        <x:f>K6</x:f>
        <x:v>1.2206571280521978</x:v>
      </x:c>
    </x:row>
    <x:row r="7" ht="38" customHeight="1">
      <x:c r="A7" s="302" t="str">
        <x:f>'04_售价成本校准'!A8</x:f>
        <x:v>BR-SU7-PRO-MAX</x:v>
      </x:c>
      <x:c r="B7" s="302" t="str">
        <x:f>'04_售价成本校准'!B8</x:f>
        <x:v>SU7</x:v>
      </x:c>
      <x:c r="C7" s="302" t="str">
        <x:f>'04_售价成本校准'!C8&amp;" → "&amp;'04_售价成本校准'!D8</x:f>
        <x:v>SU7-G2-PRO → SU7-G2-MAX</x:v>
      </x:c>
      <x:c r="D7" s="302" t="str">
        <x:f>'04_售价成本校准'!T8</x:f>
        <x:v>CALIBRATED_SIGNAL</x:v>
      </x:c>
      <x:c r="E7" s="279" t="str">
        <x:f>IF(D7="CALIBRATED_SIGNAL","CALIBRATION","GATE_DIAGNOSTIC")</x:f>
        <x:v>CALIBRATION</x:v>
      </x:c>
      <x:c r="F7" s="304" t="n">
        <x:f>'04_售价成本校准'!G8</x:f>
        <x:v>47787.61</x:v>
      </x:c>
      <x:c r="G7" s="304" t="n">
        <x:f>'04_售价成本校准'!K8</x:f>
        <x:v>35033.74</x:v>
      </x:c>
      <x:c r="H7" s="304" t="n">
        <x:f>'04_售价成本校准'!L8</x:f>
        <x:v>46601.91</x:v>
      </x:c>
      <x:c r="I7" s="304" t="n">
        <x:f>'04_售价成本校准'!M8</x:f>
        <x:v>60708.59</x:v>
      </x:c>
      <x:c r="J7" s="299" t="n">
        <x:f>F7/G7</x:f>
        <x:v>1.3640453460007411</x:v>
      </x:c>
      <x:c r="K7" s="299" t="n">
        <x:f>F7/H7</x:f>
        <x:v>1.0254431631664882</x:v>
      </x:c>
      <x:c r="L7" s="299" t="n">
        <x:f>F7/I7</x:f>
        <x:v>0.7871638922926724</x:v>
      </x:c>
      <x:c r="M7" s="279" t="n">
        <x:f>IF(E7="CALIBRATION",1,0)</x:f>
        <x:v>1</x:v>
      </x:c>
      <x:c r="N7" s="302" t="str">
        <x:f>'04_售价成本校准'!V8</x:f>
        <x:v>含HUD；SU7静谧座舱为选装不计，后盘不变，片型基线未知不计。</x:v>
      </x:c>
      <x:c r="O7" s="280"/>
      <x:c r="P7" s="279" t="str">
        <x:f>C7</x:f>
        <x:v>SU7-G2-PRO → SU7-G2-MAX</x:v>
      </x:c>
      <x:c r="Q7" s="299" t="n">
        <x:f>K7</x:f>
        <x:v>1.0254431631664882</x:v>
      </x:c>
    </x:row>
    <x:row r="8" ht="38" customHeight="1">
      <x:c r="A8" s="58" t="str">
        <x:f>'04_售价成本校准'!A9</x:f>
        <x:v>BR-YU7-STD-LR</x:v>
      </x:c>
      <x:c r="B8" s="58" t="str">
        <x:f>'04_售价成本校准'!B9</x:f>
        <x:v>YU7</x:v>
      </x:c>
      <x:c r="C8" s="58" t="str">
        <x:f>'04_售价成本校准'!C9&amp;" → "&amp;'04_售价成本校准'!D9</x:f>
        <x:v>YU7-G1-STD → YU7-G1-LR</x:v>
      </x:c>
      <x:c r="D8" s="58" t="str">
        <x:f>'04_售价成本校准'!T9</x:f>
        <x:v>CALIBRATED_SIGNAL</x:v>
      </x:c>
      <x:c r="E8" s="19" t="str">
        <x:f>IF(D8="CALIBRATED_SIGNAL","CALIBRATION","GATE_DIAGNOSTIC")</x:f>
        <x:v>CALIBRATION</x:v>
      </x:c>
      <x:c r="F8" s="60" t="n">
        <x:f>'04_售价成本校准'!G9</x:f>
        <x:v>17699.12</x:v>
      </x:c>
      <x:c r="G8" s="303" t="n">
        <x:f>'04_售价成本校准'!K9</x:f>
        <x:v>14057.75</x:v>
      </x:c>
      <x:c r="H8" s="303" t="n">
        <x:f>'04_售价成本校准'!L9</x:f>
        <x:v>17195.49</x:v>
      </x:c>
      <x:c r="I8" s="303" t="n">
        <x:f>'04_售价成本校准'!M9</x:f>
        <x:v>21286.58</x:v>
      </x:c>
      <x:c r="J8" s="301" t="n">
        <x:f>F8/G8</x:f>
        <x:v>1.259029361028614</x:v>
      </x:c>
      <x:c r="K8" s="301" t="n">
        <x:f>F8/H8</x:f>
        <x:v>1.0292884936689792</x:v>
      </x:c>
      <x:c r="L8" s="301" t="n">
        <x:f>F8/I8</x:f>
        <x:v>0.8314684651080633</x:v>
      </x:c>
      <x:c r="M8" s="19" t="n">
        <x:f>IF(E8="CALIBRATION",1,0)</x:f>
        <x:v>1</x:v>
      </x:c>
      <x:c r="N8" s="58" t="str">
        <x:f>'04_售价成本校准'!V9</x:f>
        <x:v>+23.3kWh、CDC与后排屏进入base；活动赠送不计。</x:v>
      </x:c>
      <x:c r="P8" s="19" t="str">
        <x:f>C8</x:f>
        <x:v>YU7-G1-STD → YU7-G1-LR</x:v>
      </x:c>
      <x:c r="Q8" s="298" t="n">
        <x:f>K8</x:f>
        <x:v>1.0292884936689792</x:v>
      </x:c>
    </x:row>
    <x:row r="9" ht="38" customHeight="1">
      <x:c r="A9" s="302" t="str">
        <x:f>'04_售价成本校准'!A10</x:f>
        <x:v>BR-YU7-LR-PRO</x:v>
      </x:c>
      <x:c r="B9" s="302" t="str">
        <x:f>'04_售价成本校准'!B10</x:f>
        <x:v>YU7</x:v>
      </x:c>
      <x:c r="C9" s="302" t="str">
        <x:f>'04_售价成本校准'!C10&amp;" → "&amp;'04_售价成本校准'!D10</x:f>
        <x:v>YU7-G1-LR → YU7-G1-PRO</x:v>
      </x:c>
      <x:c r="D9" s="302" t="str">
        <x:f>'04_售价成本校准'!T10</x:f>
        <x:v>REVIEW_LADDER</x:v>
      </x:c>
      <x:c r="E9" s="279" t="str">
        <x:f>IF(D9="CALIBRATED_SIGNAL","CALIBRATION","GATE_DIAGNOSTIC")</x:f>
        <x:v>GATE_DIAGNOSTIC</x:v>
      </x:c>
      <x:c r="F9" s="304" t="n">
        <x:f>'04_售价成本校准'!G10</x:f>
        <x:v>23362.83</x:v>
      </x:c>
      <x:c r="G9" s="304" t="n">
        <x:f>'04_售价成本校准'!K10</x:f>
        <x:v>7917</x:v>
      </x:c>
      <x:c r="H9" s="304" t="n">
        <x:f>'04_售价成本校准'!L10</x:f>
        <x:v>10867.5</x:v>
      </x:c>
      <x:c r="I9" s="304" t="n">
        <x:f>'04_售价成本校准'!M10</x:f>
        <x:v>14766</x:v>
      </x:c>
      <x:c r="J9" s="299" t="n">
        <x:f>F9/G9</x:f>
        <x:v>2.9509700644183403</x:v>
      </x:c>
      <x:c r="K9" s="299" t="n">
        <x:f>F9/H9</x:f>
        <x:v>2.1497888198757766</x:v>
      </x:c>
      <x:c r="L9" s="299" t="n">
        <x:f>F9/I9</x:f>
        <x:v>1.5822043884599757</x:v>
      </x:c>
      <x:c r="M9" s="279" t="n">
        <x:f>IF(E9="CALIBRATION",1,0)</x:f>
        <x:v>0</x:v>
      </x:c>
      <x:c r="N9" s="302" t="str">
        <x:f>'04_售价成本校准'!V10</x:f>
        <x:v>同电池/同752V；新增130kW前驱动与空悬硬件，CDC不重复。</x:v>
      </x:c>
      <x:c r="O9" s="280"/>
      <x:c r="P9" s="279" t="str">
        <x:f>C9</x:f>
        <x:v>YU7-G1-LR → YU7-G1-PRO</x:v>
      </x:c>
      <x:c r="Q9" s="299" t="n">
        <x:f>K9</x:f>
        <x:v>2.1497888198757766</x:v>
      </x:c>
    </x:row>
    <x:row r="10" ht="38" customHeight="1">
      <x:c r="A10" s="58" t="str">
        <x:f>'04_售价成本校准'!A11</x:f>
        <x:v>BR-YU7-PRO-MAX</x:v>
      </x:c>
      <x:c r="B10" s="58" t="str">
        <x:f>'04_售价成本校准'!B11</x:f>
        <x:v>YU7</x:v>
      </x:c>
      <x:c r="C10" s="58" t="str">
        <x:f>'04_售价成本校准'!C11&amp;" → "&amp;'04_售价成本校准'!D11</x:f>
        <x:v>YU7-G1-PRO → YU7-G1-MAX</x:v>
      </x:c>
      <x:c r="D10" s="58" t="str">
        <x:f>'04_售价成本校准'!T11</x:f>
        <x:v>CALIBRATED_SIGNAL</x:v>
      </x:c>
      <x:c r="E10" s="19" t="str">
        <x:f>IF(D10="CALIBRATED_SIGNAL","CALIBRATION","GATE_DIAGNOSTIC")</x:f>
        <x:v>CALIBRATION</x:v>
      </x:c>
      <x:c r="F10" s="60" t="n">
        <x:f>'04_售价成本校准'!G11</x:f>
        <x:v>44247.79</x:v>
      </x:c>
      <x:c r="G10" s="303" t="n">
        <x:f>'04_售价成本校准'!K11</x:f>
        <x:v>30110.99</x:v>
      </x:c>
      <x:c r="H10" s="303" t="n">
        <x:f>'04_售价成本校准'!L11</x:f>
        <x:v>39874.41</x:v>
      </x:c>
      <x:c r="I10" s="303" t="n">
        <x:f>'04_售价成本校准'!M11</x:f>
        <x:v>51463.79</x:v>
      </x:c>
      <x:c r="J10" s="301" t="n">
        <x:f>F10/G10</x:f>
        <x:v>1.4694897112316798</x:v>
      </x:c>
      <x:c r="K10" s="301" t="n">
        <x:f>F10/H10</x:f>
        <x:v>1.1096788642139155</x:v>
      </x:c>
      <x:c r="L10" s="301" t="n">
        <x:f>F10/I10</x:f>
        <x:v>0.8597849089622043</x:v>
      </x:c>
      <x:c r="M10" s="19" t="n">
        <x:f>IF(E10="CALIBRATION",1,0)</x:f>
        <x:v>1</x:v>
      </x:c>
      <x:c r="N10" s="58" t="str">
        <x:f>'04_售价成本校准'!V11</x:f>
        <x:v>AWD拓扑不重复；Nappa仍为选装，片型基线未知不计。</x:v>
      </x:c>
      <x:c r="P10" s="19" t="str">
        <x:f>C10</x:f>
        <x:v>YU7-G1-PRO → YU7-G1-MAX</x:v>
      </x:c>
      <x:c r="Q10" s="298" t="n">
        <x:f>K10</x:f>
        <x:v>1.1096788642139155</x:v>
      </x:c>
    </x:row>
    <x:row r="13" ht="24" customHeight="1">
      <x:c r="A13" s="283" t="str">
        <x:v>综合κ校准结果</x:v>
      </x:c>
      <x:c r="B13" s="283"/>
      <x:c r="C13" s="283"/>
      <x:c r="D13" s="283"/>
      <x:c r="E13" s="283"/>
      <x:c r="F13" s="283"/>
      <x:c r="G13" s="283"/>
      <x:c r="H13" s="283"/>
      <x:c r="I13" s="283"/>
      <x:c r="J13" s="283"/>
      <x:c r="K13" s="283"/>
      <x:c r="L13" s="283"/>
      <x:c r="M13" s="283"/>
      <x:c r="N13" s="283"/>
    </x:row>
    <x:row r="14" ht="40" customHeight="1">
      <x:c r="A14" s="278" t="str">
        <x:v>参数</x:v>
      </x:c>
      <x:c r="B14" s="278" t="str">
        <x:v>值</x:v>
      </x:c>
      <x:c r="C14" s="278" t="str">
        <x:v>单位/状态</x:v>
      </x:c>
      <x:c r="D14" s="278" t="str">
        <x:v>样本</x:v>
      </x:c>
      <x:c r="E14" s="278" t="str">
        <x:v>用途</x:v>
      </x:c>
    </x:row>
    <x:row r="15" ht="40" customHeight="1">
      <x:c r="A15" s="19" t="str">
        <x:v>κ_普通桥经验下界</x:v>
      </x:c>
      <x:c r="B15" s="306" t="n">
        <x:f>MIN(K6,K7,K8,K10)</x:f>
        <x:v>1.0254431631664882</x:v>
      </x:c>
      <x:c r="C15" s="19" t="str">
        <x:v>x</x:v>
      </x:c>
      <x:c r="D15" s="19" t="str">
        <x:v>4条普通桥</x:v>
      </x:c>
      <x:c r="E15" s="19" t="str">
        <x:v>κ情景低端；不是统计置信下界。</x:v>
      </x:c>
    </x:row>
    <x:row r="16" ht="40" customHeight="1">
      <x:c r="A16" s="279" t="str">
        <x:v>κ_普通桥稳健中心</x:v>
      </x:c>
      <x:c r="B16" s="306" t="n">
        <x:f>MEDIAN(K6,K7,K8,K10)</x:f>
        <x:v>1.0694836789414475</x:v>
      </x:c>
      <x:c r="C16" s="279" t="str">
        <x:v>x</x:v>
      </x:c>
      <x:c r="D16" s="279" t="str">
        <x:v>4条普通桥</x:v>
      </x:c>
      <x:c r="E16" s="279" t="str">
        <x:v>主值：横截面中位数。</x:v>
      </x:c>
    </x:row>
    <x:row r="17" ht="40" customHeight="1">
      <x:c r="A17" s="19" t="str">
        <x:v>κ_普通桥经验上界</x:v>
      </x:c>
      <x:c r="B17" s="306" t="n">
        <x:f>MAX(K6,K7,K8,K10)</x:f>
        <x:v>1.2206571280521978</x:v>
      </x:c>
      <x:c r="C17" s="19" t="str">
        <x:v>x</x:v>
      </x:c>
      <x:c r="D17" s="19" t="str">
        <x:v>4条普通桥</x:v>
      </x:c>
      <x:c r="E17" s="19" t="str">
        <x:v>κ情景高端；不是统计置信上界。</x:v>
      </x:c>
    </x:row>
    <x:row r="18" ht="40" customHeight="1">
      <x:c r="A18" s="279" t="str">
        <x:v>成本加权比率</x:v>
      </x:c>
      <x:c r="B18" s="299" t="n">
        <x:f>(F6+F7+F8+F10)/(H6+H7+H8+H10)</x:f>
        <x:v>1.0866032324652988</x:v>
      </x:c>
      <x:c r="C18" s="279" t="str">
        <x:v>x</x:v>
      </x:c>
      <x:c r="D18" s="279" t="str">
        <x:v>4条普通桥</x:v>
      </x:c>
      <x:c r="E18" s="279" t="str">
        <x:v>仅复核；受大成本桥权重影响。</x:v>
      </x:c>
    </x:row>
    <x:row r="19" ht="40" customHeight="1">
      <x:c r="A19" s="19" t="str">
        <x:v>门槛桥中成本比率</x:v>
      </x:c>
      <x:c r="B19" s="298" t="n">
        <x:f>K9</x:f>
        <x:v>2.1497888198757766</x:v>
      </x:c>
      <x:c r="C19" s="19" t="str">
        <x:v>x</x:v>
      </x:c>
      <x:c r="D19" s="19" t="str">
        <x:v>1条门槛桥</x:v>
      </x:c>
      <x:c r="E19" s="19" t="str">
        <x:v>2.15x不得进入统一κ。</x:v>
      </x:c>
    </x:row>
    <x:row r="20" ht="40" customHeight="1">
      <x:c r="A20" s="279" t="str">
        <x:v>门槛桥/κ中心</x:v>
      </x:c>
      <x:c r="B20" s="299" t="n">
        <x:f>B19/B16</x:f>
        <x:v>2.010118398443997</x:v>
      </x:c>
      <x:c r="C20" s="279" t="str">
        <x:v>x</x:v>
      </x:c>
      <x:c r="D20" s="279" t="str">
        <x:v>诊断</x:v>
      </x:c>
      <x:c r="E20" s="279" t="str">
        <x:v>显示门槛桥偏离普通硬件组。</x:v>
      </x:c>
    </x:row>
    <x:row r="21" ht="40" customHeight="1">
      <x:c r="A21" s="19" t="str">
        <x:v>中心校准样本数</x:v>
      </x:c>
      <x:c r="B21" s="106" t="n">
        <x:f>SUM(M6:M10)</x:f>
        <x:v>4</x:v>
      </x:c>
      <x:c r="C21" s="19" t="str">
        <x:v>个</x:v>
      </x:c>
      <x:c r="D21" s="19" t="str">
        <x:v>CALIBRATION</x:v>
      </x:c>
      <x:c r="E21" s="19" t="str">
        <x:v>应为4。</x:v>
      </x:c>
    </x:row>
    <x:row r="22" ht="40" customHeight="1">
      <x:c r="A22" s="279" t="str">
        <x:v>模块专属κ数量</x:v>
      </x:c>
      <x:c r="B22" s="292" t="n">
        <x:f>0</x:f>
        <x:v>0</x:v>
      </x:c>
      <x:c r="C22" s="279" t="str">
        <x:v>NOT_IDENTIFIED</x:v>
      </x:c>
      <x:c r="D22" s="279" t="str">
        <x:v>模块共线</x:v>
      </x:c>
      <x:c r="E22" s="279" t="str">
        <x:v>电池/电驱/底盘各自系数均不输出。</x:v>
      </x:c>
    </x:row>
    <x:row r="23" ht="40" customHeight="1">
      <x:c r="A23" s="19" t="str">
        <x:v>穿原点OLS κ</x:v>
      </x:c>
      <x:c r="B23" s="298" t="n">
        <x:f>(F6*H6+F7*H7+F8*H8+F10*H10)/(H6^2+H7^2+H8^2+H10^2)</x:f>
        <x:v>1.0756399677940647</x:v>
      </x:c>
      <x:c r="C23" s="19" t="str">
        <x:v>x</x:v>
      </x:c>
      <x:c r="D23" s="19" t="str">
        <x:v>4条普通桥</x:v>
      </x:c>
      <x:c r="E23" s="19" t="str">
        <x:v>复核稳健中心；不替代中位主值。</x:v>
      </x:c>
      <x:c r="P23" s="296" t="str">
        <x:v>读法：四条普通桥集中在1.03x—1.22x；长续航→Pro约2.15x，属于结构性门槛信号。它不是第五个普通样本，也不能据此宣称某个单模块有2.15x售价放大。</x:v>
      </x:c>
      <x:c r="Q23" s="296"/>
      <x:c r="R23" s="296"/>
      <x:c r="S23" s="296"/>
      <x:c r="T23" s="296"/>
      <x:c r="U23" s="296"/>
      <x:c r="V23" s="296"/>
      <x:c r="W23" s="296"/>
      <x:c r="X23" s="296"/>
      <x:c r="Y23" s="296"/>
      <x:c r="Z23" s="296"/>
      <x:c r="AA23" s="296"/>
      <x:c r="AB23" s="296"/>
    </x:row>
    <x:row r="24" ht="40" customHeight="1">
      <x:c r="A24" s="279" t="str">
        <x:v>五桥倍率中位</x:v>
      </x:c>
      <x:c r="B24" s="299" t="n">
        <x:f>MEDIAN(K6:K10)</x:f>
        <x:v>1.1096788642139155</x:v>
      </x:c>
      <x:c r="C24" s="279" t="str">
        <x:v>x</x:v>
      </x:c>
      <x:c r="D24" s="279" t="str">
        <x:v>全部5桥</x:v>
      </x:c>
      <x:c r="E24" s="279" t="str">
        <x:v>仅用于稳健异常值诊断。</x:v>
      </x:c>
      <x:c r="P24" s="296"/>
      <x:c r="Q24" s="296"/>
      <x:c r="R24" s="296"/>
      <x:c r="S24" s="296"/>
      <x:c r="T24" s="296"/>
      <x:c r="U24" s="296"/>
      <x:c r="V24" s="296"/>
      <x:c r="W24" s="296"/>
      <x:c r="X24" s="296"/>
      <x:c r="Y24" s="296"/>
      <x:c r="Z24" s="296"/>
      <x:c r="AA24" s="296"/>
      <x:c r="AB24" s="296"/>
    </x:row>
    <x:row r="25" ht="40" customHeight="1">
      <x:c r="A25" s="19" t="str">
        <x:v>五桥倍率MAD</x:v>
      </x:c>
      <x:c r="B25" s="298" t="n">
        <x:f>MEDIAN(ABS(K6-B24),ABS(K7-B24),ABS(K8-B24),ABS(K9-B24),ABS(K10-B24))</x:f>
        <x:v>0.08423570104742728</x:v>
      </x:c>
      <x:c r="C25" s="19" t="str">
        <x:v>x</x:v>
      </x:c>
      <x:c r="D25" s="19" t="str">
        <x:v>全部5桥</x:v>
      </x:c>
      <x:c r="E25" s="19" t="str">
        <x:v>中位绝对偏差。</x:v>
      </x:c>
      <x:c r="P25" s="296"/>
      <x:c r="Q25" s="296"/>
      <x:c r="R25" s="296"/>
      <x:c r="S25" s="296"/>
      <x:c r="T25" s="296"/>
      <x:c r="U25" s="296"/>
      <x:c r="V25" s="296"/>
      <x:c r="W25" s="296"/>
      <x:c r="X25" s="296"/>
      <x:c r="Y25" s="296"/>
      <x:c r="Z25" s="296"/>
      <x:c r="AA25" s="296"/>
      <x:c r="AB25" s="296"/>
    </x:row>
    <x:row r="26" ht="40" customHeight="1">
      <x:c r="A26" s="279" t="str">
        <x:v>门槛桥稳健z</x:v>
      </x:c>
      <x:c r="B26" s="309" t="n">
        <x:f>0.6745*ABS(K9-B24)/B25</x:f>
        <x:v>8.328465916119447</x:v>
      </x:c>
      <x:c r="C26" s="279" t="str">
        <x:v>z</x:v>
      </x:c>
      <x:c r="D26" s="279" t="str">
        <x:v>LR→Pro</x:v>
      </x:c>
      <x:c r="E26" s="279" t="str">
        <x:v>z&gt;3.5，支持从普通κ样本剔除。</x:v>
      </x:c>
      <x:c r="P26" s="296"/>
      <x:c r="Q26" s="296"/>
      <x:c r="R26" s="296"/>
      <x:c r="S26" s="296"/>
      <x:c r="T26" s="296"/>
      <x:c r="U26" s="296"/>
      <x:c r="V26" s="296"/>
      <x:c r="W26" s="296"/>
      <x:c r="X26" s="296"/>
      <x:c r="Y26" s="296"/>
      <x:c r="Z26" s="296"/>
      <x:c r="AA26" s="296"/>
      <x:c r="AB26" s="296"/>
    </x:row>
  </x:sheetData>
  <x:mergeCells>
    <x:mergeCell ref="A1:AB1"/>
    <x:mergeCell ref="A2:AB2"/>
    <x:mergeCell ref="A3:AB3"/>
    <x:mergeCell ref="A13:N13"/>
    <x:mergeCell ref="P23:AB26"/>
  </x:mergeCells>
  <x:conditionalFormatting sqref="D6:E10">
    <x:cfRule type="containsText" dxfId="238" priority="1" operator="containsText" text="PASS"/>
    <x:cfRule type="containsText" dxfId="239" priority="2" operator="containsText" text="READY"/>
    <x:cfRule type="containsText" dxfId="240" priority="3" operator="containsText" text="IDENTIFIED"/>
    <x:cfRule type="containsText" dxfId="241" priority="4" operator="containsText" text="CALIBRATION"/>
    <x:cfRule type="containsText" dxfId="242" priority="5" operator="containsText" text="CORROBORATIVE"/>
    <x:cfRule type="containsText" dxfId="243" priority="6" operator="containsText" text="REFERENCE"/>
    <x:cfRule type="containsText" dxfId="244" priority="7" operator="containsText" text="CROSSES_ZERO"/>
    <x:cfRule type="containsText" dxfId="245" priority="8" operator="containsText" text="PENDING"/>
    <x:cfRule type="containsText" dxfId="246" priority="9" operator="containsText" text="PROVISIONAL"/>
    <x:cfRule type="containsText" dxfId="247" priority="10" operator="containsText" text="GATE"/>
    <x:cfRule type="containsText" dxfId="248" priority="11" operator="containsText" text="NOT_IDENTIFIED"/>
    <x:cfRule type="containsText" dxfId="249" priority="12" operator="containsText" text="FAIL"/>
    <x:cfRule type="containsText" dxfId="250" priority="13" operator="containsText" text="DO_NOT_ADD"/>
    <x:cfRule type="containsText" dxfId="251" priority="14" operator="containsText" text="EXCLUDED"/>
  </x:conditionalFormatting>
  <x:conditionalFormatting sqref="C15:C22">
    <x:cfRule type="containsText" dxfId="252" priority="15" operator="containsText" text="PASS"/>
    <x:cfRule type="containsText" dxfId="253" priority="16" operator="containsText" text="READY"/>
    <x:cfRule type="containsText" dxfId="254" priority="17" operator="containsText" text="IDENTIFIED"/>
    <x:cfRule type="containsText" dxfId="255" priority="18" operator="containsText" text="CALIBRATION"/>
    <x:cfRule type="containsText" dxfId="256" priority="19" operator="containsText" text="CORROBORATIVE"/>
    <x:cfRule type="containsText" dxfId="257" priority="20" operator="containsText" text="REFERENCE"/>
    <x:cfRule type="containsText" dxfId="258" priority="21" operator="containsText" text="CROSSES_ZERO"/>
    <x:cfRule type="containsText" dxfId="259" priority="22" operator="containsText" text="PENDING"/>
    <x:cfRule type="containsText" dxfId="260" priority="23" operator="containsText" text="PROVISIONAL"/>
    <x:cfRule type="containsText" dxfId="261" priority="24" operator="containsText" text="GATE"/>
    <x:cfRule type="containsText" dxfId="262" priority="25" operator="containsText" text="NOT_IDENTIFIED"/>
    <x:cfRule type="containsText" dxfId="263" priority="26" operator="containsText" text="FAIL"/>
    <x:cfRule type="containsText" dxfId="264" priority="27" operator="containsText" text="DO_NOT_ADD"/>
    <x:cfRule type="containsText" dxfId="265" priority="28" operator="containsText" text="EXCLUDED"/>
  </x:conditionalFormatting>
  <x:pageMargins left="0.7" right="0.7" top="0.75" bottom="0.75" header="0.3" footer="0.3"/>
  <x:drawing xmlns:r="http://schemas.openxmlformats.org/officeDocument/2006/relationships" r:id="Rdb82fac4f9dd4e82"/>
</x:worksheet>
</file>

<file path=xl/worksheets/sheet3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2" hidden="0" customWidth="1"/>
    <x:col min="3" max="3" width="16" hidden="0" customWidth="1"/>
    <x:col min="4" max="4" width="16" hidden="0" customWidth="1"/>
    <x:col min="5" max="5" width="14" hidden="0" customWidth="1"/>
    <x:col min="6" max="6" width="16" hidden="0" customWidth="1"/>
    <x:col min="7" max="7" width="14" hidden="0" customWidth="1"/>
    <x:col min="8" max="8" width="16" hidden="0" customWidth="1"/>
    <x:col min="9" max="9" width="14" hidden="0" customWidth="1"/>
    <x:col min="10" max="10" width="16" hidden="0" customWidth="1"/>
    <x:col min="11" max="11" width="23" hidden="0" customWidth="1"/>
    <x:col min="12" max="12" width="18" hidden="0" customWidth="1"/>
    <x:col min="13" max="13" width="58" hidden="0" customWidth="1"/>
    <x:col min="14" max="14" width="3" hidden="0" customWidth="1"/>
    <x:col min="15" max="15" width="10" hidden="0" customWidth="1"/>
  </x:cols>
  <x:sheetData>
    <x:row r="1" ht="30" customHeight="1">
      <x:c r="A1" s="266" t="str">
        <x:v>33｜普通定位残差与版本门槛</x:v>
      </x:c>
      <x:c r="B1" s="266"/>
      <x:c r="C1" s="266"/>
      <x:c r="D1" s="266"/>
      <x:c r="E1" s="266"/>
      <x:c r="F1" s="266"/>
      <x:c r="G1" s="266"/>
      <x:c r="H1" s="266"/>
      <x:c r="I1" s="266"/>
      <x:c r="J1" s="266"/>
      <x:c r="K1" s="266"/>
      <x:c r="L1" s="266"/>
      <x:c r="M1" s="266"/>
      <x:c r="N1" s="266"/>
      <x:c r="O1" s="266"/>
    </x:row>
    <x:row r="2" ht="22" customHeight="1">
      <x:c r="A2" s="269" t="str">
        <x:v>ε(κ) = 未税售价差 − κ × 中情景已识别变量成本｜同一成本基准下比较</x:v>
      </x:c>
      <x:c r="B2" s="269"/>
      <x:c r="C2" s="269"/>
      <x:c r="D2" s="269"/>
      <x:c r="E2" s="269"/>
      <x:c r="F2" s="269"/>
      <x:c r="G2" s="269"/>
      <x:c r="H2" s="269"/>
      <x:c r="I2" s="269"/>
      <x:c r="J2" s="269"/>
      <x:c r="K2" s="269"/>
      <x:c r="L2" s="269"/>
      <x:c r="M2" s="269"/>
      <x:c r="N2" s="269"/>
      <x:c r="O2" s="269"/>
    </x:row>
    <x:row r="3" ht="44" customHeight="1">
      <x:c r="A3" s="273" t="str">
        <x:v>κ越高，剩余门槛越低。普通桥中心残差用于观察校准散布；κ包络与普通散布是替代的不确定性表达，禁止双重叠加。</x:v>
      </x:c>
      <x:c r="B3" s="273"/>
      <x:c r="C3" s="273"/>
      <x:c r="D3" s="273"/>
      <x:c r="E3" s="273"/>
      <x:c r="F3" s="273"/>
      <x:c r="G3" s="273"/>
      <x:c r="H3" s="273"/>
      <x:c r="I3" s="273"/>
      <x:c r="J3" s="273"/>
      <x:c r="K3" s="273"/>
      <x:c r="L3" s="273"/>
      <x:c r="M3" s="273"/>
      <x:c r="N3" s="273"/>
      <x:c r="O3" s="273"/>
    </x:row>
    <x:row r="5" ht="52" customHeight="1">
      <x:c r="A5" s="278" t="str">
        <x:v>bridge_id</x:v>
      </x:c>
      <x:c r="B5" s="278" t="str">
        <x:v>2.3C角色</x:v>
      </x:c>
      <x:c r="C5" s="278" t="str">
        <x:v>未税售价差</x:v>
      </x:c>
      <x:c r="D5" s="278" t="str">
        <x:v>中情景成本</x:v>
      </x:c>
      <x:c r="E5" s="278" t="str">
        <x:v>κ_low</x:v>
      </x:c>
      <x:c r="F5" s="278" t="str">
        <x:v>ε@κ_low</x:v>
      </x:c>
      <x:c r="G5" s="278" t="str">
        <x:v>κ_center</x:v>
      </x:c>
      <x:c r="H5" s="278" t="str">
        <x:v>ε@κ_center</x:v>
      </x:c>
      <x:c r="I5" s="278" t="str">
        <x:v>κ_high</x:v>
      </x:c>
      <x:c r="J5" s="278" t="str">
        <x:v>ε@κ_high</x:v>
      </x:c>
      <x:c r="K5" s="278" t="str">
        <x:v>中心分类</x:v>
      </x:c>
      <x:c r="L5" s="278" t="str">
        <x:v>模型用途</x:v>
      </x:c>
      <x:c r="M5" s="278" t="str">
        <x:v>解释</x:v>
      </x:c>
    </x:row>
    <x:row r="6" ht="48" customHeight="1">
      <x:c r="A6" s="58" t="str">
        <x:f>'32_五桥传导率'!A6</x:f>
        <x:v>BR-SU7-STD-PRO</x:v>
      </x:c>
      <x:c r="B6" s="58" t="str">
        <x:f>'32_五桥传导率'!E6</x:f>
        <x:v>CALIBRATION</x:v>
      </x:c>
      <x:c r="C6" s="60" t="n">
        <x:f>'32_五桥传导率'!F6</x:f>
        <x:v>26548.67</x:v>
      </x:c>
      <x:c r="D6" s="60" t="n">
        <x:f>'32_五桥传导率'!H6</x:f>
        <x:v>21749.49</x:v>
      </x:c>
      <x:c r="E6" s="311" t="n">
        <x:f>'32_五桥传导率'!B15</x:f>
        <x:v>1.0254431631664882</x:v>
      </x:c>
      <x:c r="F6" s="310" t="n">
        <x:f>C6-E6*D6</x:f>
        <x:v>4245.804177142094</x:v>
      </x:c>
      <x:c r="G6" s="313" t="n">
        <x:f>'32_五桥传导率'!B16</x:f>
        <x:v>1.0694836789414475</x:v>
      </x:c>
      <x:c r="H6" s="310" t="n">
        <x:f>C6-G6*D6</x:f>
        <x:v>3287.945419699776</x:v>
      </x:c>
      <x:c r="I6" s="313" t="n">
        <x:f>'32_五桥传导率'!B17</x:f>
        <x:v>1.2206571280521978</x:v>
      </x:c>
      <x:c r="J6" s="310" t="n">
        <x:f>C6-I6*D6</x:f>
        <x:v>0</x:v>
      </x:c>
      <x:c r="K6" s="19" t="str">
        <x:f>IF(B6="GATE_DIAGNOSTIC","PROVISIONAL_GATE",IF(ABS(H6)&lt;=3500,"ORDINARY_SCATTER","REVIEW"))</x:f>
        <x:v>ORDINARY_SCATTER</x:v>
      </x:c>
      <x:c r="L6" s="19" t="str">
        <x:v>普通κ校准</x:v>
      </x:c>
      <x:c r="M6" s="19" t="str">
        <x:v>用于检验中心κ附近的普通桥散布。</x:v>
      </x:c>
    </x:row>
    <x:row r="7" ht="48" customHeight="1">
      <x:c r="A7" s="302" t="str">
        <x:f>'32_五桥传导率'!A7</x:f>
        <x:v>BR-SU7-PRO-MAX</x:v>
      </x:c>
      <x:c r="B7" s="302" t="str">
        <x:f>'32_五桥传导率'!E7</x:f>
        <x:v>CALIBRATION</x:v>
      </x:c>
      <x:c r="C7" s="304" t="n">
        <x:f>'32_五桥传导率'!F7</x:f>
        <x:v>47787.61</x:v>
      </x:c>
      <x:c r="D7" s="304" t="n">
        <x:f>'32_五桥传导率'!H7</x:f>
        <x:v>46601.91</x:v>
      </x:c>
      <x:c r="E7" s="312" t="n">
        <x:f>'32_五桥传导率'!B15</x:f>
        <x:v>1.0254431631664882</x:v>
      </x:c>
      <x:c r="F7" s="310" t="n">
        <x:f>C7-E7*D7</x:f>
        <x:v>0</x:v>
      </x:c>
      <x:c r="G7" s="313" t="n">
        <x:f>'32_五桥传导率'!B16</x:f>
        <x:v>1.0694836789414475</x:v>
      </x:c>
      <x:c r="H7" s="310" t="n">
        <x:f>C7-G7*D7</x:f>
        <x:v>-2052.372152498232</x:v>
      </x:c>
      <x:c r="I7" s="313" t="n">
        <x:f>'32_五桥传导率'!B17</x:f>
        <x:v>1.2206571280521978</x:v>
      </x:c>
      <x:c r="J7" s="310" t="n">
        <x:f>C7-I7*D7</x:f>
        <x:v>-9097.343622347005</x:v>
      </x:c>
      <x:c r="K7" s="279" t="str">
        <x:f>IF(B7="GATE_DIAGNOSTIC","PROVISIONAL_GATE",IF(ABS(H7)&lt;=3500,"ORDINARY_SCATTER","REVIEW"))</x:f>
        <x:v>ORDINARY_SCATTER</x:v>
      </x:c>
      <x:c r="L7" s="279" t="str">
        <x:v>普通κ校准</x:v>
      </x:c>
      <x:c r="M7" s="279" t="str">
        <x:v>用于检验中心κ附近的普通桥散布。</x:v>
      </x:c>
    </x:row>
    <x:row r="8" ht="48" customHeight="1">
      <x:c r="A8" s="58" t="str">
        <x:f>'32_五桥传导率'!A8</x:f>
        <x:v>BR-YU7-STD-LR</x:v>
      </x:c>
      <x:c r="B8" s="58" t="str">
        <x:f>'32_五桥传导率'!E8</x:f>
        <x:v>CALIBRATION</x:v>
      </x:c>
      <x:c r="C8" s="60" t="n">
        <x:f>'32_五桥传导率'!F8</x:f>
        <x:v>17699.12</x:v>
      </x:c>
      <x:c r="D8" s="60" t="n">
        <x:f>'32_五桥传导率'!H8</x:f>
        <x:v>17195.49</x:v>
      </x:c>
      <x:c r="E8" s="311" t="n">
        <x:f>'32_五桥传导率'!B15</x:f>
        <x:v>1.0254431631664882</x:v>
      </x:c>
      <x:c r="F8" s="310" t="n">
        <x:f>C8-E8*D8</x:f>
        <x:v>66.12234220228129</x:v>
      </x:c>
      <x:c r="G8" s="313" t="n">
        <x:f>'32_五桥传导率'!B16</x:f>
        <x:v>1.0694836789414475</x:v>
      </x:c>
      <x:c r="H8" s="310" t="n">
        <x:f>C8-G8*D8</x:f>
        <x:v>-691.1759064008729</x:v>
      </x:c>
      <x:c r="I8" s="313" t="n">
        <x:f>'32_五桥传导率'!B17</x:f>
        <x:v>1.2206571280521978</x:v>
      </x:c>
      <x:c r="J8" s="310" t="n">
        <x:f>C8-I8*D8</x:f>
        <x:v>-3290.677438850289</x:v>
      </x:c>
      <x:c r="K8" s="19" t="str">
        <x:f>IF(B8="GATE_DIAGNOSTIC","PROVISIONAL_GATE",IF(ABS(H8)&lt;=3500,"ORDINARY_SCATTER","REVIEW"))</x:f>
        <x:v>ORDINARY_SCATTER</x:v>
      </x:c>
      <x:c r="L8" s="19" t="str">
        <x:v>普通κ校准</x:v>
      </x:c>
      <x:c r="M8" s="19" t="str">
        <x:v>用于检验中心κ附近的普通桥散布。</x:v>
      </x:c>
    </x:row>
    <x:row r="9" ht="48" customHeight="1">
      <x:c r="A9" s="302" t="str">
        <x:f>'32_五桥传导率'!A9</x:f>
        <x:v>BR-YU7-LR-PRO</x:v>
      </x:c>
      <x:c r="B9" s="302" t="str">
        <x:f>'32_五桥传导率'!E9</x:f>
        <x:v>GATE_DIAGNOSTIC</x:v>
      </x:c>
      <x:c r="C9" s="304" t="n">
        <x:f>'32_五桥传导率'!F9</x:f>
        <x:v>23362.83</x:v>
      </x:c>
      <x:c r="D9" s="304" t="n">
        <x:f>'32_五桥传导率'!H9</x:f>
        <x:v>10867.5</x:v>
      </x:c>
      <x:c r="E9" s="312" t="n">
        <x:f>'32_五桥传导率'!B15</x:f>
        <x:v>1.0254431631664882</x:v>
      </x:c>
      <x:c r="F9" s="310" t="n">
        <x:f>C9-E9*D9</x:f>
        <x:v>12218.82642428819</x:v>
      </x:c>
      <x:c r="G9" s="313" t="n">
        <x:f>'32_五桥传导率'!B16</x:f>
        <x:v>1.0694836789414475</x:v>
      </x:c>
      <x:c r="H9" s="310" t="n">
        <x:f>C9-G9*D9</x:f>
        <x:v>11740.216119103821</x:v>
      </x:c>
      <x:c r="I9" s="313" t="n">
        <x:f>'32_五桥传导率'!B17</x:f>
        <x:v>1.2206571280521978</x:v>
      </x:c>
      <x:c r="J9" s="310" t="n">
        <x:f>C9-I9*D9</x:f>
        <x:v>10097.338660892741</x:v>
      </x:c>
      <x:c r="K9" s="279" t="str">
        <x:f>IF(B9="GATE_DIAGNOSTIC","PROVISIONAL_GATE",IF(ABS(H9)&lt;=3500,"ORDINARY_SCATTER","REVIEW"))</x:f>
        <x:v>PROVISIONAL_GATE</x:v>
      </x:c>
      <x:c r="L9" s="279" t="str">
        <x:v>门槛识别</x:v>
      </x:c>
      <x:c r="M9" s="279" t="str">
        <x:v>同电池/同752V上新增前桥电驱与空悬；单样本。</x:v>
      </x:c>
    </x:row>
    <x:row r="10" ht="48" customHeight="1">
      <x:c r="A10" s="58" t="str">
        <x:f>'32_五桥传导率'!A10</x:f>
        <x:v>BR-YU7-PRO-MAX</x:v>
      </x:c>
      <x:c r="B10" s="58" t="str">
        <x:f>'32_五桥传导率'!E10</x:f>
        <x:v>CALIBRATION</x:v>
      </x:c>
      <x:c r="C10" s="60" t="n">
        <x:f>'32_五桥传导率'!F10</x:f>
        <x:v>44247.79</x:v>
      </x:c>
      <x:c r="D10" s="60" t="n">
        <x:f>'32_五桥传导率'!H10</x:f>
        <x:v>39874.41</x:v>
      </x:c>
      <x:c r="E10" s="311" t="n">
        <x:f>'32_五桥传导率'!B15</x:f>
        <x:v>1.0254431631664882</x:v>
      </x:c>
      <x:c r="F10" s="310" t="n">
        <x:f>C10-E10*D10</x:f>
        <x:v>3358.848880202546</x:v>
      </x:c>
      <x:c r="G10" s="313" t="n">
        <x:f>'32_五桥传导率'!B16</x:f>
        <x:v>1.0694836789414475</x:v>
      </x:c>
      <x:c r="H10" s="310" t="n">
        <x:f>C10-G10*D10</x:f>
        <x:v>1602.7592975803564</x:v>
      </x:c>
      <x:c r="I10" s="313" t="n">
        <x:f>'32_五桥传导率'!B17</x:f>
        <x:v>1.2206571280521978</x:v>
      </x:c>
      <x:c r="J10" s="310" t="n">
        <x:f>C10-I10*D10</x:f>
        <x:v>-4425.192793375842</x:v>
      </x:c>
      <x:c r="K10" s="19" t="str">
        <x:f>IF(B10="GATE_DIAGNOSTIC","PROVISIONAL_GATE",IF(ABS(H10)&lt;=3500,"ORDINARY_SCATTER","REVIEW"))</x:f>
        <x:v>ORDINARY_SCATTER</x:v>
      </x:c>
      <x:c r="L10" s="19" t="str">
        <x:v>普通κ校准</x:v>
      </x:c>
      <x:c r="M10" s="19" t="str">
        <x:v>用于检验中心κ附近的普通桥散布。</x:v>
      </x:c>
    </x:row>
    <x:row r="13" ht="24" customHeight="1">
      <x:c r="A13" s="283" t="str">
        <x:v>普通桥中心κ校准散布（仅作替代误差带）</x:v>
      </x:c>
      <x:c r="B13" s="283"/>
      <x:c r="C13" s="283"/>
      <x:c r="D13" s="283"/>
      <x:c r="E13" s="283"/>
      <x:c r="F13" s="283"/>
      <x:c r="G13" s="283"/>
      <x:c r="H13" s="283"/>
      <x:c r="I13" s="283"/>
      <x:c r="J13" s="283"/>
      <x:c r="K13" s="283"/>
      <x:c r="L13" s="283"/>
      <x:c r="M13" s="283"/>
    </x:row>
    <x:row r="14" ht="40" customHeight="1">
      <x:c r="A14" s="278" t="str">
        <x:v>参数</x:v>
      </x:c>
      <x:c r="B14" s="278" t="str">
        <x:v>低</x:v>
      </x:c>
      <x:c r="C14" s="278" t="str">
        <x:v>中心政策</x:v>
      </x:c>
      <x:c r="D14" s="278" t="str">
        <x:v>高</x:v>
      </x:c>
      <x:c r="E14" s="278" t="str">
        <x:v>使用限制</x:v>
      </x:c>
    </x:row>
    <x:row r="15" ht="43" customHeight="1">
      <x:c r="A15" s="19" t="str">
        <x:v>普通桥ε散布</x:v>
      </x:c>
      <x:c r="B15" s="62" t="n">
        <x:f>MIN(H6,H7,H8,H10)</x:f>
        <x:v>-2052.372152498232</x:v>
      </x:c>
      <x:c r="C15" s="314" t="n">
        <x:v>0</x:v>
      </x:c>
      <x:c r="D15" s="62" t="n">
        <x:f>MAX(H6,H7,H8,H10)</x:f>
        <x:v>3287.945419699776</x:v>
      </x:c>
      <x:c r="E15" s="19" t="str">
        <x:v>只在固定κ_center时作为替代敏感性；若已用κ包络，则本行全部置0。</x:v>
      </x:c>
    </x:row>
    <x:row r="16" ht="43" customHeight="1">
      <x:c r="A16" s="279" t="str">
        <x:v>SU7 Pro→Max ε</x:v>
      </x:c>
      <x:c r="B16" s="297" t="n">
        <x:f>H7</x:f>
        <x:v>-2052.372152498232</x:v>
      </x:c>
      <x:c r="C16" s="297" t="n">
        <x:f>H7</x:f>
        <x:v>-2052.372152498232</x:v>
      </x:c>
      <x:c r="D16" s="297" t="n">
        <x:f>H7</x:f>
        <x:v>-2052.372152498232</x:v>
      </x:c>
      <x:c r="E16" s="279" t="str">
        <x:v>Max相邻步样本1。</x:v>
      </x:c>
    </x:row>
    <x:row r="17" ht="43" customHeight="1">
      <x:c r="A17" s="19" t="str">
        <x:v>YU7 Pro→Max ε</x:v>
      </x:c>
      <x:c r="B17" s="62" t="n">
        <x:f>H10</x:f>
        <x:v>1602.7592975803564</x:v>
      </x:c>
      <x:c r="C17" s="62" t="n">
        <x:f>H10</x:f>
        <x:v>1602.7592975803564</x:v>
      </x:c>
      <x:c r="D17" s="62" t="n">
        <x:f>H10</x:f>
        <x:v>1602.7592975803564</x:v>
      </x:c>
      <x:c r="E17" s="19" t="str">
        <x:v>Max相邻步样本2。</x:v>
      </x:c>
    </x:row>
    <x:row r="18" ht="43" customHeight="1">
      <x:c r="A18" s="279" t="str">
        <x:v>通用Max收口项</x:v>
      </x:c>
      <x:c r="B18" s="297" t="n">
        <x:f>MIN(H7,H10)</x:f>
        <x:v>-2052.372152498232</x:v>
      </x:c>
      <x:c r="C18" s="314" t="n">
        <x:v>0</x:v>
      </x:c>
      <x:c r="D18" s="297" t="n">
        <x:f>MAX(H7,H10)</x:f>
        <x:v>1602.7592975803564</x:v>
      </x:c>
      <x:c r="E18" s="279" t="str">
        <x:v>中心默认0；没有固定Max额外项证据。</x:v>
      </x:c>
    </x:row>
    <x:row r="21" ht="24" customHeight="1">
      <x:c r="A21" s="283" t="str">
        <x:v>YU7长续航→Pro：条件式版本门槛</x:v>
      </x:c>
      <x:c r="B21" s="283"/>
      <x:c r="C21" s="283"/>
      <x:c r="D21" s="283"/>
      <x:c r="E21" s="283"/>
      <x:c r="F21" s="283"/>
      <x:c r="G21" s="283"/>
      <x:c r="H21" s="283"/>
      <x:c r="I21" s="283"/>
      <x:c r="J21" s="283"/>
      <x:c r="K21" s="283"/>
      <x:c r="L21" s="283"/>
      <x:c r="M21" s="283"/>
    </x:row>
    <x:row r="22" ht="40" customHeight="1">
      <x:c r="A22" s="278" t="str">
        <x:v>指标</x:v>
      </x:c>
      <x:c r="B22" s="278" t="str">
        <x:v>κ_low情景</x:v>
      </x:c>
      <x:c r="C22" s="278" t="str">
        <x:v>κ_center情景</x:v>
      </x:c>
      <x:c r="D22" s="278" t="str">
        <x:v>κ_high情景</x:v>
      </x:c>
      <x:c r="E22" s="278" t="str">
        <x:v>区间最小</x:v>
      </x:c>
      <x:c r="F22" s="278" t="str">
        <x:v>区间最大</x:v>
      </x:c>
      <x:c r="G22" s="278" t="str">
        <x:v>状态</x:v>
      </x:c>
      <x:c r="H22" s="278" t="str">
        <x:v>使用规则</x:v>
      </x:c>
    </x:row>
    <x:row r="23" ht="46" customHeight="1">
      <x:c r="A23" s="19" t="str">
        <x:v>门槛余项 G_ladder(κ)</x:v>
      </x:c>
      <x:c r="B23" s="62" t="n">
        <x:f>F9</x:f>
        <x:v>12218.82642428819</x:v>
      </x:c>
      <x:c r="C23" s="62" t="n">
        <x:f>H9</x:f>
        <x:v>11740.216119103821</x:v>
      </x:c>
      <x:c r="D23" s="62" t="n">
        <x:f>J9</x:f>
        <x:v>10097.338660892741</x:v>
      </x:c>
      <x:c r="E23" s="62" t="n">
        <x:f>MIN(B23:D23)</x:f>
        <x:v>10097.338660892741</x:v>
      </x:c>
      <x:c r="F23" s="62" t="n">
        <x:f>MAX(B23:D23)</x:f>
        <x:v>12218.82642428819</x:v>
      </x:c>
      <x:c r="G23" s="19" t="str">
        <x:v>PROVISIONAL_GATE</x:v>
      </x:c>
      <x:c r="H23" s="19" t="str">
        <x:v>按同一κ情景配对使用；不能把三个数再与κ极值自由交叉。</x:v>
      </x:c>
    </x:row>
    <x:row r="24" ht="46" customHeight="1">
      <x:c r="A24" s="279" t="str">
        <x:v>1:1成本平移原始残余</x:v>
      </x:c>
      <x:c r="B24" s="304" t="n">
        <x:f>'12_价差总览'!J11</x:f>
        <x:v>12495.33</x:v>
      </x:c>
      <x:c r="C24" s="304" t="n">
        <x:f>'12_价差总览'!J11</x:f>
        <x:v>12495.33</x:v>
      </x:c>
      <x:c r="D24" s="304" t="n">
        <x:f>'12_价差总览'!J11</x:f>
        <x:v>12495.33</x:v>
      </x:c>
      <x:c r="E24" s="304" t="n">
        <x:f>'12_价差总览'!J11</x:f>
        <x:v>12495.33</x:v>
      </x:c>
      <x:c r="F24" s="304" t="n">
        <x:f>'12_价差总览'!J11</x:f>
        <x:v>12495.33</x:v>
      </x:c>
      <x:c r="G24" s="279" t="str">
        <x:v>UPSTREAM_RESIDUAL</x:v>
      </x:c>
      <x:c r="H24" s="279" t="str">
        <x:v>仅用于回勾；不能与G_ladder再相加。</x:v>
      </x:c>
    </x:row>
    <x:row r="25" ht="46" customHeight="1">
      <x:c r="A25" s="19" t="str">
        <x:v>门槛样本数</x:v>
      </x:c>
      <x:c r="B25" s="19" t="n">
        <x:v>1</x:v>
      </x:c>
      <x:c r="C25" s="19" t="n">
        <x:v>1</x:v>
      </x:c>
      <x:c r="D25" s="19" t="n">
        <x:v>1</x:v>
      </x:c>
      <x:c r="E25" s="19" t="n">
        <x:v>1</x:v>
      </x:c>
      <x:c r="F25" s="19" t="n">
        <x:v>1</x:v>
      </x:c>
      <x:c r="G25" s="19" t="str">
        <x:v>SINGLE_SAMPLE</x:v>
      </x:c>
      <x:c r="H25" s="19" t="str">
        <x:v>不得表述为稳定行业规律。</x:v>
      </x:c>
    </x:row>
    <x:row r="26" ht="46" customHeight="1">
      <x:c r="A26" s="279" t="str">
        <x:v>适用触发</x:v>
      </x:c>
      <x:c r="B26" s="279"/>
      <x:c r="C26" s="279"/>
      <x:c r="D26" s="279"/>
      <x:c r="E26" s="279"/>
      <x:c r="F26" s="279"/>
      <x:c r="G26" s="279" t="str">
        <x:v>FUNCTION_TRIGGER_ONLY</x:v>
      </x:c>
      <x:c r="H26" s="279" t="str">
        <x:v>同核心电池/电压上，双电机＋空悬等形成明确产品层级。</x:v>
      </x:c>
    </x:row>
    <x:row r="29">
      <x:c r="A29" s="296" t="str">
        <x:v>解释：κ中心把LR→Pro的1:1残余12,495.33元下调为11,740.22元，因为已识别硬件部分也按普通桥κ传导。两条Pro→Max的中心余项分别约−2,052元与+1,603元，支持“Max默认额外项=0”，不支持通用固定Max溢价。</x:v>
      </x:c>
      <x:c r="B29" s="296"/>
      <x:c r="C29" s="296"/>
      <x:c r="D29" s="296"/>
      <x:c r="E29" s="296"/>
      <x:c r="F29" s="296"/>
      <x:c r="G29" s="296"/>
      <x:c r="H29" s="296"/>
      <x:c r="I29" s="296"/>
      <x:c r="J29" s="296"/>
      <x:c r="K29" s="296"/>
      <x:c r="L29" s="296"/>
      <x:c r="M29" s="296"/>
    </x:row>
    <x:row r="30">
      <x:c r="A30" s="296"/>
      <x:c r="B30" s="296"/>
      <x:c r="C30" s="296"/>
      <x:c r="D30" s="296"/>
      <x:c r="E30" s="296"/>
      <x:c r="F30" s="296"/>
      <x:c r="G30" s="296"/>
      <x:c r="H30" s="296"/>
      <x:c r="I30" s="296"/>
      <x:c r="J30" s="296"/>
      <x:c r="K30" s="296"/>
      <x:c r="L30" s="296"/>
      <x:c r="M30" s="296"/>
    </x:row>
    <x:row r="31">
      <x:c r="A31" s="296"/>
      <x:c r="B31" s="296"/>
      <x:c r="C31" s="296"/>
      <x:c r="D31" s="296"/>
      <x:c r="E31" s="296"/>
      <x:c r="F31" s="296"/>
      <x:c r="G31" s="296"/>
      <x:c r="H31" s="296"/>
      <x:c r="I31" s="296"/>
      <x:c r="J31" s="296"/>
      <x:c r="K31" s="296"/>
      <x:c r="L31" s="296"/>
      <x:c r="M31" s="296"/>
    </x:row>
  </x:sheetData>
  <x:mergeCells>
    <x:mergeCell ref="A1:O1"/>
    <x:mergeCell ref="A2:O2"/>
    <x:mergeCell ref="A3:O3"/>
    <x:mergeCell ref="A13:M13"/>
    <x:mergeCell ref="A21:M21"/>
    <x:mergeCell ref="A29:M31"/>
  </x:mergeCells>
  <x:conditionalFormatting sqref="F6:J10">
    <x:cfRule type="cellIs" dxfId="266" priority="1" operator="lessThan">
      <x:formula>0</x:formula>
    </x:cfRule>
  </x:conditionalFormatting>
  <x:conditionalFormatting sqref="B6:B10">
    <x:cfRule type="containsText" dxfId="267" priority="2" operator="containsText" text="PASS"/>
    <x:cfRule type="containsText" dxfId="268" priority="3" operator="containsText" text="READY"/>
    <x:cfRule type="containsText" dxfId="269" priority="4" operator="containsText" text="IDENTIFIED"/>
    <x:cfRule type="containsText" dxfId="270" priority="5" operator="containsText" text="CALIBRATION"/>
    <x:cfRule type="containsText" dxfId="271" priority="6" operator="containsText" text="CORROBORATIVE"/>
    <x:cfRule type="containsText" dxfId="272" priority="7" operator="containsText" text="REFERENCE"/>
    <x:cfRule type="containsText" dxfId="273" priority="8" operator="containsText" text="CROSSES_ZERO"/>
    <x:cfRule type="containsText" dxfId="274" priority="9" operator="containsText" text="PENDING"/>
    <x:cfRule type="containsText" dxfId="275" priority="10" operator="containsText" text="PROVISIONAL"/>
    <x:cfRule type="containsText" dxfId="276" priority="11" operator="containsText" text="GATE"/>
    <x:cfRule type="containsText" dxfId="277" priority="12" operator="containsText" text="NOT_IDENTIFIED"/>
    <x:cfRule type="containsText" dxfId="278" priority="13" operator="containsText" text="FAIL"/>
    <x:cfRule type="containsText" dxfId="279" priority="14" operator="containsText" text="DO_NOT_ADD"/>
    <x:cfRule type="containsText" dxfId="280" priority="15" operator="containsText" text="EXCLUDED"/>
  </x:conditionalFormatting>
  <x:conditionalFormatting sqref="K6:K10">
    <x:cfRule type="containsText" dxfId="281" priority="16" operator="containsText" text="PASS"/>
    <x:cfRule type="containsText" dxfId="282" priority="17" operator="containsText" text="READY"/>
    <x:cfRule type="containsText" dxfId="283" priority="18" operator="containsText" text="IDENTIFIED"/>
    <x:cfRule type="containsText" dxfId="284" priority="19" operator="containsText" text="CALIBRATION"/>
    <x:cfRule type="containsText" dxfId="285" priority="20" operator="containsText" text="CORROBORATIVE"/>
    <x:cfRule type="containsText" dxfId="286" priority="21" operator="containsText" text="REFERENCE"/>
    <x:cfRule type="containsText" dxfId="287" priority="22" operator="containsText" text="CROSSES_ZERO"/>
    <x:cfRule type="containsText" dxfId="288" priority="23" operator="containsText" text="PENDING"/>
    <x:cfRule type="containsText" dxfId="289" priority="24" operator="containsText" text="PROVISIONAL"/>
    <x:cfRule type="containsText" dxfId="290" priority="25" operator="containsText" text="GATE"/>
    <x:cfRule type="containsText" dxfId="291" priority="26" operator="containsText" text="NOT_IDENTIFIED"/>
    <x:cfRule type="containsText" dxfId="292" priority="27" operator="containsText" text="FAIL"/>
    <x:cfRule type="containsText" dxfId="293" priority="28" operator="containsText" text="DO_NOT_ADD"/>
    <x:cfRule type="containsText" dxfId="294" priority="29" operator="containsText" text="EXCLUDED"/>
  </x:conditionalFormatting>
  <x:conditionalFormatting sqref="B15:D18">
    <x:cfRule type="cellIs" dxfId="295" priority="30" operator="lessThan">
      <x:formula>0</x:formula>
    </x:cfRule>
  </x:conditionalFormatting>
  <x:conditionalFormatting sqref="G23:G26">
    <x:cfRule type="containsText" dxfId="296" priority="31" operator="containsText" text="PASS"/>
    <x:cfRule type="containsText" dxfId="297" priority="32" operator="containsText" text="READY"/>
    <x:cfRule type="containsText" dxfId="298" priority="33" operator="containsText" text="IDENTIFIED"/>
    <x:cfRule type="containsText" dxfId="299" priority="34" operator="containsText" text="CALIBRATION"/>
    <x:cfRule type="containsText" dxfId="300" priority="35" operator="containsText" text="CORROBORATIVE"/>
    <x:cfRule type="containsText" dxfId="301" priority="36" operator="containsText" text="REFERENCE"/>
    <x:cfRule type="containsText" dxfId="302" priority="37" operator="containsText" text="CROSSES_ZERO"/>
    <x:cfRule type="containsText" dxfId="303" priority="38" operator="containsText" text="PENDING"/>
    <x:cfRule type="containsText" dxfId="304" priority="39" operator="containsText" text="PROVISIONAL"/>
    <x:cfRule type="containsText" dxfId="305" priority="40" operator="containsText" text="GATE"/>
    <x:cfRule type="containsText" dxfId="306" priority="41" operator="containsText" text="NOT_IDENTIFIED"/>
    <x:cfRule type="containsText" dxfId="307" priority="42" operator="containsText" text="FAIL"/>
    <x:cfRule type="containsText" dxfId="308" priority="43" operator="containsText" text="DO_NOT_ADD"/>
    <x:cfRule type="containsText" dxfId="309" priority="44" operator="containsText" text="EXCLUDED"/>
  </x:conditionalFormatting>
  <x:pageMargins left="0.7" right="0.7" top="0.75" bottom="0.75" header="0.3" footer="0.3"/>
</x:worksheet>
</file>

<file path=xl/worksheets/sheet3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6" hidden="0" customWidth="1"/>
    <x:col min="3" max="3" width="18" hidden="0" customWidth="1"/>
    <x:col min="4" max="4" width="14" hidden="0" customWidth="1"/>
    <x:col min="5" max="5" width="14" hidden="0" customWidth="1"/>
    <x:col min="6" max="6" width="14" hidden="0" customWidth="1"/>
    <x:col min="7" max="7" width="13" hidden="0" customWidth="1"/>
    <x:col min="8" max="8" width="13" hidden="0" customWidth="1"/>
    <x:col min="9" max="9" width="13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  <x:col min="19" max="19" width="16" hidden="0" customWidth="1"/>
    <x:col min="20" max="20" width="16" hidden="0" customWidth="1"/>
    <x:col min="21" max="21" width="16" hidden="0" customWidth="1"/>
    <x:col min="22" max="22" width="27" hidden="0" customWidth="1"/>
  </x:cols>
  <x:sheetData>
    <x:row r="1" ht="30" customHeight="1">
      <x:c r="A1" s="266" t="str">
        <x:v>34｜跨车系强锚与版本层级交互</x:v>
      </x:c>
      <x:c r="B1" s="266"/>
      <x:c r="C1" s="266"/>
      <x:c r="D1" s="266"/>
      <x:c r="E1" s="266"/>
      <x:c r="F1" s="266"/>
      <x:c r="G1" s="266"/>
      <x:c r="H1" s="266"/>
      <x:c r="I1" s="266"/>
      <x:c r="J1" s="266"/>
      <x:c r="K1" s="266"/>
      <x:c r="L1" s="266"/>
      <x:c r="M1" s="266"/>
      <x:c r="N1" s="266"/>
      <x:c r="O1" s="266"/>
      <x:c r="P1" s="266"/>
      <x:c r="Q1" s="266"/>
      <x:c r="R1" s="266"/>
      <x:c r="S1" s="266"/>
      <x:c r="T1" s="266"/>
      <x:c r="U1" s="266"/>
      <x:c r="V1" s="266"/>
    </x:row>
    <x:row r="2" ht="22" customHeight="1">
      <x:c r="A2" s="269" t="str">
        <x:v>γ_t = (D_t−D_STD) − κ×(K_t−K_STD)｜共同跨车身BOM在Standard差分中抵消</x:v>
      </x:c>
      <x:c r="B2" s="269"/>
      <x:c r="C2" s="269"/>
      <x:c r="D2" s="269"/>
      <x:c r="E2" s="269"/>
      <x:c r="F2" s="269"/>
      <x:c r="G2" s="269"/>
      <x:c r="H2" s="269"/>
      <x:c r="I2" s="269"/>
      <x:c r="J2" s="269"/>
      <x:c r="K2" s="269"/>
      <x:c r="L2" s="269"/>
      <x:c r="M2" s="269"/>
      <x:c r="N2" s="269"/>
      <x:c r="O2" s="269"/>
      <x:c r="P2" s="269"/>
      <x:c r="Q2" s="269"/>
      <x:c r="R2" s="269"/>
      <x:c r="S2" s="269"/>
      <x:c r="T2" s="269"/>
      <x:c r="U2" s="269"/>
      <x:c r="V2" s="269"/>
    </x:row>
    <x:row r="3" ht="44" customHeight="1">
      <x:c r="A3" s="273" t="str">
        <x:v>κ与已知配置成本各保留Low/Mid/High，形成3×3九组合。完整tier残差与“Standard基线＋tier交互”必须二选一；中间两桥共享SU7 Pro。</x:v>
      </x:c>
      <x:c r="B3" s="273"/>
      <x:c r="C3" s="273"/>
      <x:c r="D3" s="273"/>
      <x:c r="E3" s="273"/>
      <x:c r="F3" s="273"/>
      <x:c r="G3" s="273"/>
      <x:c r="H3" s="273"/>
      <x:c r="I3" s="273"/>
      <x:c r="J3" s="273"/>
      <x:c r="K3" s="273"/>
      <x:c r="L3" s="273"/>
      <x:c r="M3" s="273"/>
      <x:c r="N3" s="273"/>
      <x:c r="O3" s="273"/>
      <x:c r="P3" s="273"/>
      <x:c r="Q3" s="273"/>
      <x:c r="R3" s="273"/>
      <x:c r="S3" s="273"/>
      <x:c r="T3" s="273"/>
      <x:c r="U3" s="273"/>
      <x:c r="V3" s="273"/>
    </x:row>
    <x:row r="5" ht="58" customHeight="1">
      <x:c r="A5" s="278" t="str">
        <x:v>pair_id</x:v>
      </x:c>
      <x:c r="B5" s="278" t="str">
        <x:v>角色</x:v>
      </x:c>
      <x:c r="C5" s="278" t="str">
        <x:v>跨系价差相对Standard</x:v>
      </x:c>
      <x:c r="D5" s="278" t="str">
        <x:v>K_L</x:v>
      </x:c>
      <x:c r="E5" s="278" t="str">
        <x:v>K_M</x:v>
      </x:c>
      <x:c r="F5" s="278" t="str">
        <x:v>K_H</x:v>
      </x:c>
      <x:c r="G5" s="278" t="str">
        <x:v>κ_L</x:v>
      </x:c>
      <x:c r="H5" s="278" t="str">
        <x:v>κ_M</x:v>
      </x:c>
      <x:c r="I5" s="278" t="str">
        <x:v>κ_H</x:v>
      </x:c>
      <x:c r="J5" s="278" t="str">
        <x:v>γ_LL</x:v>
      </x:c>
      <x:c r="K5" s="278" t="str">
        <x:v>γ_LM</x:v>
      </x:c>
      <x:c r="L5" s="278" t="str">
        <x:v>γ_LH</x:v>
      </x:c>
      <x:c r="M5" s="278" t="str">
        <x:v>γ_ML</x:v>
      </x:c>
      <x:c r="N5" s="278" t="str">
        <x:v>γ_MM</x:v>
      </x:c>
      <x:c r="O5" s="278" t="str">
        <x:v>γ_MH</x:v>
      </x:c>
      <x:c r="P5" s="278" t="str">
        <x:v>γ_HL</x:v>
      </x:c>
      <x:c r="Q5" s="278" t="str">
        <x:v>γ_HM</x:v>
      </x:c>
      <x:c r="R5" s="278" t="str">
        <x:v>γ_HH</x:v>
      </x:c>
      <x:c r="S5" s="278" t="str">
        <x:v>交互Min</x:v>
      </x:c>
      <x:c r="T5" s="278" t="str">
        <x:v>交互Mid</x:v>
      </x:c>
      <x:c r="U5" s="278" t="str">
        <x:v>交互Max</x:v>
      </x:c>
      <x:c r="V5" s="278" t="str">
        <x:v>状态</x:v>
      </x:c>
    </x:row>
    <x:row r="6" ht="52" customHeight="1">
      <x:c r="A6" s="58" t="str">
        <x:f>'20_已知差异桥'!A21</x:f>
        <x:v>P23A-STD</x:v>
      </x:c>
      <x:c r="B6" s="58" t="str">
        <x:f>'20_已知差异桥'!B21</x:f>
        <x:v>标准强锚</x:v>
      </x:c>
      <x:c r="C6" s="60" t="n">
        <x:f>'20_已知差异桥'!C21-'20_已知差异桥'!$C$21</x:f>
        <x:v>0</x:v>
      </x:c>
      <x:c r="D6" s="60" t="n">
        <x:f>'20_已知差异桥'!M21</x:f>
        <x:v>0</x:v>
      </x:c>
      <x:c r="E6" s="60" t="n">
        <x:f>'20_已知差异桥'!N21</x:f>
        <x:v>0</x:v>
      </x:c>
      <x:c r="F6" s="60" t="n">
        <x:f>'20_已知差异桥'!O21</x:f>
        <x:v>0</x:v>
      </x:c>
      <x:c r="G6" s="311" t="n">
        <x:f>'32_五桥传导率'!$B$15</x:f>
        <x:v>1.0254431631664882</x:v>
      </x:c>
      <x:c r="H6" s="311" t="n">
        <x:f>'32_五桥传导率'!$B$16</x:f>
        <x:v>1.0694836789414475</x:v>
      </x:c>
      <x:c r="I6" s="311" t="n">
        <x:f>'32_五桥传导率'!$B$17</x:f>
        <x:v>1.2206571280521978</x:v>
      </x:c>
      <x:c r="J6" s="310" t="n">
        <x:f>$C6-$G6*$D6</x:f>
        <x:v>0</x:v>
      </x:c>
      <x:c r="K6" s="310" t="n">
        <x:f>$C6-$G6*$E6</x:f>
        <x:v>0</x:v>
      </x:c>
      <x:c r="L6" s="310" t="n">
        <x:f>$C6-$G6*$F6</x:f>
        <x:v>0</x:v>
      </x:c>
      <x:c r="M6" s="310" t="n">
        <x:f>$C6-$H6*$D6</x:f>
        <x:v>0</x:v>
      </x:c>
      <x:c r="N6" s="310" t="n">
        <x:f>$C6-$H6*$E6</x:f>
        <x:v>0</x:v>
      </x:c>
      <x:c r="O6" s="310" t="n">
        <x:f>$C6-$H6*$F6</x:f>
        <x:v>0</x:v>
      </x:c>
      <x:c r="P6" s="310" t="n">
        <x:f>$C6-$I6*$D6</x:f>
        <x:v>0</x:v>
      </x:c>
      <x:c r="Q6" s="310" t="n">
        <x:f>$C6-$I6*$E6</x:f>
        <x:v>0</x:v>
      </x:c>
      <x:c r="R6" s="310" t="n">
        <x:f>$C6-$I6*$F6</x:f>
        <x:v>0</x:v>
      </x:c>
      <x:c r="S6" s="316" t="n">
        <x:f>MIN(J6:R6)</x:f>
        <x:v>0</x:v>
      </x:c>
      <x:c r="T6" s="316" t="n">
        <x:f>N6</x:f>
        <x:v>0</x:v>
      </x:c>
      <x:c r="U6" s="316" t="n">
        <x:f>MAX(J6:R6)</x:f>
        <x:v>0</x:v>
      </x:c>
      <x:c r="V6" s="19" t="str">
        <x:f>"REFERENCE"</x:f>
        <x:v>REFERENCE</x:v>
      </x:c>
    </x:row>
    <x:row r="7" ht="52" customHeight="1">
      <x:c r="A7" s="302" t="str">
        <x:f>'20_已知差异桥'!A22</x:f>
        <x:v>P23A-RWD96</x:v>
      </x:c>
      <x:c r="B7" s="302" t="str">
        <x:f>'20_已知差异桥'!B22</x:f>
        <x:v>96kWh后驱铰链</x:v>
      </x:c>
      <x:c r="C7" s="304" t="n">
        <x:f>'20_已知差异桥'!C22-'20_已知差异桥'!$C$21</x:f>
        <x:v>-8849.557522123883</x:v>
      </x:c>
      <x:c r="D7" s="304" t="n">
        <x:f>'20_已知差异桥'!M22</x:f>
        <x:v>-3451</x:v>
      </x:c>
      <x:c r="E7" s="304" t="n">
        <x:f>'20_已知差异桥'!N22</x:f>
        <x:v>-4554</x:v>
      </x:c>
      <x:c r="F7" s="304" t="n">
        <x:f>'20_已知差异桥'!O22</x:f>
        <x:v>-5831.5</x:v>
      </x:c>
      <x:c r="G7" s="312" t="n">
        <x:f>'32_五桥传导率'!$B$15</x:f>
        <x:v>1.0254431631664882</x:v>
      </x:c>
      <x:c r="H7" s="312" t="n">
        <x:f>'32_五桥传导率'!$B$16</x:f>
        <x:v>1.0694836789414475</x:v>
      </x:c>
      <x:c r="I7" s="312" t="n">
        <x:f>'32_五桥传导率'!$B$17</x:f>
        <x:v>1.2206571280521978</x:v>
      </x:c>
      <x:c r="J7" s="310" t="n">
        <x:f>$C7-$G7*$D7</x:f>
        <x:v>-5310.753166036333</x:v>
      </x:c>
      <x:c r="K7" s="310" t="n">
        <x:f>$C7-$G7*$E7</x:f>
        <x:v>-4179.689357063696</x:v>
      </x:c>
      <x:c r="L7" s="310" t="n">
        <x:f>$C7-$G7*$F7</x:f>
        <x:v>-2869.685716118507</x:v>
      </x:c>
      <x:c r="M7" s="310" t="n">
        <x:f>$C7-$H7*$D7</x:f>
        <x:v>-5158.769346096948</x:v>
      </x:c>
      <x:c r="N7" s="310" t="n">
        <x:f>$C7-$H7*$E7</x:f>
        <x:v>-3979.128848224532</x:v>
      </x:c>
      <x:c r="O7" s="310" t="n">
        <x:f>$C7-$H7*$F7</x:f>
        <x:v>-2612.863448376832</x:v>
      </x:c>
      <x:c r="P7" s="310" t="n">
        <x:f>$C7-$I7*$D7</x:f>
        <x:v>-4637.069773215749</x:v>
      </x:c>
      <x:c r="Q7" s="310" t="n">
        <x:f>$C7-$I7*$E7</x:f>
        <x:v>-3290.684960974174</x:v>
      </x:c>
      <x:c r="R7" s="310" t="n">
        <x:f>$C7-$I7*$F7</x:f>
        <x:v>-1731.2954798874916</x:v>
      </x:c>
      <x:c r="S7" s="316" t="n">
        <x:f>MIN(J7:R7)</x:f>
        <x:v>-5310.753166036333</x:v>
      </x:c>
      <x:c r="T7" s="316" t="n">
        <x:f>N7</x:f>
        <x:v>-3979.128848224532</x:v>
      </x:c>
      <x:c r="U7" s="316" t="n">
        <x:f>MAX(J7:R7)</x:f>
        <x:v>-1731.2954798874916</x:v>
      </x:c>
      <x:c r="V7" s="279" t="str">
        <x:f>IF(AND(S7&lt;=0,U7&gt;=0),"CROSSES_ZERO",IF(S7&gt;0,"POSITIVE_INTERACTION","NEGATIVE_INTERACTION"))</x:f>
        <x:v>NEGATIVE_INTERACTION</x:v>
      </x:c>
    </x:row>
    <x:row r="8" ht="52" customHeight="1">
      <x:c r="A8" s="58" t="str">
        <x:f>'20_已知差异桥'!A23</x:f>
        <x:v>P23A-CHASSIS96</x:v>
      </x:c>
      <x:c r="B8" s="58" t="str">
        <x:f>'20_已知差异桥'!B23</x:f>
        <x:v>96kWh底盘铰链</x:v>
      </x:c>
      <x:c r="C8" s="60" t="n">
        <x:f>'20_已知差异桥'!C23-'20_已知差异桥'!$C$21</x:f>
        <x:v>14513.274336283212</x:v>
      </x:c>
      <x:c r="D8" s="60" t="n">
        <x:f>'20_已知差异桥'!M23</x:f>
        <x:v>4466</x:v>
      </x:c>
      <x:c r="E8" s="60" t="n">
        <x:f>'20_已知差异桥'!N23</x:f>
        <x:v>6313.5</x:v>
      </x:c>
      <x:c r="F8" s="60" t="n">
        <x:f>'20_已知差异桥'!O23</x:f>
        <x:v>8934.5</x:v>
      </x:c>
      <x:c r="G8" s="311" t="n">
        <x:f>'32_五桥传导率'!$B$15</x:f>
        <x:v>1.0254431631664882</x:v>
      </x:c>
      <x:c r="H8" s="311" t="n">
        <x:f>'32_五桥传导率'!$B$16</x:f>
        <x:v>1.0694836789414475</x:v>
      </x:c>
      <x:c r="I8" s="311" t="n">
        <x:f>'32_五桥传导率'!$B$17</x:f>
        <x:v>1.2206571280521978</x:v>
      </x:c>
      <x:c r="J8" s="310" t="n">
        <x:f>$C8-$G8*$D8</x:f>
        <x:v>9933.645169581676</x:v>
      </x:c>
      <x:c r="K8" s="310" t="n">
        <x:f>$C8-$G8*$E8</x:f>
        <x:v>8039.138925631588</x:v>
      </x:c>
      <x:c r="L8" s="310" t="n">
        <x:f>$C8-$G8*$F8</x:f>
        <x:v>5351.4523949722225</x:v>
      </x:c>
      <x:c r="M8" s="310" t="n">
        <x:f>$C8-$H8*$D8</x:f>
        <x:v>9736.960226130708</x:v>
      </x:c>
      <x:c r="N8" s="310" t="n">
        <x:f>$C8-$H8*$E8</x:f>
        <x:v>7761.089129286383</x:v>
      </x:c>
      <x:c r="O8" s="310" t="n">
        <x:f>$C8-$H8*$F8</x:f>
        <x:v>4957.972406780849</x:v>
      </x:c>
      <x:c r="P8" s="310" t="n">
        <x:f>$C8-$I8*$D8</x:f>
        <x:v>9061.819602402096</x:v>
      </x:c>
      <x:c r="Q8" s="310" t="n">
        <x:f>$C8-$I8*$E8</x:f>
        <x:v>6806.65555832566</x:v>
      </x:c>
      <x:c r="R8" s="310" t="n">
        <x:f>$C8-$I8*$F8</x:f>
        <x:v>3607.313225700849</x:v>
      </x:c>
      <x:c r="S8" s="316" t="n">
        <x:f>MIN(J8:R8)</x:f>
        <x:v>3607.313225700849</x:v>
      </x:c>
      <x:c r="T8" s="316" t="n">
        <x:f>N8</x:f>
        <x:v>7761.089129286383</x:v>
      </x:c>
      <x:c r="U8" s="316" t="n">
        <x:f>MAX(J8:R8)</x:f>
        <x:v>9933.645169581676</x:v>
      </x:c>
      <x:c r="V8" s="19" t="str">
        <x:f>IF(AND(S8&lt;=0,U8&gt;=0),"CROSSES_ZERO",IF(S8&gt;0,"POSITIVE_INTERACTION","NEGATIVE_INTERACTION"))</x:f>
        <x:v>POSITIVE_INTERACTION</x:v>
      </x:c>
    </x:row>
    <x:row r="9" ht="52" customHeight="1">
      <x:c r="A9" s="302" t="str">
        <x:f>'20_已知差异桥'!A24</x:f>
        <x:v>P23A-MAX</x:v>
      </x:c>
      <x:c r="B9" s="302" t="str">
        <x:f>'20_已知差异桥'!B24</x:f>
        <x:v>Max强锚</x:v>
      </x:c>
      <x:c r="C9" s="304" t="n">
        <x:f>'20_已知差异桥'!C24-'20_已知差异桥'!$C$21</x:f>
        <x:v>10973.451327433606</x:v>
      </x:c>
      <x:c r="D9" s="304" t="n">
        <x:f>'20_已知差异桥'!M24</x:f>
        <x:v>-456.75</x:v>
      </x:c>
      <x:c r="E9" s="304" t="n">
        <x:f>'20_已知差异桥'!N24</x:f>
        <x:v>-414</x:v>
      </x:c>
      <x:c r="F9" s="304" t="n">
        <x:f>'20_已知差异桥'!O24</x:f>
        <x:v>-310.3</x:v>
      </x:c>
      <x:c r="G9" s="312" t="n">
        <x:f>'32_五桥传导率'!$B$15</x:f>
        <x:v>1.0254431631664882</x:v>
      </x:c>
      <x:c r="H9" s="312" t="n">
        <x:f>'32_五桥传导率'!$B$16</x:f>
        <x:v>1.0694836789414475</x:v>
      </x:c>
      <x:c r="I9" s="312" t="n">
        <x:f>'32_五桥传导率'!$B$17</x:f>
        <x:v>1.2206571280521978</x:v>
      </x:c>
      <x:c r="J9" s="310" t="n">
        <x:f>$C9-$G9*$D9</x:f>
        <x:v>11441.8224922099</x:v>
      </x:c>
      <x:c r="K9" s="310" t="n">
        <x:f>$C9-$G9*$E9</x:f>
        <x:v>11397.984796984532</x:v>
      </x:c>
      <x:c r="L9" s="310" t="n">
        <x:f>$C9-$G9*$F9</x:f>
        <x:v>11291.646340964167</x:v>
      </x:c>
      <x:c r="M9" s="310" t="n">
        <x:f>$C9-$H9*$D9</x:f>
        <x:v>11461.937997790112</x:v>
      </x:c>
      <x:c r="N9" s="310" t="n">
        <x:f>$C9-$H9*$E9</x:f>
        <x:v>11416.217570515366</x:v>
      </x:c>
      <x:c r="O9" s="310" t="n">
        <x:f>$C9-$H9*$F9</x:f>
        <x:v>11305.312113009137</x:v>
      </x:c>
      <x:c r="P9" s="310" t="n">
        <x:f>$C9-$I9*$D9</x:f>
        <x:v>11530.986470671447</x:v>
      </x:c>
      <x:c r="Q9" s="310" t="n">
        <x:f>$C9-$I9*$E9</x:f>
        <x:v>11478.803378447215</x:v>
      </x:c>
      <x:c r="R9" s="310" t="n">
        <x:f>$C9-$I9*$F9</x:f>
        <x:v>11352.221234268203</x:v>
      </x:c>
      <x:c r="S9" s="316" t="n">
        <x:f>MIN(J9:R9)</x:f>
        <x:v>11291.646340964167</x:v>
      </x:c>
      <x:c r="T9" s="316" t="n">
        <x:f>N9</x:f>
        <x:v>11416.217570515366</x:v>
      </x:c>
      <x:c r="U9" s="316" t="n">
        <x:f>MAX(J9:R9)</x:f>
        <x:v>11530.986470671447</x:v>
      </x:c>
      <x:c r="V9" s="279" t="str">
        <x:f>IF(AND(S9&lt;=0,U9&gt;=0),"CROSSES_ZERO",IF(S9&gt;0,"POSITIVE_INTERACTION","NEGATIVE_INTERACTION"))</x:f>
        <x:v>POSITIVE_INTERACTION</x:v>
      </x:c>
    </x:row>
    <x:row r="12" ht="24" customHeight="1">
      <x:c r="A12" s="283" t="str">
        <x:v>门槛与强锚的一致性——只作佐证，不作加法</x:v>
      </x:c>
      <x:c r="B12" s="283"/>
      <x:c r="C12" s="283"/>
      <x:c r="D12" s="283"/>
      <x:c r="E12" s="283"/>
      <x:c r="F12" s="283"/>
      <x:c r="G12" s="283"/>
      <x:c r="H12" s="283"/>
      <x:c r="I12" s="283"/>
      <x:c r="J12" s="283"/>
      <x:c r="K12" s="283"/>
      <x:c r="L12" s="283"/>
      <x:c r="M12" s="283"/>
      <x:c r="N12" s="283"/>
      <x:c r="O12" s="283"/>
      <x:c r="P12" s="283"/>
      <x:c r="Q12" s="283"/>
      <x:c r="R12" s="283"/>
      <x:c r="S12" s="283"/>
      <x:c r="T12" s="283"/>
      <x:c r="U12" s="283"/>
      <x:c r="V12" s="283"/>
    </x:row>
    <x:row r="13" ht="40" customHeight="1">
      <x:c r="A13" s="278" t="str">
        <x:v>指标</x:v>
      </x:c>
      <x:c r="B13" s="278" t="str">
        <x:v>Low/Min</x:v>
      </x:c>
      <x:c r="C13" s="278" t="str">
        <x:v>Mid</x:v>
      </x:c>
      <x:c r="D13" s="278" t="str">
        <x:v>High/Max</x:v>
      </x:c>
      <x:c r="E13" s="278" t="str">
        <x:v>单位</x:v>
      </x:c>
      <x:c r="F13" s="278" t="str">
        <x:v>状态</x:v>
      </x:c>
      <x:c r="G13" s="278" t="str">
        <x:v>独立权重</x:v>
      </x:c>
      <x:c r="H13" s="278" t="str">
        <x:v>解释</x:v>
      </x:c>
    </x:row>
    <x:row r="14" ht="46" customHeight="1">
      <x:c r="A14" s="19" t="str">
        <x:v>Pro门槛G区间</x:v>
      </x:c>
      <x:c r="B14" s="60" t="n">
        <x:f>'33_定位残差'!E23</x:f>
        <x:v>10097.338660892741</x:v>
      </x:c>
      <x:c r="C14" s="60" t="n">
        <x:f>'33_定位残差'!C23</x:f>
        <x:v>11740.216119103821</x:v>
      </x:c>
      <x:c r="D14" s="60" t="n">
        <x:f>'33_定位残差'!F23</x:f>
        <x:v>12218.82642428819</x:v>
      </x:c>
      <x:c r="E14" s="19" t="str">
        <x:v>元</x:v>
      </x:c>
      <x:c r="F14" s="19" t="str">
        <x:v>PROVISIONAL_GATE</x:v>
      </x:c>
      <x:c r="G14" s="106" t="n">
        <x:v>1</x:v>
      </x:c>
      <x:c r="H14" s="19" t="str">
        <x:v>来自单一车系内门槛桥。</x:v>
      </x:c>
    </x:row>
    <x:row r="15" ht="46" customHeight="1">
      <x:c r="A15" s="279" t="str">
        <x:v>Max−Standard交互</x:v>
      </x:c>
      <x:c r="B15" s="297" t="n">
        <x:f>S9</x:f>
        <x:v>11291.646340964167</x:v>
      </x:c>
      <x:c r="C15" s="297" t="n">
        <x:f>T9</x:f>
        <x:v>11416.217570515366</x:v>
      </x:c>
      <x:c r="D15" s="297" t="n">
        <x:f>U9</x:f>
        <x:v>11530.986470671447</x:v>
      </x:c>
      <x:c r="E15" s="279" t="str">
        <x:v>元</x:v>
      </x:c>
      <x:c r="F15" s="279" t="str">
        <x:v>CORROBORATIVE_NOT_ADDITIVE</x:v>
      </x:c>
      <x:c r="G15" s="292" t="n">
        <x:v>0</x:v>
      </x:c>
      <x:c r="H15" s="279" t="str">
        <x:v>含κ后的整条梯度家族交互，不是Pro→Max额外项。</x:v>
      </x:c>
    </x:row>
    <x:row r="16" ht="46" customHeight="1">
      <x:c r="A16" s="19" t="str">
        <x:v>两区间重叠</x:v>
      </x:c>
      <x:c r="B16" s="62" t="n">
        <x:f>MAX(B14,B15)</x:f>
        <x:v>11291.646340964167</x:v>
      </x:c>
      <x:c r="C16" s="62" t="n">
        <x:f>(B16+D16)/2</x:f>
        <x:v>11411.316405817808</x:v>
      </x:c>
      <x:c r="D16" s="62" t="n">
        <x:f>MIN(D14,D15)</x:f>
        <x:v>11530.986470671447</x:v>
      </x:c>
      <x:c r="E16" s="19" t="str">
        <x:v>元</x:v>
      </x:c>
      <x:c r="F16" s="19" t="str">
        <x:f>IF(B16&lt;=D16,"CORROBORATIVE_OVERLAP","NO_OVERLAP")</x:f>
        <x:v>CORROBORATIVE_OVERLAP</x:v>
      </x:c>
      <x:c r="G16" s="106" t="n">
        <x:v>0</x:v>
      </x:c>
      <x:c r="H16" s="19" t="str">
        <x:v>重叠仅说明量级一致，不增加样本数。</x:v>
      </x:c>
    </x:row>
    <x:row r="17" ht="46" customHeight="1">
      <x:c r="A17" s="279" t="str">
        <x:v>两者中值差绝对值</x:v>
      </x:c>
      <x:c r="B17" s="297" t="n">
        <x:f>ABS(C14-C15)</x:f>
        <x:v>323.9985485884554</x:v>
      </x:c>
      <x:c r="C17" s="297"/>
      <x:c r="D17" s="297"/>
      <x:c r="E17" s="279" t="str">
        <x:v>元</x:v>
      </x:c>
      <x:c r="F17" s="279"/>
      <x:c r="G17" s="292" t="n">
        <x:v>0</x:v>
      </x:c>
      <x:c r="H17" s="279" t="str">
        <x:v>数值很小但共享价格/成本结构，不能视为独立估计。</x:v>
      </x:c>
    </x:row>
    <x:row r="18" ht="46" customHeight="1">
      <x:c r="A18" s="19" t="str">
        <x:v>中间铰链双重差分</x:v>
      </x:c>
      <x:c r="B18" s="62" t="n">
        <x:f>T8-T7</x:f>
        <x:v>11740.217977510914</x:v>
      </x:c>
      <x:c r="C18" s="60" t="n">
        <x:f>'33_定位残差'!C23</x:f>
        <x:v>11740.216119103821</x:v>
      </x:c>
      <x:c r="D18" s="62" t="n">
        <x:f>B18-C18</x:f>
        <x:v>0.0018584070930955932</x:v>
      </x:c>
      <x:c r="E18" s="19" t="str">
        <x:v>元</x:v>
      </x:c>
      <x:c r="F18" s="19" t="str">
        <x:v>DEPENDENT_DIAGNOSTIC</x:v>
      </x:c>
      <x:c r="G18" s="106" t="n">
        <x:v>0</x:v>
      </x:c>
      <x:c r="H18" s="19" t="str">
        <x:v>含κ后回到同一个LR→Pro门槛余项。</x:v>
      </x:c>
    </x:row>
    <x:row r="19" ht="46" customHeight="1">
      <x:c r="A19" s="279" t="str">
        <x:v>Standard共同项α</x:v>
      </x:c>
      <x:c r="B19" s="304" t="n">
        <x:f>MIN('20_已知差异桥'!$C$21-'32_五桥传导率'!$B$15*'28_四桥残差'!$G$6,'20_已知差异桥'!$C$21-'32_五桥传导率'!$B$15*'28_四桥残差'!$H$6,'20_已知差异桥'!$C$21-'32_五桥传导率'!$B$15*'28_四桥残差'!$I$6,'20_已知差异桥'!$C$21-'32_五桥传导率'!$B$16*'28_四桥残差'!$G$6,'20_已知差异桥'!$C$21-'32_五桥传导率'!$B$16*'28_四桥残差'!$H$6,'20_已知差异桥'!$C$21-'32_五桥传导率'!$B$16*'28_四桥残差'!$I$6,'20_已知差异桥'!$C$21-'32_五桥传导率'!$B$17*'28_四桥残差'!$G$6,'20_已知差异桥'!$C$21-'32_五桥传导率'!$B$17*'28_四桥残差'!$H$6,'20_已知差异桥'!$C$21-'32_五桥传导率'!$B$17*'28_四桥残差'!$I$6)</x:f>
        <x:v>-322.4612948842714</x:v>
      </x:c>
      <x:c r="C19" s="304" t="n">
        <x:f>'20_已知差异桥'!$C$21-'32_五桥传导率'!$B$16*'28_四桥残差'!$H$6</x:f>
        <x:v>6343.424278536693</x:v>
      </x:c>
      <x:c r="D19" s="304" t="n">
        <x:f>MAX('20_已知差异桥'!$C$21-'32_五桥传导率'!$B$15*'28_四桥残差'!$G$6,'20_已知差异桥'!$C$21-'32_五桥传导率'!$B$15*'28_四桥残差'!$H$6,'20_已知差异桥'!$C$21-'32_五桥传导率'!$B$15*'28_四桥残差'!$I$6,'20_已知差异桥'!$C$21-'32_五桥传导率'!$B$16*'28_四桥残差'!$G$6,'20_已知差异桥'!$C$21-'32_五桥传导率'!$B$16*'28_四桥残差'!$H$6,'20_已知差异桥'!$C$21-'32_五桥传导率'!$B$16*'28_四桥残差'!$I$6,'20_已知差异桥'!$C$21-'32_五桥传导率'!$B$17*'28_四桥残差'!$G$6,'20_已知差异桥'!$C$21-'32_五桥传导率'!$B$17*'28_四桥残差'!$H$6,'20_已知差异桥'!$C$21-'32_五桥传导率'!$B$17*'28_四桥残差'!$I$6)</x:f>
        <x:v>9192.387823504303</x:v>
      </x:c>
      <x:c r="E19" s="279" t="str">
        <x:v>元</x:v>
      </x:c>
      <x:c r="F19" s="279" t="str">
        <x:v>COMMON_BODY_AND_OMISSION</x:v>
      </x:c>
      <x:c r="G19" s="292" t="n">
        <x:v>0</x:v>
      </x:c>
      <x:c r="H19" s="279" t="str">
        <x:v>κ×共同BOM后仍混合价值、遗漏项与定价，不可固定转移。</x:v>
      </x:c>
    </x:row>
    <x:row r="20" ht="46" customHeight="1">
      <x:c r="A20" s="19" t="str">
        <x:v>表示法约束</x:v>
      </x:c>
      <x:c r="B20" s="19"/>
      <x:c r="C20" s="19"/>
      <x:c r="D20" s="19"/>
      <x:c r="E20" s="19" t="str">
        <x:v>规则</x:v>
      </x:c>
      <x:c r="F20" s="19" t="str">
        <x:v>MUTUALLY_EXCLUSIVE</x:v>
      </x:c>
      <x:c r="G20" s="106" t="n">
        <x:v>0</x:v>
      </x:c>
      <x:c r="H20" s="19" t="str">
        <x:v>完整tier残差 或 Standard基线＋tier交互，二选一。</x:v>
      </x:c>
    </x:row>
    <x:row r="23">
      <x:c r="A23" s="296" t="str">
        <x:v>关键边界：加入综合κ后，Max−Standard交互中值约11,416元，与Pro门槛中心约11,740元方向一致，但它们不是两个可相加的溢价。前者覆盖整条Standard→Max家族梯度，后者来自单一LR→Pro门槛；同时加入会重复解释同一层级分化。</x:v>
      </x:c>
      <x:c r="B23" s="296"/>
      <x:c r="C23" s="296"/>
      <x:c r="D23" s="296"/>
      <x:c r="E23" s="296"/>
      <x:c r="F23" s="296"/>
      <x:c r="G23" s="296"/>
      <x:c r="H23" s="296"/>
      <x:c r="I23" s="296"/>
      <x:c r="J23" s="296"/>
      <x:c r="K23" s="296"/>
      <x:c r="L23" s="296"/>
      <x:c r="M23" s="296"/>
      <x:c r="N23" s="296"/>
      <x:c r="O23" s="296"/>
      <x:c r="P23" s="296"/>
      <x:c r="Q23" s="296"/>
      <x:c r="R23" s="296"/>
      <x:c r="S23" s="296"/>
      <x:c r="T23" s="296"/>
      <x:c r="U23" s="296"/>
      <x:c r="V23" s="296"/>
    </x:row>
    <x:row r="24">
      <x:c r="A24" s="296"/>
      <x:c r="B24" s="296"/>
      <x:c r="C24" s="296"/>
      <x:c r="D24" s="296"/>
      <x:c r="E24" s="296"/>
      <x:c r="F24" s="296"/>
      <x:c r="G24" s="296"/>
      <x:c r="H24" s="296"/>
      <x:c r="I24" s="296"/>
      <x:c r="J24" s="296"/>
      <x:c r="K24" s="296"/>
      <x:c r="L24" s="296"/>
      <x:c r="M24" s="296"/>
      <x:c r="N24" s="296"/>
      <x:c r="O24" s="296"/>
      <x:c r="P24" s="296"/>
      <x:c r="Q24" s="296"/>
      <x:c r="R24" s="296"/>
      <x:c r="S24" s="296"/>
      <x:c r="T24" s="296"/>
      <x:c r="U24" s="296"/>
      <x:c r="V24" s="296"/>
    </x:row>
    <x:row r="25">
      <x:c r="A25" s="296"/>
      <x:c r="B25" s="296"/>
      <x:c r="C25" s="296"/>
      <x:c r="D25" s="296"/>
      <x:c r="E25" s="296"/>
      <x:c r="F25" s="296"/>
      <x:c r="G25" s="296"/>
      <x:c r="H25" s="296"/>
      <x:c r="I25" s="296"/>
      <x:c r="J25" s="296"/>
      <x:c r="K25" s="296"/>
      <x:c r="L25" s="296"/>
      <x:c r="M25" s="296"/>
      <x:c r="N25" s="296"/>
      <x:c r="O25" s="296"/>
      <x:c r="P25" s="296"/>
      <x:c r="Q25" s="296"/>
      <x:c r="R25" s="296"/>
      <x:c r="S25" s="296"/>
      <x:c r="T25" s="296"/>
      <x:c r="U25" s="296"/>
      <x:c r="V25" s="296"/>
    </x:row>
    <x:row r="26">
      <x:c r="A26" s="296"/>
      <x:c r="B26" s="296"/>
      <x:c r="C26" s="296"/>
      <x:c r="D26" s="296"/>
      <x:c r="E26" s="296"/>
      <x:c r="F26" s="296"/>
      <x:c r="G26" s="296"/>
      <x:c r="H26" s="296"/>
      <x:c r="I26" s="296"/>
      <x:c r="J26" s="296"/>
      <x:c r="K26" s="296"/>
      <x:c r="L26" s="296"/>
      <x:c r="M26" s="296"/>
      <x:c r="N26" s="296"/>
      <x:c r="O26" s="296"/>
      <x:c r="P26" s="296"/>
      <x:c r="Q26" s="296"/>
      <x:c r="R26" s="296"/>
      <x:c r="S26" s="296"/>
      <x:c r="T26" s="296"/>
      <x:c r="U26" s="296"/>
      <x:c r="V26" s="296"/>
    </x:row>
  </x:sheetData>
  <x:mergeCells>
    <x:mergeCell ref="A1:V1"/>
    <x:mergeCell ref="A2:V2"/>
    <x:mergeCell ref="A3:V3"/>
    <x:mergeCell ref="A12:V12"/>
    <x:mergeCell ref="A23:V26"/>
  </x:mergeCells>
  <x:conditionalFormatting sqref="J6:U9">
    <x:cfRule type="cellIs" dxfId="310" priority="1" operator="lessThan">
      <x:formula>0</x:formula>
    </x:cfRule>
  </x:conditionalFormatting>
  <x:conditionalFormatting sqref="V6:V9">
    <x:cfRule type="containsText" dxfId="311" priority="2" operator="containsText" text="PASS"/>
    <x:cfRule type="containsText" dxfId="312" priority="3" operator="containsText" text="READY"/>
    <x:cfRule type="containsText" dxfId="313" priority="4" operator="containsText" text="IDENTIFIED"/>
    <x:cfRule type="containsText" dxfId="314" priority="5" operator="containsText" text="CALIBRATION"/>
    <x:cfRule type="containsText" dxfId="315" priority="6" operator="containsText" text="CORROBORATIVE"/>
    <x:cfRule type="containsText" dxfId="316" priority="7" operator="containsText" text="REFERENCE"/>
    <x:cfRule type="containsText" dxfId="317" priority="8" operator="containsText" text="CROSSES_ZERO"/>
    <x:cfRule type="containsText" dxfId="318" priority="9" operator="containsText" text="PENDING"/>
    <x:cfRule type="containsText" dxfId="319" priority="10" operator="containsText" text="PROVISIONAL"/>
    <x:cfRule type="containsText" dxfId="320" priority="11" operator="containsText" text="GATE"/>
    <x:cfRule type="containsText" dxfId="321" priority="12" operator="containsText" text="NOT_IDENTIFIED"/>
    <x:cfRule type="containsText" dxfId="322" priority="13" operator="containsText" text="FAIL"/>
    <x:cfRule type="containsText" dxfId="323" priority="14" operator="containsText" text="DO_NOT_ADD"/>
    <x:cfRule type="containsText" dxfId="324" priority="15" operator="containsText" text="EXCLUDED"/>
  </x:conditionalFormatting>
  <x:conditionalFormatting sqref="B14:D19">
    <x:cfRule type="cellIs" dxfId="325" priority="16" operator="lessThan">
      <x:formula>0</x:formula>
    </x:cfRule>
  </x:conditionalFormatting>
  <x:conditionalFormatting sqref="F14:F20">
    <x:cfRule type="containsText" dxfId="326" priority="17" operator="containsText" text="PASS"/>
    <x:cfRule type="containsText" dxfId="327" priority="18" operator="containsText" text="READY"/>
    <x:cfRule type="containsText" dxfId="328" priority="19" operator="containsText" text="IDENTIFIED"/>
    <x:cfRule type="containsText" dxfId="329" priority="20" operator="containsText" text="CALIBRATION"/>
    <x:cfRule type="containsText" dxfId="330" priority="21" operator="containsText" text="CORROBORATIVE"/>
    <x:cfRule type="containsText" dxfId="331" priority="22" operator="containsText" text="REFERENCE"/>
    <x:cfRule type="containsText" dxfId="332" priority="23" operator="containsText" text="CROSSES_ZERO"/>
    <x:cfRule type="containsText" dxfId="333" priority="24" operator="containsText" text="PENDING"/>
    <x:cfRule type="containsText" dxfId="334" priority="25" operator="containsText" text="PROVISIONAL"/>
    <x:cfRule type="containsText" dxfId="335" priority="26" operator="containsText" text="GATE"/>
    <x:cfRule type="containsText" dxfId="336" priority="27" operator="containsText" text="NOT_IDENTIFIED"/>
    <x:cfRule type="containsText" dxfId="337" priority="28" operator="containsText" text="FAIL"/>
    <x:cfRule type="containsText" dxfId="338" priority="29" operator="containsText" text="DO_NOT_ADD"/>
    <x:cfRule type="containsText" dxfId="339" priority="30" operator="containsText" text="EXCLUDED"/>
  </x:conditionalFormatting>
  <x:pageMargins left="0.7" right="0.7" top="0.75" bottom="0.75" header="0.3" footer="0.3"/>
</x:worksheet>
</file>

<file path=xl/worksheets/sheet3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9" hidden="0" customWidth="1"/>
    <x:col min="3" max="3" width="20" hidden="0" customWidth="1"/>
    <x:col min="4" max="4" width="42" hidden="0" customWidth="1"/>
    <x:col min="5" max="5" width="38" hidden="0" customWidth="1"/>
    <x:col min="6" max="6" width="23" hidden="0" customWidth="1"/>
    <x:col min="7" max="7" width="43" hidden="0" customWidth="1"/>
    <x:col min="8" max="8" width="28" hidden="0" customWidth="1"/>
    <x:col min="9" max="9" width="39" hidden="0" customWidth="1"/>
    <x:col min="10" max="10" width="48" hidden="0" customWidth="1"/>
  </x:cols>
  <x:sheetData>
    <x:row r="1" ht="30" customHeight="1">
      <x:c r="A1" s="266" t="str">
        <x:v>35｜Phase 3 澎程价格桥映射规则</x:v>
      </x:c>
      <x:c r="B1" s="266"/>
      <x:c r="C1" s="266"/>
      <x:c r="D1" s="266"/>
      <x:c r="E1" s="266"/>
      <x:c r="F1" s="266"/>
      <x:c r="G1" s="266"/>
      <x:c r="H1" s="266"/>
      <x:c r="I1" s="266"/>
      <x:c r="J1" s="266"/>
    </x:row>
    <x:row r="2" ht="22" customHeight="1">
      <x:c r="A2" s="269" t="str">
        <x:v>先映射真实销售SKU与可识别成本，再选择互斥的定价项｜本页不提前给澎程价格点</x:v>
      </x:c>
      <x:c r="B2" s="269"/>
      <x:c r="C2" s="269"/>
      <x:c r="D2" s="269"/>
      <x:c r="E2" s="269"/>
      <x:c r="F2" s="269"/>
      <x:c r="G2" s="269"/>
      <x:c r="H2" s="269"/>
      <x:c r="I2" s="269"/>
      <x:c r="J2" s="269"/>
    </x:row>
    <x:row r="3" ht="44" customHeight="1">
      <x:c r="A3" s="273" t="str">
        <x:v>规则的任务是防止“成本倍率、普通散布、Pro门槛、Max交互、跨车身常数、特殊机构”相互重复。Phase3需先完成N70/N90/升顶版的配置与销售版本树。</x:v>
      </x:c>
      <x:c r="B3" s="273"/>
      <x:c r="C3" s="273"/>
      <x:c r="D3" s="273"/>
      <x:c r="E3" s="273"/>
      <x:c r="F3" s="273"/>
      <x:c r="G3" s="273"/>
      <x:c r="H3" s="273"/>
      <x:c r="I3" s="273"/>
      <x:c r="J3" s="273"/>
    </x:row>
    <x:row r="5" ht="48" customHeight="1">
      <x:c r="A5" s="278" t="str">
        <x:v>parameter_id</x:v>
      </x:c>
      <x:c r="B5" s="278" t="str">
        <x:v>Low</x:v>
      </x:c>
      <x:c r="C5" s="278" t="str">
        <x:v>Mid/默认</x:v>
      </x:c>
      <x:c r="D5" s="278" t="str">
        <x:v>High</x:v>
      </x:c>
      <x:c r="E5" s="278" t="str">
        <x:v>单位</x:v>
      </x:c>
      <x:c r="F5" s="278" t="str">
        <x:v>默认加法权重</x:v>
      </x:c>
      <x:c r="G5" s="278" t="str">
        <x:v>识别状态</x:v>
      </x:c>
      <x:c r="H5" s="278" t="str">
        <x:v>来源/用法</x:v>
      </x:c>
    </x:row>
    <x:row r="6" ht="46" customHeight="1">
      <x:c r="A6" s="19" t="str">
        <x:v>P_KAPPA_GROUPED</x:v>
      </x:c>
      <x:c r="B6" s="311" t="n">
        <x:f>'32_五桥传导率'!B15</x:f>
        <x:v>1.0254431631664882</x:v>
      </x:c>
      <x:c r="C6" s="311" t="n">
        <x:f>'32_五桥传导率'!B16</x:f>
        <x:v>1.0694836789414475</x:v>
      </x:c>
      <x:c r="D6" s="311" t="n">
        <x:f>'32_五桥传导率'!B17</x:f>
        <x:v>1.2206571280521978</x:v>
      </x:c>
      <x:c r="E6" s="19" t="str">
        <x:v>x</x:v>
      </x:c>
      <x:c r="F6" s="106" t="n">
        <x:v>1</x:v>
      </x:c>
      <x:c r="G6" s="19" t="str">
        <x:v>PROVISIONAL_IDENTIFIED</x:v>
      </x:c>
      <x:c r="H6" s="19" t="str">
        <x:v>普通硬件价格桥乘数。</x:v>
      </x:c>
    </x:row>
    <x:row r="7" ht="46" customHeight="1">
      <x:c r="A7" s="279" t="str">
        <x:v>P_ORDINARY_EPSILON_ALT</x:v>
      </x:c>
      <x:c r="B7" s="304" t="n">
        <x:f>'33_定位残差'!B15</x:f>
        <x:v>-2052.372152498232</x:v>
      </x:c>
      <x:c r="C7" s="314" t="n">
        <x:f>0</x:f>
        <x:v>0</x:v>
      </x:c>
      <x:c r="D7" s="304" t="n">
        <x:f>'33_定位残差'!D15</x:f>
        <x:v>3287.945419699776</x:v>
      </x:c>
      <x:c r="E7" s="279" t="str">
        <x:v>元</x:v>
      </x:c>
      <x:c r="F7" s="292" t="n">
        <x:v>0</x:v>
      </x:c>
      <x:c r="G7" s="279" t="str">
        <x:v>ALTERNATIVE_ONLY</x:v>
      </x:c>
      <x:c r="H7" s="279" t="str">
        <x:v>只与固定κ_center配套；不能与κ包络叠加。</x:v>
      </x:c>
    </x:row>
    <x:row r="8" ht="46" customHeight="1">
      <x:c r="A8" s="19" t="str">
        <x:v>P_PRO_GATE</x:v>
      </x:c>
      <x:c r="B8" s="60" t="n">
        <x:f>'33_定位残差'!E23</x:f>
        <x:v>10097.338660892741</x:v>
      </x:c>
      <x:c r="C8" s="62" t="n">
        <x:f>'33_定位残差'!C23</x:f>
        <x:v>11740.216119103821</x:v>
      </x:c>
      <x:c r="D8" s="60" t="n">
        <x:f>'33_定位残差'!F23</x:f>
        <x:v>12218.82642428819</x:v>
      </x:c>
      <x:c r="E8" s="19" t="str">
        <x:v>元</x:v>
      </x:c>
      <x:c r="F8" s="106" t="n">
        <x:v>0</x:v>
      </x:c>
      <x:c r="G8" s="19" t="str">
        <x:v>TRIGGER_REQUIRED</x:v>
      </x:c>
      <x:c r="H8" s="19" t="str">
        <x:v>功能门槛触发后按κ场景配对。</x:v>
      </x:c>
    </x:row>
    <x:row r="9" ht="46" customHeight="1">
      <x:c r="A9" s="279" t="str">
        <x:v>P_MAX_GENERIC</x:v>
      </x:c>
      <x:c r="B9" s="304" t="n">
        <x:f>'33_定位残差'!B18</x:f>
        <x:v>-2052.372152498232</x:v>
      </x:c>
      <x:c r="C9" s="314" t="n">
        <x:f>0</x:f>
        <x:v>0</x:v>
      </x:c>
      <x:c r="D9" s="304" t="n">
        <x:f>'33_定位残差'!D18</x:f>
        <x:v>1602.7592975803564</x:v>
      </x:c>
      <x:c r="E9" s="279" t="str">
        <x:v>元</x:v>
      </x:c>
      <x:c r="F9" s="292" t="n">
        <x:v>0</x:v>
      </x:c>
      <x:c r="G9" s="279" t="str">
        <x:v>CENTER_ZERO</x:v>
      </x:c>
      <x:c r="H9" s="279" t="str">
        <x:v>没有通用Max额外项证据。</x:v>
      </x:c>
    </x:row>
    <x:row r="10" ht="46" customHeight="1">
      <x:c r="A10" s="19" t="str">
        <x:v>P_MAX_TIER_INTERACTION_DIAG</x:v>
      </x:c>
      <x:c r="B10" s="60" t="n">
        <x:f>'34_交叉锚'!B15</x:f>
        <x:v>11291.646340964167</x:v>
      </x:c>
      <x:c r="C10" s="62" t="n">
        <x:f>'34_交叉锚'!C15</x:f>
        <x:v>11416.217570515366</x:v>
      </x:c>
      <x:c r="D10" s="60" t="n">
        <x:f>'34_交叉锚'!D15</x:f>
        <x:v>11530.986470671447</x:v>
      </x:c>
      <x:c r="E10" s="19" t="str">
        <x:v>元</x:v>
      </x:c>
      <x:c r="F10" s="106" t="n">
        <x:v>0</x:v>
      </x:c>
      <x:c r="G10" s="19" t="str">
        <x:v>CORROBORATIVE_NOT_ADDITIVE</x:v>
      </x:c>
      <x:c r="H10" s="19" t="str">
        <x:v>只检验整条梯度，不能作Pro→Max增量。</x:v>
      </x:c>
    </x:row>
    <x:row r="11" ht="46" customHeight="1">
      <x:c r="A11" s="279" t="str">
        <x:v>P_COMMON_CROSS_BODY_OMISSION</x:v>
      </x:c>
      <x:c r="B11" s="304" t="n">
        <x:f>'34_交叉锚'!B19</x:f>
        <x:v>-322.4612948842714</x:v>
      </x:c>
      <x:c r="C11" s="297" t="n">
        <x:f>'34_交叉锚'!C19</x:f>
        <x:v>6343.424278536693</x:v>
      </x:c>
      <x:c r="D11" s="304" t="n">
        <x:f>'34_交叉锚'!D19</x:f>
        <x:v>9192.387823504303</x:v>
      </x:c>
      <x:c r="E11" s="279" t="str">
        <x:v>元</x:v>
      </x:c>
      <x:c r="F11" s="292" t="n">
        <x:v>0</x:v>
      </x:c>
      <x:c r="G11" s="279" t="str">
        <x:v>DO_NOT_TRANSFER</x:v>
      </x:c>
      <x:c r="H11" s="279" t="str">
        <x:v>标准桥完整残差，仍含未估项。</x:v>
      </x:c>
    </x:row>
    <x:row r="12" ht="46" customHeight="1">
      <x:c r="A12" s="19" t="str">
        <x:v>P_SPECIAL_MECHANISM</x:v>
      </x:c>
      <x:c r="B12" s="60"/>
      <x:c r="C12" s="62"/>
      <x:c r="D12" s="60"/>
      <x:c r="E12" s="19" t="str">
        <x:v>元</x:v>
      </x:c>
      <x:c r="F12" s="106" t="n">
        <x:v>0</x:v>
      </x:c>
      <x:c r="G12" s="19" t="str">
        <x:v>NOT_IDENTIFIED</x:v>
      </x:c>
      <x:c r="H12" s="19" t="str">
        <x:v>Phase3对升顶/认证/低产量另建。</x:v>
      </x:c>
    </x:row>
    <x:row r="13" ht="46" customHeight="1">
      <x:c r="A13" s="279" t="str">
        <x:v>P_VAT</x:v>
      </x:c>
      <x:c r="B13" s="317"/>
      <x:c r="C13" s="319" t="n">
        <x:v>0.13</x:v>
      </x:c>
      <x:c r="D13" s="317"/>
      <x:c r="E13" s="279" t="str">
        <x:v>%</x:v>
      </x:c>
      <x:c r="F13" s="292" t="n">
        <x:v>1</x:v>
      </x:c>
      <x:c r="G13" s="279" t="str">
        <x:v>FIXED_CURRENT_RATE</x:v>
      </x:c>
      <x:c r="H13" s="279" t="str">
        <x:v>未税价格桥最终乘1+VAT。</x:v>
      </x:c>
    </x:row>
    <x:row r="16" ht="24" customHeight="1">
      <x:c r="A16" s="283" t="str">
        <x:v>澎程三座价格桥的规则入口</x:v>
      </x:c>
      <x:c r="B16" s="283"/>
      <x:c r="C16" s="283"/>
      <x:c r="D16" s="283"/>
      <x:c r="E16" s="283"/>
      <x:c r="F16" s="283"/>
      <x:c r="G16" s="283"/>
      <x:c r="H16" s="283"/>
      <x:c r="I16" s="283"/>
      <x:c r="J16" s="283"/>
    </x:row>
    <x:row r="17" ht="54" customHeight="1">
      <x:c r="A17" s="278" t="str">
        <x:v>rule_id</x:v>
      </x:c>
      <x:c r="B17" s="278" t="str">
        <x:v>候选价格桥</x:v>
      </x:c>
      <x:c r="C17" s="278" t="str">
        <x:v>先验分类</x:v>
      </x:c>
      <x:c r="D17" s="278" t="str">
        <x:v>Phase3触发测试</x:v>
      </x:c>
      <x:c r="E17" s="278" t="str">
        <x:v>模型动作</x:v>
      </x:c>
      <x:c r="F17" s="278" t="str">
        <x:v>当前默认</x:v>
      </x:c>
      <x:c r="G17" s="278" t="str">
        <x:v>防双算</x:v>
      </x:c>
      <x:c r="H17" s="278" t="str">
        <x:v>状态</x:v>
      </x:c>
      <x:c r="I17" s="278" t="str">
        <x:v>Phase3所需输入</x:v>
      </x:c>
      <x:c r="J17" s="278" t="str">
        <x:v>解释边界</x:v>
      </x:c>
    </x:row>
    <x:row r="18" ht="68" customHeight="1">
      <x:c r="A18" s="19" t="str">
        <x:v>R23C-01</x:v>
      </x:c>
      <x:c r="B18" s="19" t="str">
        <x:v>N70→N70 Max</x:v>
      </x:c>
      <x:c r="C18" s="19" t="str">
        <x:v>普通硬件步候选</x:v>
      </x:c>
      <x:c r="D18" s="19" t="str">
        <x:v>先核电池/电驱/底盘差；Max名称本身不触发门槛</x:v>
      </x:c>
      <x:c r="E18" s="19" t="str">
        <x:v>κ×ΔC；ε仅作替代模式；VAT最后</x:v>
      </x:c>
      <x:c r="F18" s="19" t="str">
        <x:v>仅κ路径</x:v>
      </x:c>
      <x:c r="G18" s="19" t="str">
        <x:v>禁止κ包络＋普通ε；禁止因Max名自动加门槛</x:v>
      </x:c>
      <x:c r="H18" s="19" t="str">
        <x:v>PENDING_CONFIG_MAP</x:v>
      </x:c>
      <x:c r="I18" s="19" t="str">
        <x:v>逐项配置差＋成本三情景</x:v>
      </x:c>
      <x:c r="J18" s="19" t="str">
        <x:v>可以按普通硬件桥起算；不能宣称Max固定加价。</x:v>
      </x:c>
    </x:row>
    <x:row r="19" ht="68" customHeight="1">
      <x:c r="A19" s="279" t="str">
        <x:v>R23C-02</x:v>
      </x:c>
      <x:c r="B19" s="279" t="str">
        <x:v>N70→N70 Max</x:v>
      </x:c>
      <x:c r="C19" s="279" t="str">
        <x:v>门槛备选</x:v>
      </x:c>
      <x:c r="D19" s="279" t="str">
        <x:v>若同核心三电上形成双电机＋空悬等明确层级</x:v>
      </x:c>
      <x:c r="E19" s="279" t="str">
        <x:v>κ×ΔC＋G_ladder一次；VAT最后</x:v>
      </x:c>
      <x:c r="F19" s="279" t="str">
        <x:v>触发后加G一次</x:v>
      </x:c>
      <x:c r="G19" s="279" t="str">
        <x:v>不得再加LR→Pro原始残余1.2495万元</x:v>
      </x:c>
      <x:c r="H19" s="279" t="str">
        <x:v>TRIGGER_REQUIRED</x:v>
      </x:c>
      <x:c r="I19" s="279" t="str">
        <x:v>电池/电压/电驱/底盘逐项核对</x:v>
      </x:c>
      <x:c r="J19" s="279" t="str">
        <x:v>只能称条件式版本门槛，不能直接照搬历史金额。</x:v>
      </x:c>
    </x:row>
    <x:row r="20" ht="68" customHeight="1">
      <x:c r="A20" s="19" t="str">
        <x:v>R23C-03</x:v>
      </x:c>
      <x:c r="B20" s="19" t="str">
        <x:v>任意Pro→Max</x:v>
      </x:c>
      <x:c r="C20" s="19" t="str">
        <x:v>普通硬件步</x:v>
      </x:c>
      <x:c r="D20" s="19" t="str">
        <x:v>两条现有Pro→Max均落入普通κ组</x:v>
      </x:c>
      <x:c r="E20" s="19" t="str">
        <x:v>κ×ΔC；通用G_Max=0</x:v>
      </x:c>
      <x:c r="F20" s="19" t="str">
        <x:v>G_Max=0</x:v>
      </x:c>
      <x:c r="G20" s="19" t="str">
        <x:v>不得把约1.14万元整梯度交互当相邻增量</x:v>
      </x:c>
      <x:c r="H20" s="19" t="str">
        <x:v>PASS</x:v>
      </x:c>
      <x:c r="I20" s="19" t="str">
        <x:v>可识别Max新增成本</x:v>
      </x:c>
      <x:c r="J20" s="19" t="str">
        <x:v>可以说Max默认额外项为0；不能说存在通用Max固定溢价。</x:v>
      </x:c>
    </x:row>
    <x:row r="21" ht="68" customHeight="1">
      <x:c r="A21" s="279" t="str">
        <x:v>R23C-04</x:v>
      </x:c>
      <x:c r="B21" s="279" t="str">
        <x:v>N70 Max→N90 Max</x:v>
      </x:c>
      <x:c r="C21" s="279" t="str">
        <x:v>跨车身/座位步</x:v>
      </x:c>
      <x:c r="D21" s="279" t="str">
        <x:v>尺寸、座位、车身、底盘及旗舰配置须bottom-up</x:v>
      </x:c>
      <x:c r="E21" s="279" t="str">
        <x:v>κ×已识别ΔC＋经验证的X_body×tier</x:v>
      </x:c>
      <x:c r="F21" s="279" t="str">
        <x:v>先建body bridge</x:v>
      </x:c>
      <x:c r="G21" s="279" t="str">
        <x:v>禁止固定跨车系常数＋tier交互重复加入</x:v>
      </x:c>
      <x:c r="H21" s="279" t="str">
        <x:v>PENDING_BODY_BRIDGE</x:v>
      </x:c>
      <x:c r="I21" s="279" t="str">
        <x:v>尺寸/质量/座椅/车身/闭合件</x:v>
      </x:c>
      <x:c r="J21" s="279" t="str">
        <x:v>可以建立独立跨车身桥；不能套YU7−SU7固定价差。</x:v>
      </x:c>
    </x:row>
    <x:row r="22" ht="68" customHeight="1">
      <x:c r="A22" s="19" t="str">
        <x:v>R23C-05</x:v>
      </x:c>
      <x:c r="B22" s="19" t="str">
        <x:v>N90 Max→升顶版</x:v>
      </x:c>
      <x:c r="C22" s="19" t="str">
        <x:v>特殊机制步</x:v>
      </x:c>
      <x:c r="D22" s="19" t="str">
        <x:v>升顶机构、密封、认证、低产量与生活设施单列</x:v>
      </x:c>
      <x:c r="E22" s="19" t="str">
        <x:v>κ×普通硬件＋S_special bottom-up</x:v>
      </x:c>
      <x:c r="F22" s="19" t="str">
        <x:v>特殊项另建</x:v>
      </x:c>
      <x:c r="G22" s="19" t="str">
        <x:v>特殊机构/认证/摊销不得塞入κ</x:v>
      </x:c>
      <x:c r="H22" s="19" t="str">
        <x:v>NOT_IDENTIFIED</x:v>
      </x:c>
      <x:c r="I22" s="19" t="str">
        <x:v>机构BOM/认证/预计产量</x:v>
      </x:c>
      <x:c r="J22" s="19" t="str">
        <x:v>必须建立特殊版本模型，不能拿普通Max样本线性外推。</x:v>
      </x:c>
    </x:row>
    <x:row r="23" ht="68" customHeight="1">
      <x:c r="A23" s="279" t="str">
        <x:v>R23C-06</x:v>
      </x:c>
      <x:c r="B23" s="279" t="str">
        <x:v>不确定性选择</x:v>
      </x:c>
      <x:c r="C23" s="279" t="str">
        <x:v>互斥方法</x:v>
      </x:c>
      <x:c r="D23" s="279" t="str">
        <x:v>方法A=κ包络；方法B=κ中心＋普通ε散布</x:v>
      </x:c>
      <x:c r="E23" s="279" t="str">
        <x:v>A或B二选一；门槛另按触发处理</x:v>
      </x:c>
      <x:c r="F23" s="279" t="str">
        <x:v>方法A优先</x:v>
      </x:c>
      <x:c r="G23" s="279" t="str">
        <x:v>A＋B禁止同时使用</x:v>
      </x:c>
      <x:c r="H23" s="279" t="str">
        <x:v>PASS</x:v>
      </x:c>
      <x:c r="I23" s="279" t="str">
        <x:v>模型模式开关</x:v>
      </x:c>
      <x:c r="J23" s="279" t="str">
        <x:v>只是经验敏感性，不是统计置信区间。</x:v>
      </x:c>
    </x:row>
    <x:row r="24" ht="68" customHeight="1">
      <x:c r="A24" s="19" t="str">
        <x:v>R23C-07</x:v>
      </x:c>
      <x:c r="B24" s="19" t="str">
        <x:v>跨车系表示</x:v>
      </x:c>
      <x:c r="C24" s="19" t="str">
        <x:v>互斥表示</x:v>
      </x:c>
      <x:c r="D24" s="19" t="str">
        <x:v>直接目标tier完整残差 或 Standard基线＋tier交互</x:v>
      </x:c>
      <x:c r="E24" s="19" t="str">
        <x:v>两种代数表示二选一</x:v>
      </x:c>
      <x:c r="F24" s="19" t="str">
        <x:v>二选一</x:v>
      </x:c>
      <x:c r="G24" s="19" t="str">
        <x:v>完整残差＋基线＋交互禁止相加</x:v>
      </x:c>
      <x:c r="H24" s="19" t="str">
        <x:v>PASS</x:v>
      </x:c>
      <x:c r="I24" s="19" t="str">
        <x:v>目标tier锚选择</x:v>
      </x:c>
      <x:c r="J24" s="19" t="str">
        <x:v>可以称代数等价表示；不能把两套数值相加。</x:v>
      </x:c>
    </x:row>
    <x:row r="25" ht="68" customHeight="1">
      <x:c r="A25" s="279" t="str">
        <x:v>R23C-08</x:v>
      </x:c>
      <x:c r="B25" s="279" t="str">
        <x:v>含税转换</x:v>
      </x:c>
      <x:c r="C25" s="279" t="str">
        <x:v>口径步骤</x:v>
      </x:c>
      <x:c r="D25" s="279" t="str">
        <x:v>所有成本与定位项先在未税口径汇总</x:v>
      </x:c>
      <x:c r="E25" s="279" t="str">
        <x:v>P_inclVAT=(P_base_exVAT+ΔP_exVAT)×(1+VAT)</x:v>
      </x:c>
      <x:c r="F25" s="279" t="str">
        <x:v>最后一步</x:v>
      </x:c>
      <x:c r="G25" s="279" t="str">
        <x:v>各分项不得重复乘VAT</x:v>
      </x:c>
      <x:c r="H25" s="279" t="str">
        <x:v>PASS</x:v>
      </x:c>
      <x:c r="I25" s="279" t="str">
        <x:v>当前VAT假设</x:v>
      </x:c>
      <x:c r="J25" s="279" t="str">
        <x:v>未税价格桥最后转含税指导价；不能把未税元直接当零售价。</x:v>
      </x:c>
    </x:row>
    <x:row r="28" ht="24" customHeight="1">
      <x:c r="A28" s="283" t="str">
        <x:v>Phase 3 计算模板（公式蓝图，不是澎程价格预测）</x:v>
      </x:c>
      <x:c r="B28" s="283"/>
      <x:c r="C28" s="283"/>
      <x:c r="D28" s="283"/>
      <x:c r="E28" s="283"/>
      <x:c r="F28" s="283"/>
      <x:c r="G28" s="283"/>
      <x:c r="H28" s="283"/>
      <x:c r="I28" s="283"/>
      <x:c r="J28" s="283"/>
    </x:row>
    <x:row r="29" ht="40" customHeight="1">
      <x:c r="A29" s="278" t="str">
        <x:v>步骤</x:v>
      </x:c>
      <x:c r="B29" s="278" t="str">
        <x:v>公式/动作</x:v>
      </x:c>
      <x:c r="C29" s="278" t="str">
        <x:v>输入</x:v>
      </x:c>
      <x:c r="D29" s="278" t="str">
        <x:v>验收</x:v>
      </x:c>
      <x:c r="F29" s="322" t="str">
        <x:v>本阶段可直接交给Phase 3的只有：综合κ=四条普通桥的经验区间与稳健中心；Pro门槛=单样本、条件式；Max通用额外项=0；跨车系交互=诊断项；特殊机构=未识别。下一步必须先锁定澎程真实销售版本树，才能决定哪个开关被激活。</x:v>
      </x:c>
      <x:c r="G29" s="322"/>
      <x:c r="H29" s="322"/>
      <x:c r="I29" s="322"/>
      <x:c r="J29" s="322"/>
    </x:row>
    <x:row r="30" ht="48" customHeight="1">
      <x:c r="A30" s="19" t="str">
        <x:v>1 锁SKU</x:v>
      </x:c>
      <x:c r="B30" s="19" t="str">
        <x:v>申报车型→真实销售版本树</x:v>
      </x:c>
      <x:c r="C30" s="19" t="str">
        <x:v>工信部＋发布会＋官方App</x:v>
      </x:c>
      <x:c r="D30" s="19" t="str">
        <x:v>N70/N90/升顶版不串配。</x:v>
      </x:c>
      <x:c r="F30" s="322"/>
      <x:c r="G30" s="322"/>
      <x:c r="H30" s="322"/>
      <x:c r="I30" s="322"/>
      <x:c r="J30" s="322"/>
    </x:row>
    <x:row r="31" ht="48" customHeight="1">
      <x:c r="A31" s="279" t="str">
        <x:v>2 建成本桥</x:v>
      </x:c>
      <x:c r="B31" s="279" t="str">
        <x:v>ΔC_identified_L/M/H</x:v>
      </x:c>
      <x:c r="C31" s="279" t="str">
        <x:v>电池、电驱、底盘、车身、座舱、特殊机构</x:v>
      </x:c>
      <x:c r="D31" s="279" t="str">
        <x:v>防重复计数签核。</x:v>
      </x:c>
      <x:c r="F31" s="322"/>
      <x:c r="G31" s="322"/>
      <x:c r="H31" s="322"/>
      <x:c r="I31" s="322"/>
      <x:c r="J31" s="322"/>
    </x:row>
    <x:row r="32" ht="48" customHeight="1">
      <x:c r="A32" s="19" t="str">
        <x:v>3 普通传导</x:v>
      </x:c>
      <x:c r="B32" s="19" t="str">
        <x:v>κ_s × ΔC_s</x:v>
      </x:c>
      <x:c r="C32" s="19" t="str">
        <x:v>P_KAPPA_GROUPED</x:v>
      </x:c>
      <x:c r="D32" s="19" t="str">
        <x:v>κ只乘已识别变量成本。</x:v>
      </x:c>
      <x:c r="F32" s="322"/>
      <x:c r="G32" s="322"/>
      <x:c r="H32" s="322"/>
      <x:c r="I32" s="322"/>
      <x:c r="J32" s="322"/>
    </x:row>
    <x:row r="33" ht="48" customHeight="1">
      <x:c r="A33" s="279" t="str">
        <x:v>4 选择加法项</x:v>
      </x:c>
      <x:c r="B33" s="279" t="str">
        <x:v>+G_ladder + X_body×tier + S_special</x:v>
      </x:c>
      <x:c r="C33" s="279" t="str">
        <x:v>触发测试</x:v>
      </x:c>
      <x:c r="D33" s="279" t="str">
        <x:v>每个经济含义只解释一次。</x:v>
      </x:c>
      <x:c r="F33" s="322"/>
      <x:c r="G33" s="322"/>
      <x:c r="H33" s="322"/>
      <x:c r="I33" s="322"/>
      <x:c r="J33" s="322"/>
    </x:row>
    <x:row r="34" ht="48" customHeight="1">
      <x:c r="A34" s="19" t="str">
        <x:v>5 处理不确定性</x:v>
      </x:c>
      <x:c r="B34" s="19" t="str">
        <x:v>κ包络 或 κ中心＋ε</x:v>
      </x:c>
      <x:c r="C34" s="19" t="str">
        <x:v>互斥模式</x:v>
      </x:c>
      <x:c r="D34" s="19" t="str">
        <x:v>禁止双算散布。</x:v>
      </x:c>
      <x:c r="F34" s="322"/>
      <x:c r="G34" s="322"/>
      <x:c r="H34" s="322"/>
      <x:c r="I34" s="322"/>
      <x:c r="J34" s="322"/>
    </x:row>
    <x:row r="35" ht="48" customHeight="1">
      <x:c r="A35" s="279" t="str">
        <x:v>6 转含税与市场校准</x:v>
      </x:c>
      <x:c r="B35" s="279" t="str">
        <x:v>P_inclVAT=(P_base_exVAT+ΔP_exVAT)×(1+VAT)</x:v>
      </x:c>
      <x:c r="C35" s="279" t="str">
        <x:v>预售价/竞品/心理价位</x:v>
      </x:c>
      <x:c r="D35" s="279" t="str">
        <x:v>市场锚只在成本桥之后。</x:v>
      </x:c>
      <x:c r="F35" s="322"/>
      <x:c r="G35" s="322"/>
      <x:c r="H35" s="322"/>
      <x:c r="I35" s="322"/>
      <x:c r="J35" s="322"/>
    </x:row>
  </x:sheetData>
  <x:mergeCells>
    <x:mergeCell ref="A1:J1"/>
    <x:mergeCell ref="A2:J2"/>
    <x:mergeCell ref="A3:J3"/>
    <x:mergeCell ref="A16:J16"/>
    <x:mergeCell ref="A28:J28"/>
    <x:mergeCell ref="F29:J35"/>
  </x:mergeCells>
  <x:conditionalFormatting sqref="G6:G13">
    <x:cfRule type="containsText" dxfId="340" priority="1" operator="containsText" text="PASS"/>
    <x:cfRule type="containsText" dxfId="341" priority="2" operator="containsText" text="READY"/>
    <x:cfRule type="containsText" dxfId="342" priority="3" operator="containsText" text="IDENTIFIED"/>
    <x:cfRule type="containsText" dxfId="343" priority="4" operator="containsText" text="CALIBRATION"/>
    <x:cfRule type="containsText" dxfId="344" priority="5" operator="containsText" text="CORROBORATIVE"/>
    <x:cfRule type="containsText" dxfId="345" priority="6" operator="containsText" text="REFERENCE"/>
    <x:cfRule type="containsText" dxfId="346" priority="7" operator="containsText" text="CROSSES_ZERO"/>
    <x:cfRule type="containsText" dxfId="347" priority="8" operator="containsText" text="PENDING"/>
    <x:cfRule type="containsText" dxfId="348" priority="9" operator="containsText" text="PROVISIONAL"/>
    <x:cfRule type="containsText" dxfId="349" priority="10" operator="containsText" text="GATE"/>
    <x:cfRule type="containsText" dxfId="350" priority="11" operator="containsText" text="NOT_IDENTIFIED"/>
    <x:cfRule type="containsText" dxfId="351" priority="12" operator="containsText" text="FAIL"/>
    <x:cfRule type="containsText" dxfId="352" priority="13" operator="containsText" text="DO_NOT_ADD"/>
    <x:cfRule type="containsText" dxfId="353" priority="14" operator="containsText" text="EXCLUDED"/>
  </x:conditionalFormatting>
  <x:conditionalFormatting sqref="B7:D12">
    <x:cfRule type="cellIs" dxfId="354" priority="15" operator="lessThan">
      <x:formula>0</x:formula>
    </x:cfRule>
  </x:conditionalFormatting>
  <x:conditionalFormatting sqref="H18:H25">
    <x:cfRule type="containsText" dxfId="355" priority="16" operator="containsText" text="PASS"/>
    <x:cfRule type="containsText" dxfId="356" priority="17" operator="containsText" text="READY"/>
    <x:cfRule type="containsText" dxfId="357" priority="18" operator="containsText" text="IDENTIFIED"/>
    <x:cfRule type="containsText" dxfId="358" priority="19" operator="containsText" text="CALIBRATION"/>
    <x:cfRule type="containsText" dxfId="359" priority="20" operator="containsText" text="CORROBORATIVE"/>
    <x:cfRule type="containsText" dxfId="360" priority="21" operator="containsText" text="REFERENCE"/>
    <x:cfRule type="containsText" dxfId="361" priority="22" operator="containsText" text="CROSSES_ZERO"/>
    <x:cfRule type="containsText" dxfId="362" priority="23" operator="containsText" text="PENDING"/>
    <x:cfRule type="containsText" dxfId="363" priority="24" operator="containsText" text="PROVISIONAL"/>
    <x:cfRule type="containsText" dxfId="364" priority="25" operator="containsText" text="GATE"/>
    <x:cfRule type="containsText" dxfId="365" priority="26" operator="containsText" text="NOT_IDENTIFIED"/>
    <x:cfRule type="containsText" dxfId="366" priority="27" operator="containsText" text="FAIL"/>
    <x:cfRule type="containsText" dxfId="367" priority="28" operator="containsText" text="DO_NOT_ADD"/>
    <x:cfRule type="containsText" dxfId="368" priority="29" operator="containsText" text="EXCLUDED"/>
  </x:conditionalFormatting>
  <x:pageMargins left="0.7" right="0.7" top="0.75" bottom="0.75" header="0.3" footer="0.3"/>
</x:worksheet>
</file>

<file path=xl/worksheets/sheet3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42" hidden="0" customWidth="1"/>
    <x:col min="3" max="3" width="18" hidden="0" customWidth="1"/>
    <x:col min="4" max="4" width="22" hidden="0" customWidth="1"/>
    <x:col min="5" max="5" width="13" hidden="0" customWidth="1"/>
    <x:col min="6" max="6" width="14" hidden="0" customWidth="1"/>
    <x:col min="7" max="7" width="46" hidden="0" customWidth="1"/>
  </x:cols>
  <x:sheetData>
    <x:row r="1" ht="30" customHeight="1">
      <x:c r="A1" s="266" t="str">
        <x:v>36｜Phase 2.3C 模型校验</x:v>
      </x:c>
      <x:c r="B1" s="266"/>
      <x:c r="C1" s="266"/>
      <x:c r="D1" s="266"/>
      <x:c r="E1" s="266"/>
      <x:c r="F1" s="266"/>
      <x:c r="G1" s="266"/>
    </x:row>
    <x:row r="2" ht="22" customHeight="1">
      <x:c r="A2" s="269" t="str">
        <x:v>来源回勾、κ样本、门槛拆分、强锚交互、防双算与阶段入口</x:v>
      </x:c>
      <x:c r="B2" s="269"/>
      <x:c r="C2" s="269"/>
      <x:c r="D2" s="269"/>
      <x:c r="E2" s="269"/>
      <x:c r="F2" s="269"/>
      <x:c r="G2" s="269"/>
    </x:row>
    <x:row r="3" ht="44" customHeight="1">
      <x:c r="A3" s="273" t="str">
        <x:v>金额容差0.01元，倍率容差0.000001。PASS只说明口径和公式闭合，不表示真实采购成本或定价机制已经被厂家确认。</x:v>
      </x:c>
      <x:c r="B3" s="273"/>
      <x:c r="C3" s="273"/>
      <x:c r="D3" s="273"/>
      <x:c r="E3" s="273"/>
      <x:c r="F3" s="273"/>
      <x:c r="G3" s="273"/>
    </x:row>
    <x:row r="5" ht="42" customHeight="1">
      <x:c r="A5" s="278" t="str">
        <x:v>check_id</x:v>
      </x:c>
      <x:c r="B5" s="278" t="str">
        <x:v>检查</x:v>
      </x:c>
      <x:c r="C5" s="278" t="str">
        <x:v>期望</x:v>
      </x:c>
      <x:c r="D5" s="278" t="str">
        <x:v>实际</x:v>
      </x:c>
      <x:c r="E5" s="278" t="str">
        <x:v>容差</x:v>
      </x:c>
      <x:c r="F5" s="278" t="str">
        <x:v>状态</x:v>
      </x:c>
      <x:c r="G5" s="278" t="str">
        <x:v>修复提示</x:v>
      </x:c>
    </x:row>
    <x:row r="6" ht="34" customHeight="1">
      <x:c r="A6" s="19" t="str">
        <x:v>C01_BRIDGE_COUNT</x:v>
      </x:c>
      <x:c r="B6" s="19" t="str">
        <x:v>五桥数量</x:v>
      </x:c>
      <x:c r="C6" s="62" t="n">
        <x:v>5</x:v>
      </x:c>
      <x:c r="D6" s="62" t="n">
        <x:f>COUNTA('32_五桥传导率'!$A$6:$A$10)</x:f>
        <x:v>5</x:v>
      </x:c>
      <x:c r="E6" s="62" t="n">
        <x:v>0</x:v>
      </x:c>
      <x:c r="F6" s="19" t="str">
        <x:f>IF(ABS(D6-C6)&lt;=E6,"PASS","FAIL")</x:f>
        <x:v>PASS</x:v>
      </x:c>
      <x:c r="G6" s="19" t="str">
        <x:v>应为5。</x:v>
      </x:c>
    </x:row>
    <x:row r="7" ht="34" customHeight="1">
      <x:c r="A7" s="279" t="str">
        <x:v>C02_CALIBRATION_COUNT</x:v>
      </x:c>
      <x:c r="B7" s="279" t="str">
        <x:v>普通中心校准样本数</x:v>
      </x:c>
      <x:c r="C7" s="297" t="n">
        <x:v>4</x:v>
      </x:c>
      <x:c r="D7" s="297" t="n">
        <x:f>COUNTIF('32_五桥传导率'!$E$6:$E$10,"CALIBRATION")</x:f>
        <x:v>4</x:v>
      </x:c>
      <x:c r="E7" s="297" t="n">
        <x:v>0</x:v>
      </x:c>
      <x:c r="F7" s="279" t="str">
        <x:f>IF(ABS(D7-C7)&lt;=E7,"PASS","FAIL")</x:f>
        <x:v>PASS</x:v>
      </x:c>
      <x:c r="G7" s="279" t="str">
        <x:v>LR→Pro必须剔除。</x:v>
      </x:c>
    </x:row>
    <x:row r="8" ht="34" customHeight="1">
      <x:c r="A8" s="19" t="str">
        <x:v>C03_GATE_COUNT</x:v>
      </x:c>
      <x:c r="B8" s="19" t="str">
        <x:v>门槛诊断样本数</x:v>
      </x:c>
      <x:c r="C8" s="62" t="n">
        <x:v>1</x:v>
      </x:c>
      <x:c r="D8" s="62" t="n">
        <x:f>COUNTIF('32_五桥传导率'!$E$6:$E$10,"GATE_DIAGNOSTIC")</x:f>
        <x:v>1</x:v>
      </x:c>
      <x:c r="E8" s="62" t="n">
        <x:v>0</x:v>
      </x:c>
      <x:c r="F8" s="19" t="str">
        <x:f>IF(ABS(D8-C8)&lt;=E8,"PASS","FAIL")</x:f>
        <x:v>PASS</x:v>
      </x:c>
      <x:c r="G8" s="19" t="str">
        <x:v>只能有LR→Pro。</x:v>
      </x:c>
    </x:row>
    <x:row r="9" ht="34" customHeight="1">
      <x:c r="A9" s="279" t="str">
        <x:v>C04_GT_EXCLUDED</x:v>
      </x:c>
      <x:c r="B9" s="279" t="str">
        <x:v>核心桥中GT数量</x:v>
      </x:c>
      <x:c r="C9" s="297" t="n">
        <x:v>0</x:v>
      </x:c>
      <x:c r="D9" s="297" t="n">
        <x:f>COUNTIF('32_五桥传导率'!$A$6:$N$10,"*GT*")</x:f>
        <x:v>0</x:v>
      </x:c>
      <x:c r="E9" s="297" t="n">
        <x:v>0</x:v>
      </x:c>
      <x:c r="F9" s="279" t="str">
        <x:f>IF(ABS(D9-C9)&lt;=E9,"PASS","FAIL")</x:f>
        <x:v>PASS</x:v>
      </x:c>
      <x:c r="G9" s="279" t="str">
        <x:v>GT留出。</x:v>
      </x:c>
    </x:row>
    <x:row r="10" ht="34" customHeight="1">
      <x:c r="A10" s="19" t="str">
        <x:v>C05_PRICE_TIE</x:v>
      </x:c>
      <x:c r="B10" s="19" t="str">
        <x:v>未税售价差源回勾最大差异</x:v>
      </x:c>
      <x:c r="C10" s="62" t="n">
        <x:v>0</x:v>
      </x:c>
      <x:c r="D10" s="62" t="n">
        <x:f>MAX(ABS('32_五桥传导率'!F6-'04_售价成本校准'!G7),ABS('32_五桥传导率'!F7-'04_售价成本校准'!G8),ABS('32_五桥传导率'!F8-'04_售价成本校准'!G9),ABS('32_五桥传导率'!F9-'04_售价成本校准'!G10),ABS('32_五桥传导率'!F10-'04_售价成本校准'!G11))</x:f>
        <x:v>0</x:v>
      </x:c>
      <x:c r="E10" s="62" t="n">
        <x:v>0.01</x:v>
      </x:c>
      <x:c r="F10" s="19" t="str">
        <x:f>IF(ABS(D10-C10)&lt;=E10,"PASS","FAIL")</x:f>
        <x:v>PASS</x:v>
      </x:c>
      <x:c r="G10" s="19" t="str">
        <x:v>检查04→32。</x:v>
      </x:c>
    </x:row>
    <x:row r="11" ht="34" customHeight="1">
      <x:c r="A11" s="279" t="str">
        <x:v>C06_COST_LOW_TIE</x:v>
      </x:c>
      <x:c r="B11" s="279" t="str">
        <x:v>Low总成本源回勾最大差异</x:v>
      </x:c>
      <x:c r="C11" s="297" t="n">
        <x:v>0</x:v>
      </x:c>
      <x:c r="D11" s="297" t="n">
        <x:f>MAX(ABS('32_五桥传导率'!G6-'04_售价成本校准'!K7),ABS('32_五桥传导率'!G7-'04_售价成本校准'!K8),ABS('32_五桥传导率'!G8-'04_售价成本校准'!K9),ABS('32_五桥传导率'!G9-'04_售价成本校准'!K10),ABS('32_五桥传导率'!G10-'04_售价成本校准'!K11))</x:f>
        <x:v>0</x:v>
      </x:c>
      <x:c r="E11" s="297" t="n">
        <x:v>0.01</x:v>
      </x:c>
      <x:c r="F11" s="279" t="str">
        <x:f>IF(ABS(D11-C11)&lt;=E11,"PASS","FAIL")</x:f>
        <x:v>PASS</x:v>
      </x:c>
      <x:c r="G11" s="279" t="str">
        <x:v>检查04→32。</x:v>
      </x:c>
    </x:row>
    <x:row r="12" ht="34" customHeight="1">
      <x:c r="A12" s="19" t="str">
        <x:v>C07_COST_MID_TIE</x:v>
      </x:c>
      <x:c r="B12" s="19" t="str">
        <x:v>Mid总成本源回勾最大差异</x:v>
      </x:c>
      <x:c r="C12" s="62" t="n">
        <x:v>0</x:v>
      </x:c>
      <x:c r="D12" s="62" t="n">
        <x:f>MAX(ABS('32_五桥传导率'!H6-'04_售价成本校准'!L7),ABS('32_五桥传导率'!H7-'04_售价成本校准'!L8),ABS('32_五桥传导率'!H8-'04_售价成本校准'!L9),ABS('32_五桥传导率'!H9-'04_售价成本校准'!L10),ABS('32_五桥传导率'!H10-'04_售价成本校准'!L11))</x:f>
        <x:v>0</x:v>
      </x:c>
      <x:c r="E12" s="62" t="n">
        <x:v>0.01</x:v>
      </x:c>
      <x:c r="F12" s="19" t="str">
        <x:f>IF(ABS(D12-C12)&lt;=E12,"PASS","FAIL")</x:f>
        <x:v>PASS</x:v>
      </x:c>
      <x:c r="G12" s="19" t="str">
        <x:v>检查04→32。</x:v>
      </x:c>
    </x:row>
    <x:row r="13" ht="34" customHeight="1">
      <x:c r="A13" s="279" t="str">
        <x:v>C08_COST_HIGH_TIE</x:v>
      </x:c>
      <x:c r="B13" s="279" t="str">
        <x:v>High总成本源回勾最大差异</x:v>
      </x:c>
      <x:c r="C13" s="297" t="n">
        <x:v>0</x:v>
      </x:c>
      <x:c r="D13" s="297" t="n">
        <x:f>MAX(ABS('32_五桥传导率'!I6-'04_售价成本校准'!M7),ABS('32_五桥传导率'!I7-'04_售价成本校准'!M8),ABS('32_五桥传导率'!I8-'04_售价成本校准'!M9),ABS('32_五桥传导率'!I9-'04_售价成本校准'!M10),ABS('32_五桥传导率'!I10-'04_售价成本校准'!M11))</x:f>
        <x:v>0</x:v>
      </x:c>
      <x:c r="E13" s="297" t="n">
        <x:v>0.01</x:v>
      </x:c>
      <x:c r="F13" s="279" t="str">
        <x:f>IF(ABS(D13-C13)&lt;=E13,"PASS","FAIL")</x:f>
        <x:v>PASS</x:v>
      </x:c>
      <x:c r="G13" s="279" t="str">
        <x:v>检查04→32。</x:v>
      </x:c>
    </x:row>
    <x:row r="14" ht="34" customHeight="1">
      <x:c r="A14" s="19" t="str">
        <x:v>C09_RATIO_IDENTITY</x:v>
      </x:c>
      <x:c r="B14" s="19" t="str">
        <x:v>中成本P/C公式最大差异</x:v>
      </x:c>
      <x:c r="C14" s="62" t="n">
        <x:v>0</x:v>
      </x:c>
      <x:c r="D14" s="62" t="n">
        <x:f>MAX(ABS('32_五桥传导率'!K6-'32_五桥传导率'!F6/'32_五桥传导率'!H6),ABS('32_五桥传导率'!K7-'32_五桥传导率'!F7/'32_五桥传导率'!H7),ABS('32_五桥传导率'!K8-'32_五桥传导率'!F8/'32_五桥传导率'!H8),ABS('32_五桥传导率'!K9-'32_五桥传导率'!F9/'32_五桥传导率'!H9),ABS('32_五桥传导率'!K10-'32_五桥传导率'!F10/'32_五桥传导率'!H10))</x:f>
        <x:v>0</x:v>
      </x:c>
      <x:c r="E14" s="62" t="n">
        <x:v>0.000001</x:v>
      </x:c>
      <x:c r="F14" s="19" t="str">
        <x:f>IF(ABS(D14-C14)&lt;=E14,"PASS","FAIL")</x:f>
        <x:v>PASS</x:v>
      </x:c>
      <x:c r="G14" s="19" t="str">
        <x:v>检查倍率公式。</x:v>
      </x:c>
    </x:row>
    <x:row r="15" ht="34" customHeight="1">
      <x:c r="A15" s="279" t="str">
        <x:v>C10_KAPPA_LOW</x:v>
      </x:c>
      <x:c r="B15" s="279" t="str">
        <x:v>κ经验下界</x:v>
      </x:c>
      <x:c r="C15" s="297" t="n">
        <x:v>1.0254431631664882</x:v>
      </x:c>
      <x:c r="D15" s="297" t="n">
        <x:f>'32_五桥传导率'!B15</x:f>
        <x:v>1.0254431631664882</x:v>
      </x:c>
      <x:c r="E15" s="297" t="n">
        <x:v>0.000001</x:v>
      </x:c>
      <x:c r="F15" s="279" t="str">
        <x:f>IF(ABS(D15-C15)&lt;=E15,"PASS","FAIL")</x:f>
        <x:v>PASS</x:v>
      </x:c>
      <x:c r="G15" s="279" t="str">
        <x:v>四普通桥中值倍率最小。</x:v>
      </x:c>
    </x:row>
    <x:row r="16" ht="34" customHeight="1">
      <x:c r="A16" s="19" t="str">
        <x:v>C11_KAPPA_CENTER</x:v>
      </x:c>
      <x:c r="B16" s="19" t="str">
        <x:v>κ稳健中心</x:v>
      </x:c>
      <x:c r="C16" s="62" t="n">
        <x:v>1.0694836789414475</x:v>
      </x:c>
      <x:c r="D16" s="62" t="n">
        <x:f>'32_五桥传导率'!B16</x:f>
        <x:v>1.0694836789414475</x:v>
      </x:c>
      <x:c r="E16" s="62" t="n">
        <x:v>0.000001</x:v>
      </x:c>
      <x:c r="F16" s="19" t="str">
        <x:f>IF(ABS(D16-C16)&lt;=E16,"PASS","FAIL")</x:f>
        <x:v>PASS</x:v>
      </x:c>
      <x:c r="G16" s="19" t="str">
        <x:v>四普通桥中位。</x:v>
      </x:c>
    </x:row>
    <x:row r="17" ht="34" customHeight="1">
      <x:c r="A17" s="279" t="str">
        <x:v>C12_KAPPA_HIGH</x:v>
      </x:c>
      <x:c r="B17" s="279" t="str">
        <x:v>κ经验上界</x:v>
      </x:c>
      <x:c r="C17" s="297" t="n">
        <x:v>1.2206571280521978</x:v>
      </x:c>
      <x:c r="D17" s="297" t="n">
        <x:f>'32_五桥传导率'!B17</x:f>
        <x:v>1.2206571280521978</x:v>
      </x:c>
      <x:c r="E17" s="297" t="n">
        <x:v>0.000001</x:v>
      </x:c>
      <x:c r="F17" s="279" t="str">
        <x:f>IF(ABS(D17-C17)&lt;=E17,"PASS","FAIL")</x:f>
        <x:v>PASS</x:v>
      </x:c>
      <x:c r="G17" s="279" t="str">
        <x:v>四普通桥中值倍率最大。</x:v>
      </x:c>
    </x:row>
    <x:row r="18" ht="34" customHeight="1">
      <x:c r="A18" s="19" t="str">
        <x:v>C13_KAPPA_ORDER</x:v>
      </x:c>
      <x:c r="B18" s="19" t="str">
        <x:v>κ下界≤中心≤上界违反数</x:v>
      </x:c>
      <x:c r="C18" s="62" t="n">
        <x:v>0</x:v>
      </x:c>
      <x:c r="D18" s="62" t="n">
        <x:f>IF(AND('32_五桥传导率'!B15&lt;='32_五桥传导率'!B16,'32_五桥传导率'!B16&lt;='32_五桥传导率'!B17),0,1)</x:f>
        <x:v>0</x:v>
      </x:c>
      <x:c r="E18" s="62" t="n">
        <x:v>0</x:v>
      </x:c>
      <x:c r="F18" s="19" t="str">
        <x:f>IF(ABS(D18-C18)&lt;=E18,"PASS","FAIL")</x:f>
        <x:v>PASS</x:v>
      </x:c>
      <x:c r="G18" s="19" t="str">
        <x:v>检查情景顺序。</x:v>
      </x:c>
    </x:row>
    <x:row r="19" ht="34" customHeight="1">
      <x:c r="A19" s="279" t="str">
        <x:v>C14_WEIGHTED_RATIO</x:v>
      </x:c>
      <x:c r="B19" s="279" t="str">
        <x:v>成本加权比率复核</x:v>
      </x:c>
      <x:c r="C19" s="297" t="n">
        <x:v>1.0866032324652988</x:v>
      </x:c>
      <x:c r="D19" s="297" t="n">
        <x:f>'32_五桥传导率'!B18</x:f>
        <x:v>1.0866032324652988</x:v>
      </x:c>
      <x:c r="E19" s="297" t="n">
        <x:v>0.000001</x:v>
      </x:c>
      <x:c r="F19" s="279" t="str">
        <x:f>IF(ABS(D19-C19)&lt;=E19,"PASS","FAIL")</x:f>
        <x:v>PASS</x:v>
      </x:c>
      <x:c r="G19" s="279" t="str">
        <x:v>仅诊断。</x:v>
      </x:c>
    </x:row>
    <x:row r="20" ht="34" customHeight="1">
      <x:c r="A20" s="19" t="str">
        <x:v>C15_GATE_EXCLUDED</x:v>
      </x:c>
      <x:c r="B20" s="19" t="str">
        <x:v>门槛桥中心校准权重</x:v>
      </x:c>
      <x:c r="C20" s="62" t="n">
        <x:v>0</x:v>
      </x:c>
      <x:c r="D20" s="62" t="n">
        <x:f>'32_五桥传导率'!M9</x:f>
        <x:v>0</x:v>
      </x:c>
      <x:c r="E20" s="62" t="n">
        <x:v>0</x:v>
      </x:c>
      <x:c r="F20" s="19" t="str">
        <x:f>IF(ABS(D20-C20)&lt;=E20,"PASS","FAIL")</x:f>
        <x:v>PASS</x:v>
      </x:c>
      <x:c r="G20" s="19" t="str">
        <x:v>必须为0。</x:v>
      </x:c>
    </x:row>
    <x:row r="21" ht="34" customHeight="1">
      <x:c r="A21" s="279" t="str">
        <x:v>C16_GATE_RATIO</x:v>
      </x:c>
      <x:c r="B21" s="279" t="str">
        <x:v>门槛桥中成本P/C</x:v>
      </x:c>
      <x:c r="C21" s="297" t="n">
        <x:v>2.1497888198757766</x:v>
      </x:c>
      <x:c r="D21" s="297" t="n">
        <x:f>'32_五桥传导率'!B19</x:f>
        <x:v>2.1497888198757766</x:v>
      </x:c>
      <x:c r="E21" s="297" t="n">
        <x:v>0.000001</x:v>
      </x:c>
      <x:c r="F21" s="279" t="str">
        <x:f>IF(ABS(D21-C21)&lt;=E21,"PASS","FAIL")</x:f>
        <x:v>PASS</x:v>
      </x:c>
      <x:c r="G21" s="279" t="str">
        <x:v>应显著高于普通组。</x:v>
      </x:c>
    </x:row>
    <x:row r="22" ht="34" customHeight="1">
      <x:c r="A22" s="19" t="str">
        <x:v>C17_ORD_RESIDUAL_IDENTITY</x:v>
      </x:c>
      <x:c r="B22" s="19" t="str">
        <x:v>中心残差公式最大差异</x:v>
      </x:c>
      <x:c r="C22" s="62" t="n">
        <x:v>0</x:v>
      </x:c>
      <x:c r="D22" s="62" t="n">
        <x:f>MAX(ABS('33_定位残差'!H6-('33_定位残差'!C6-'33_定位残差'!G6*'33_定位残差'!D6)),ABS('33_定位残差'!H7-('33_定位残差'!C7-'33_定位残差'!G7*'33_定位残差'!D7)),ABS('33_定位残差'!H8-('33_定位残差'!C8-'33_定位残差'!G8*'33_定位残差'!D8)),ABS('33_定位残差'!H9-('33_定位残差'!C9-'33_定位残差'!G9*'33_定位残差'!D9)),ABS('33_定位残差'!H10-('33_定位残差'!C10-'33_定位残差'!G10*'33_定位残差'!D10)))</x:f>
        <x:v>0</x:v>
      </x:c>
      <x:c r="E22" s="62" t="n">
        <x:v>0.01</x:v>
      </x:c>
      <x:c r="F22" s="19" t="str">
        <x:f>IF(ABS(D22-C22)&lt;=E22,"PASS","FAIL")</x:f>
        <x:v>PASS</x:v>
      </x:c>
      <x:c r="G22" s="19" t="str">
        <x:v>检查ε公式。</x:v>
      </x:c>
    </x:row>
    <x:row r="23" ht="34" customHeight="1">
      <x:c r="A23" s="279" t="str">
        <x:v>C18_ORD_SCATTER_LOW</x:v>
      </x:c>
      <x:c r="B23" s="279" t="str">
        <x:v>普通ε散布下界</x:v>
      </x:c>
      <x:c r="C23" s="297" t="n">
        <x:v>-2052.372152498232</x:v>
      </x:c>
      <x:c r="D23" s="297" t="n">
        <x:f>'33_定位残差'!B15</x:f>
        <x:v>-2052.372152498232</x:v>
      </x:c>
      <x:c r="E23" s="297" t="n">
        <x:v>0.01</x:v>
      </x:c>
      <x:c r="F23" s="279" t="str">
        <x:f>IF(ABS(D23-C23)&lt;=E23,"PASS","FAIL")</x:f>
        <x:v>PASS</x:v>
      </x:c>
      <x:c r="G23" s="279" t="str">
        <x:v>四普通桥中心残差最小。</x:v>
      </x:c>
    </x:row>
    <x:row r="24" ht="34" customHeight="1">
      <x:c r="A24" s="19" t="str">
        <x:v>C19_ORD_SCATTER_HIGH</x:v>
      </x:c>
      <x:c r="B24" s="19" t="str">
        <x:v>普通ε散布上界</x:v>
      </x:c>
      <x:c r="C24" s="62" t="n">
        <x:v>3287.945419699776</x:v>
      </x:c>
      <x:c r="D24" s="62" t="n">
        <x:f>'33_定位残差'!D15</x:f>
        <x:v>3287.945419699776</x:v>
      </x:c>
      <x:c r="E24" s="62" t="n">
        <x:v>0.01</x:v>
      </x:c>
      <x:c r="F24" s="19" t="str">
        <x:f>IF(ABS(D24-C24)&lt;=E24,"PASS","FAIL")</x:f>
        <x:v>PASS</x:v>
      </x:c>
      <x:c r="G24" s="19" t="str">
        <x:v>四普通桥中心残差最大。</x:v>
      </x:c>
    </x:row>
    <x:row r="25" ht="34" customHeight="1">
      <x:c r="A25" s="279" t="str">
        <x:v>C20_ORD_CENTER_POLICY</x:v>
      </x:c>
      <x:c r="B25" s="279" t="str">
        <x:v>普通ε中心政策</x:v>
      </x:c>
      <x:c r="C25" s="297" t="n">
        <x:v>0</x:v>
      </x:c>
      <x:c r="D25" s="297" t="n">
        <x:f>'33_定位残差'!C15</x:f>
        <x:v>0</x:v>
      </x:c>
      <x:c r="E25" s="297" t="n">
        <x:v>0</x:v>
      </x:c>
      <x:c r="F25" s="279" t="str">
        <x:f>IF(ABS(D25-C25)&lt;=E25,"PASS","FAIL")</x:f>
        <x:v>PASS</x:v>
      </x:c>
      <x:c r="G25" s="279" t="str">
        <x:v>中心默认0。</x:v>
      </x:c>
    </x:row>
    <x:row r="26" ht="34" customHeight="1">
      <x:c r="A26" s="19" t="str">
        <x:v>C21_GATE_CENTER</x:v>
      </x:c>
      <x:c r="B26" s="19" t="str">
        <x:v>Pro门槛中心余项</x:v>
      </x:c>
      <x:c r="C26" s="62" t="n">
        <x:v>11740.216119103821</x:v>
      </x:c>
      <x:c r="D26" s="62" t="n">
        <x:f>'33_定位残差'!C23</x:f>
        <x:v>11740.216119103821</x:v>
      </x:c>
      <x:c r="E26" s="62" t="n">
        <x:v>0.01</x:v>
      </x:c>
      <x:c r="F26" s="19" t="str">
        <x:f>IF(ABS(D26-C26)&lt;=E26,"PASS","FAIL")</x:f>
        <x:v>PASS</x:v>
      </x:c>
      <x:c r="G26" s="19" t="str">
        <x:v>κ中心条件下。</x:v>
      </x:c>
    </x:row>
    <x:row r="27" ht="34" customHeight="1">
      <x:c r="A27" s="279" t="str">
        <x:v>C22_GATE_MIN</x:v>
      </x:c>
      <x:c r="B27" s="279" t="str">
        <x:v>Pro门槛区间最小</x:v>
      </x:c>
      <x:c r="C27" s="297" t="n">
        <x:v>10097.338660892741</x:v>
      </x:c>
      <x:c r="D27" s="297" t="n">
        <x:f>'33_定位残差'!E23</x:f>
        <x:v>10097.338660892741</x:v>
      </x:c>
      <x:c r="E27" s="297" t="n">
        <x:v>0.01</x:v>
      </x:c>
      <x:c r="F27" s="279" t="str">
        <x:f>IF(ABS(D27-C27)&lt;=E27,"PASS","FAIL")</x:f>
        <x:v>PASS</x:v>
      </x:c>
      <x:c r="G27" s="279" t="str">
        <x:v>κ高情景对应。</x:v>
      </x:c>
    </x:row>
    <x:row r="28" ht="34" customHeight="1">
      <x:c r="A28" s="19" t="str">
        <x:v>C23_GATE_MAX</x:v>
      </x:c>
      <x:c r="B28" s="19" t="str">
        <x:v>Pro门槛区间最大</x:v>
      </x:c>
      <x:c r="C28" s="62" t="n">
        <x:v>12218.82642428819</x:v>
      </x:c>
      <x:c r="D28" s="62" t="n">
        <x:f>'33_定位残差'!F23</x:f>
        <x:v>12218.82642428819</x:v>
      </x:c>
      <x:c r="E28" s="62" t="n">
        <x:v>0.01</x:v>
      </x:c>
      <x:c r="F28" s="19" t="str">
        <x:f>IF(ABS(D28-C28)&lt;=E28,"PASS","FAIL")</x:f>
        <x:v>PASS</x:v>
      </x:c>
      <x:c r="G28" s="19" t="str">
        <x:v>κ低情景对应。</x:v>
      </x:c>
    </x:row>
    <x:row r="29" ht="34" customHeight="1">
      <x:c r="A29" s="279" t="str">
        <x:v>C24_GATE_ORDER</x:v>
      </x:c>
      <x:c r="B29" s="279" t="str">
        <x:v>门槛区间顺序违反数</x:v>
      </x:c>
      <x:c r="C29" s="297" t="n">
        <x:v>0</x:v>
      </x:c>
      <x:c r="D29" s="297" t="n">
        <x:f>IF(AND('33_定位残差'!E23&lt;='33_定位残差'!C23,'33_定位残差'!C23&lt;='33_定位残差'!F23),0,1)</x:f>
        <x:v>0</x:v>
      </x:c>
      <x:c r="E29" s="297" t="n">
        <x:v>0</x:v>
      </x:c>
      <x:c r="F29" s="279" t="str">
        <x:f>IF(ABS(D29-C29)&lt;=E29,"PASS","FAIL")</x:f>
        <x:v>PASS</x:v>
      </x:c>
      <x:c r="G29" s="279" t="str">
        <x:v>检查区间。</x:v>
      </x:c>
    </x:row>
    <x:row r="30" ht="34" customHeight="1">
      <x:c r="A30" s="19" t="str">
        <x:v>C25_RAW_RESIDUAL_TIE</x:v>
      </x:c>
      <x:c r="B30" s="19" t="str">
        <x:v>1:1原始残余回勾误差</x:v>
      </x:c>
      <x:c r="C30" s="62" t="n">
        <x:v>0</x:v>
      </x:c>
      <x:c r="D30" s="62" t="n">
        <x:f>'33_定位残差'!B24-'12_价差总览'!J11</x:f>
        <x:v>0</x:v>
      </x:c>
      <x:c r="E30" s="62" t="n">
        <x:v>0.01</x:v>
      </x:c>
      <x:c r="F30" s="19" t="str">
        <x:f>IF(ABS(D30-C30)&lt;=E30,"PASS","FAIL")</x:f>
        <x:v>PASS</x:v>
      </x:c>
      <x:c r="G30" s="19" t="str">
        <x:v>不能与G再加。</x:v>
      </x:c>
    </x:row>
    <x:row r="31" ht="34" customHeight="1">
      <x:c r="A31" s="279" t="str">
        <x:v>C26_MAX_CENTER_ZERO</x:v>
      </x:c>
      <x:c r="B31" s="279" t="str">
        <x:v>通用Max中心默认项</x:v>
      </x:c>
      <x:c r="C31" s="297" t="n">
        <x:v>0</x:v>
      </x:c>
      <x:c r="D31" s="297" t="n">
        <x:f>'33_定位残差'!C18</x:f>
        <x:v>0</x:v>
      </x:c>
      <x:c r="E31" s="297" t="n">
        <x:v>0</x:v>
      </x:c>
      <x:c r="F31" s="279" t="str">
        <x:f>IF(ABS(D31-C31)&lt;=E31,"PASS","FAIL")</x:f>
        <x:v>PASS</x:v>
      </x:c>
      <x:c r="G31" s="279" t="str">
        <x:v>必须为0。</x:v>
      </x:c>
    </x:row>
    <x:row r="32" ht="34" customHeight="1">
      <x:c r="A32" s="19" t="str">
        <x:v>C27_CROSS_MAX_MID</x:v>
      </x:c>
      <x:c r="B32" s="19" t="str">
        <x:v>Max−Standard交互中值</x:v>
      </x:c>
      <x:c r="C32" s="62" t="n">
        <x:v>11416.217570515366</x:v>
      </x:c>
      <x:c r="D32" s="62" t="n">
        <x:f>'34_交叉锚'!C15</x:f>
        <x:v>11416.217570515366</x:v>
      </x:c>
      <x:c r="E32" s="62" t="n">
        <x:v>0.01</x:v>
      </x:c>
      <x:c r="F32" s="19" t="str">
        <x:f>IF(ABS(D32-C32)&lt;=E32,"PASS","FAIL")</x:f>
        <x:v>PASS</x:v>
      </x:c>
      <x:c r="G32" s="19" t="str">
        <x:v>含κ后的整条梯度交互。</x:v>
      </x:c>
    </x:row>
    <x:row r="33" ht="34" customHeight="1">
      <x:c r="A33" s="279" t="str">
        <x:v>C28_CROSS_MAX_ORDER</x:v>
      </x:c>
      <x:c r="B33" s="279" t="str">
        <x:v>Max交互区间顺序违反数</x:v>
      </x:c>
      <x:c r="C33" s="297" t="n">
        <x:v>0</x:v>
      </x:c>
      <x:c r="D33" s="297" t="n">
        <x:f>IF(AND('34_交叉锚'!B15&lt;='34_交叉锚'!C15,'34_交叉锚'!C15&lt;='34_交叉锚'!D15),0,1)</x:f>
        <x:v>0</x:v>
      </x:c>
      <x:c r="E33" s="297" t="n">
        <x:v>0</x:v>
      </x:c>
      <x:c r="F33" s="279" t="str">
        <x:f>IF(ABS(D33-C33)&lt;=E33,"PASS","FAIL")</x:f>
        <x:v>PASS</x:v>
      </x:c>
      <x:c r="G33" s="279" t="str">
        <x:v>检查MIN/MAX。</x:v>
      </x:c>
    </x:row>
    <x:row r="34" ht="34" customHeight="1">
      <x:c r="A34" s="19" t="str">
        <x:v>C29_GATE_CROSS_OVERLAP</x:v>
      </x:c>
      <x:c r="B34" s="19" t="str">
        <x:v>门槛与Max交互是否重叠</x:v>
      </x:c>
      <x:c r="C34" s="62" t="n">
        <x:v>1</x:v>
      </x:c>
      <x:c r="D34" s="62" t="n">
        <x:f>IF('34_交叉锚'!B16&lt;='34_交叉锚'!D16,1,0)</x:f>
        <x:v>1</x:v>
      </x:c>
      <x:c r="E34" s="62" t="n">
        <x:v>0</x:v>
      </x:c>
      <x:c r="F34" s="19" t="str">
        <x:f>IF(ABS(D34-C34)&lt;=E34,"PASS","FAIL")</x:f>
        <x:v>PASS</x:v>
      </x:c>
      <x:c r="G34" s="19" t="str">
        <x:v>只作佐证。</x:v>
      </x:c>
    </x:row>
    <x:row r="35" ht="34" customHeight="1">
      <x:c r="A35" s="279" t="str">
        <x:v>C30_GATE_CROSS_MID_GAP</x:v>
      </x:c>
      <x:c r="B35" s="279" t="str">
        <x:v>门槛与Max交互中值差</x:v>
      </x:c>
      <x:c r="C35" s="297" t="n">
        <x:v>323.9985485884554</x:v>
      </x:c>
      <x:c r="D35" s="297" t="n">
        <x:f>'34_交叉锚'!B17</x:f>
        <x:v>323.9985485884554</x:v>
      </x:c>
      <x:c r="E35" s="297" t="n">
        <x:v>0.01</x:v>
      </x:c>
      <x:c r="F35" s="279" t="str">
        <x:f>IF(ABS(D35-C35)&lt;=E35,"PASS","FAIL")</x:f>
        <x:v>PASS</x:v>
      </x:c>
      <x:c r="G35" s="279" t="str">
        <x:v>量级一致，不可相加。</x:v>
      </x:c>
    </x:row>
    <x:row r="36" ht="34" customHeight="1">
      <x:c r="A36" s="19" t="str">
        <x:v>C31_HINGE_DD</x:v>
      </x:c>
      <x:c r="B36" s="19" t="str">
        <x:v>中间铰链双差回勾误差</x:v>
      </x:c>
      <x:c r="C36" s="62" t="n">
        <x:v>0</x:v>
      </x:c>
      <x:c r="D36" s="62" t="n">
        <x:f>'34_交叉锚'!B18-'33_定位残差'!C23</x:f>
        <x:v>0.0018584070930955932</x:v>
      </x:c>
      <x:c r="E36" s="62" t="n">
        <x:v>0.01</x:v>
      </x:c>
      <x:c r="F36" s="19" t="str">
        <x:f>IF(ABS(D36-C36)&lt;=E36,"PASS","FAIL")</x:f>
        <x:v>PASS</x:v>
      </x:c>
      <x:c r="G36" s="19" t="str">
        <x:v>含κ后的依赖诊断。</x:v>
      </x:c>
    </x:row>
    <x:row r="37" ht="34" customHeight="1">
      <x:c r="A37" s="279" t="str">
        <x:v>C32_HINGE_WEIGHT</x:v>
      </x:c>
      <x:c r="B37" s="279" t="str">
        <x:v>中间双差独立权重</x:v>
      </x:c>
      <x:c r="C37" s="297" t="n">
        <x:v>0</x:v>
      </x:c>
      <x:c r="D37" s="297" t="n">
        <x:f>'34_交叉锚'!G18</x:f>
        <x:v>0</x:v>
      </x:c>
      <x:c r="E37" s="297" t="n">
        <x:v>0</x:v>
      </x:c>
      <x:c r="F37" s="279" t="str">
        <x:f>IF(ABS(D37-C37)&lt;=E37,"PASS","FAIL")</x:f>
        <x:v>PASS</x:v>
      </x:c>
      <x:c r="G37" s="279" t="str">
        <x:v>必须为0。</x:v>
      </x:c>
    </x:row>
    <x:row r="38" ht="34" customHeight="1">
      <x:c r="A38" s="19" t="str">
        <x:v>C33_MODULE_KAPPA_COUNT</x:v>
      </x:c>
      <x:c r="B38" s="19" t="str">
        <x:v>模块专属κ数量</x:v>
      </x:c>
      <x:c r="C38" s="62" t="n">
        <x:v>0</x:v>
      </x:c>
      <x:c r="D38" s="62" t="n">
        <x:f>'32_五桥传导率'!B22</x:f>
        <x:v>0</x:v>
      </x:c>
      <x:c r="E38" s="62" t="n">
        <x:v>0</x:v>
      </x:c>
      <x:c r="F38" s="19" t="str">
        <x:f>IF(ABS(D38-C38)&lt;=E38,"PASS","FAIL")</x:f>
        <x:v>PASS</x:v>
      </x:c>
      <x:c r="G38" s="19" t="str">
        <x:v>保持不可识别。</x:v>
      </x:c>
    </x:row>
    <x:row r="39" ht="34" customHeight="1">
      <x:c r="A39" s="279" t="str">
        <x:v>C34_MAX_DIAG_WEIGHT</x:v>
      </x:c>
      <x:c r="B39" s="279" t="str">
        <x:v>Max交互默认加法权重</x:v>
      </x:c>
      <x:c r="C39" s="297" t="n">
        <x:v>0</x:v>
      </x:c>
      <x:c r="D39" s="297" t="n">
        <x:f>'35_澎程规则'!F10</x:f>
        <x:v>0</x:v>
      </x:c>
      <x:c r="E39" s="297" t="n">
        <x:v>0</x:v>
      </x:c>
      <x:c r="F39" s="279" t="str">
        <x:f>IF(ABS(D39-C39)&lt;=E39,"PASS","FAIL")</x:f>
        <x:v>PASS</x:v>
      </x:c>
      <x:c r="G39" s="279" t="str">
        <x:v>只作诊断。</x:v>
      </x:c>
    </x:row>
    <x:row r="40" ht="34" customHeight="1">
      <x:c r="A40" s="19" t="str">
        <x:v>C35_COMMON_CROSS_WEIGHT</x:v>
      </x:c>
      <x:c r="B40" s="19" t="str">
        <x:v>共同跨车身残差默认权重</x:v>
      </x:c>
      <x:c r="C40" s="62" t="n">
        <x:v>0</x:v>
      </x:c>
      <x:c r="D40" s="62" t="n">
        <x:f>'35_澎程规则'!F11</x:f>
        <x:v>0</x:v>
      </x:c>
      <x:c r="E40" s="62" t="n">
        <x:v>0</x:v>
      </x:c>
      <x:c r="F40" s="19" t="str">
        <x:f>IF(ABS(D40-C40)&lt;=E40,"PASS","FAIL")</x:f>
        <x:v>PASS</x:v>
      </x:c>
      <x:c r="G40" s="19" t="str">
        <x:v>不得固定转移。</x:v>
      </x:c>
    </x:row>
    <x:row r="41" ht="34" customHeight="1">
      <x:c r="A41" s="279" t="str">
        <x:v>C36_SPECIAL_WEIGHT</x:v>
      </x:c>
      <x:c r="B41" s="279" t="str">
        <x:v>特殊机制当前默认权重</x:v>
      </x:c>
      <x:c r="C41" s="297" t="n">
        <x:v>0</x:v>
      </x:c>
      <x:c r="D41" s="297" t="n">
        <x:f>'35_澎程规则'!F12</x:f>
        <x:v>0</x:v>
      </x:c>
      <x:c r="E41" s="297" t="n">
        <x:v>0</x:v>
      </x:c>
      <x:c r="F41" s="279" t="str">
        <x:f>IF(ABS(D41-C41)&lt;=E41,"PASS","FAIL")</x:f>
        <x:v>PASS</x:v>
      </x:c>
      <x:c r="G41" s="279" t="str">
        <x:v>Phase3另建。</x:v>
      </x:c>
    </x:row>
    <x:row r="42" ht="34" customHeight="1">
      <x:c r="A42" s="19" t="str">
        <x:v>C37_VAT</x:v>
      </x:c>
      <x:c r="B42" s="19" t="str">
        <x:v>VAT假设</x:v>
      </x:c>
      <x:c r="C42" s="62" t="n">
        <x:v>0.13</x:v>
      </x:c>
      <x:c r="D42" s="62" t="n">
        <x:f>'35_澎程规则'!C13</x:f>
        <x:v>0.13</x:v>
      </x:c>
      <x:c r="E42" s="62" t="n">
        <x:v>0.000001</x:v>
      </x:c>
      <x:c r="F42" s="19" t="str">
        <x:f>IF(ABS(D42-C42)&lt;=E42,"PASS","FAIL")</x:f>
        <x:v>PASS</x:v>
      </x:c>
      <x:c r="G42" s="19" t="str">
        <x:v>当前中国增值税口径。</x:v>
      </x:c>
    </x:row>
    <x:row r="43" ht="34" customHeight="1">
      <x:c r="A43" s="279" t="str">
        <x:v>C38_RULE_ROWS</x:v>
      </x:c>
      <x:c r="B43" s="279" t="str">
        <x:v>规则行数</x:v>
      </x:c>
      <x:c r="C43" s="297" t="n">
        <x:v>8</x:v>
      </x:c>
      <x:c r="D43" s="297" t="n">
        <x:f>COUNTA('35_澎程规则'!$A$18:$A$25)</x:f>
        <x:v>8</x:v>
      </x:c>
      <x:c r="E43" s="297" t="n">
        <x:v>0</x:v>
      </x:c>
      <x:c r="F43" s="279" t="str">
        <x:f>IF(ABS(D43-C43)&lt;=E43,"PASS","FAIL")</x:f>
        <x:v>PASS</x:v>
      </x:c>
      <x:c r="G43" s="279" t="str">
        <x:v>八条映射规则。</x:v>
      </x:c>
    </x:row>
    <x:row r="44" ht="34" customHeight="1">
      <x:c r="A44" s="19" t="str">
        <x:v>C39_RULE_PASS</x:v>
      </x:c>
      <x:c r="B44" s="19" t="str">
        <x:v>已闭合规则FAIL数</x:v>
      </x:c>
      <x:c r="C44" s="62" t="n">
        <x:v>0</x:v>
      </x:c>
      <x:c r="D44" s="62" t="n">
        <x:f>COUNTIF('35_澎程规则'!$H$18:$H$25,"FAIL")</x:f>
        <x:v>0</x:v>
      </x:c>
      <x:c r="E44" s="62" t="n">
        <x:v>0</x:v>
      </x:c>
      <x:c r="F44" s="19" t="str">
        <x:f>IF(ABS(D44-C44)&lt;=E44,"PASS","FAIL")</x:f>
        <x:v>PASS</x:v>
      </x:c>
      <x:c r="G44" s="19" t="str">
        <x:v>PENDING不算公式失败。</x:v>
      </x:c>
    </x:row>
    <x:row r="45" ht="34" customHeight="1">
      <x:c r="A45" s="279" t="str">
        <x:v>C40_NEW_EXTERNAL_INPUT</x:v>
      </x:c>
      <x:c r="B45" s="279" t="str">
        <x:v>2.3C新增外部输入数</x:v>
      </x:c>
      <x:c r="C45" s="297" t="n">
        <x:v>0</x:v>
      </x:c>
      <x:c r="D45" s="297" t="n">
        <x:f>SUM('31_2.3C口径'!$I$20:$I$24)</x:f>
        <x:v>0</x:v>
      </x:c>
      <x:c r="E45" s="297" t="n">
        <x:v>0</x:v>
      </x:c>
      <x:c r="F45" s="279" t="str">
        <x:f>IF(ABS(D45-C45)&lt;=E45,"PASS","FAIL")</x:f>
        <x:v>PASS</x:v>
      </x:c>
      <x:c r="G45" s="279" t="str">
        <x:v>本阶段只做派生。</x:v>
      </x:c>
    </x:row>
    <x:row r="46" ht="34" customHeight="1">
      <x:c r="A46" s="19" t="str">
        <x:v>C41_OLS_KAPPA</x:v>
      </x:c>
      <x:c r="B46" s="19" t="str">
        <x:v>穿原点OLS κ复核</x:v>
      </x:c>
      <x:c r="C46" s="62" t="n">
        <x:v>1.0756399677940647</x:v>
      </x:c>
      <x:c r="D46" s="62" t="n">
        <x:f>'32_五桥传导率'!B23</x:f>
        <x:v>1.0756399677940647</x:v>
      </x:c>
      <x:c r="E46" s="62" t="n">
        <x:v>0.000001</x:v>
      </x:c>
      <x:c r="F46" s="19" t="str">
        <x:f>IF(ABS(D46-C46)&lt;=E46,"PASS","FAIL")</x:f>
        <x:v>PASS</x:v>
      </x:c>
      <x:c r="G46" s="19" t="str">
        <x:v>应接近稳健中位。</x:v>
      </x:c>
    </x:row>
    <x:row r="47" ht="34" customHeight="1">
      <x:c r="A47" s="279" t="str">
        <x:v>C42_GATE_MAD_Z</x:v>
      </x:c>
      <x:c r="B47" s="279" t="str">
        <x:v>门槛桥稳健z</x:v>
      </x:c>
      <x:c r="C47" s="297" t="n">
        <x:v>8.328465916119447</x:v>
      </x:c>
      <x:c r="D47" s="297" t="n">
        <x:f>'32_五桥传导率'!B26</x:f>
        <x:v>8.328465916119447</x:v>
      </x:c>
      <x:c r="E47" s="297" t="n">
        <x:v>0.001</x:v>
      </x:c>
      <x:c r="F47" s="279" t="str">
        <x:f>IF(ABS(D47-C47)&lt;=E47,"PASS","FAIL")</x:f>
        <x:v>PASS</x:v>
      </x:c>
      <x:c r="G47" s="279" t="str">
        <x:v>z&gt;3.5支持剔除。</x:v>
      </x:c>
    </x:row>
    <x:row r="48" ht="34" customHeight="1">
      <x:c r="A48" s="19" t="str">
        <x:v>C43_GATE_Z_THRESHOLD</x:v>
      </x:c>
      <x:c r="B48" s="19" t="str">
        <x:v>门槛桥是否超过3.5z</x:v>
      </x:c>
      <x:c r="C48" s="62" t="n">
        <x:v>1</x:v>
      </x:c>
      <x:c r="D48" s="62" t="n">
        <x:f>IF('32_五桥传导率'!B26&gt;3.5,1,0)</x:f>
        <x:v>1</x:v>
      </x:c>
      <x:c r="E48" s="62" t="n">
        <x:v>0</x:v>
      </x:c>
      <x:c r="F48" s="19" t="str">
        <x:f>IF(ABS(D48-C48)&lt;=E48,"PASS","FAIL")</x:f>
        <x:v>PASS</x:v>
      </x:c>
      <x:c r="G48" s="19" t="str">
        <x:v>异常值门槛。</x:v>
      </x:c>
    </x:row>
    <x:row r="50">
      <x:c r="A50" s="282" t="str">
        <x:v>MODEL STATUS</x:v>
      </x:c>
      <x:c r="B50" s="282"/>
      <x:c r="C50" s="282"/>
      <x:c r="D50" s="282"/>
      <x:c r="E50" s="282"/>
      <x:c r="F50" s="282"/>
      <x:c r="G50" s="282"/>
    </x:row>
    <x:row r="51" ht="42" customHeight="1">
      <x:c r="A51" s="19" t="str">
        <x:v>失败检查数</x:v>
      </x:c>
      <x:c r="B51" s="19" t="n">
        <x:f>COUNTIF(F6:F48,"FAIL")</x:f>
        <x:v>0</x:v>
      </x:c>
      <x:c r="C51" s="19" t="str">
        <x:v>阶段状态</x:v>
      </x:c>
      <x:c r="D51" s="19" t="str">
        <x:f>IF(B51=0,"READY_FOR_PHASE_3.1A_WITH_BOUNDARY","REVIEW_REQUIRED")</x:f>
        <x:v>READY_FOR_PHASE_3.1A_WITH_BOUNDARY</x:v>
      </x:c>
      <x:c r="E51" s="19" t="str">
        <x:v>通过只表示Phase2.3C的识别边界与公式闭合。</x:v>
      </x:c>
      <x:c r="F51" s="19"/>
      <x:c r="G51" s="19"/>
    </x:row>
  </x:sheetData>
  <x:mergeCells>
    <x:mergeCell ref="A1:G1"/>
    <x:mergeCell ref="A2:G2"/>
    <x:mergeCell ref="A3:G3"/>
    <x:mergeCell ref="A50:G50"/>
    <x:mergeCell ref="E51:G51"/>
  </x:mergeCells>
  <x:conditionalFormatting sqref="F6:F48">
    <x:cfRule type="containsText" dxfId="369" priority="1" operator="containsText" text="PASS"/>
    <x:cfRule type="containsText" dxfId="370" priority="2" operator="containsText" text="READY"/>
    <x:cfRule type="containsText" dxfId="371" priority="3" operator="containsText" text="IDENTIFIED"/>
    <x:cfRule type="containsText" dxfId="372" priority="4" operator="containsText" text="CALIBRATION"/>
    <x:cfRule type="containsText" dxfId="373" priority="5" operator="containsText" text="CORROBORATIVE"/>
    <x:cfRule type="containsText" dxfId="374" priority="6" operator="containsText" text="REFERENCE"/>
    <x:cfRule type="containsText" dxfId="375" priority="7" operator="containsText" text="CROSSES_ZERO"/>
    <x:cfRule type="containsText" dxfId="376" priority="8" operator="containsText" text="PENDING"/>
    <x:cfRule type="containsText" dxfId="377" priority="9" operator="containsText" text="PROVISIONAL"/>
    <x:cfRule type="containsText" dxfId="378" priority="10" operator="containsText" text="GATE"/>
    <x:cfRule type="containsText" dxfId="379" priority="11" operator="containsText" text="NOT_IDENTIFIED"/>
    <x:cfRule type="containsText" dxfId="380" priority="12" operator="containsText" text="FAIL"/>
    <x:cfRule type="containsText" dxfId="381" priority="13" operator="containsText" text="DO_NOT_ADD"/>
    <x:cfRule type="containsText" dxfId="382" priority="14" operator="containsText" text="EXCLUDED"/>
  </x:conditionalFormatting>
  <x:conditionalFormatting sqref="D51:D51">
    <x:cfRule type="containsText" dxfId="383" priority="15" operator="containsText" text="PASS"/>
    <x:cfRule type="containsText" dxfId="384" priority="16" operator="containsText" text="READY"/>
    <x:cfRule type="containsText" dxfId="385" priority="17" operator="containsText" text="IDENTIFIED"/>
    <x:cfRule type="containsText" dxfId="386" priority="18" operator="containsText" text="CALIBRATION"/>
    <x:cfRule type="containsText" dxfId="387" priority="19" operator="containsText" text="CORROBORATIVE"/>
    <x:cfRule type="containsText" dxfId="388" priority="20" operator="containsText" text="REFERENCE"/>
    <x:cfRule type="containsText" dxfId="389" priority="21" operator="containsText" text="CROSSES_ZERO"/>
    <x:cfRule type="containsText" dxfId="390" priority="22" operator="containsText" text="PENDING"/>
    <x:cfRule type="containsText" dxfId="391" priority="23" operator="containsText" text="PROVISIONAL"/>
    <x:cfRule type="containsText" dxfId="392" priority="24" operator="containsText" text="GATE"/>
    <x:cfRule type="containsText" dxfId="393" priority="25" operator="containsText" text="NOT_IDENTIFIED"/>
    <x:cfRule type="containsText" dxfId="394" priority="26" operator="containsText" text="FAIL"/>
    <x:cfRule type="containsText" dxfId="395" priority="27" operator="containsText" text="DO_NOT_ADD"/>
    <x:cfRule type="containsText" dxfId="396" priority="28" operator="containsText" text="EXCLUDED"/>
  </x:conditionalFormatting>
  <x:pageMargins left="0.7" right="0.7" top="0.75" bottom="0.75" header="0.3" footer="0.3"/>
</x:worksheet>
</file>

<file path=xl/worksheets/sheet3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30" hidden="0" customWidth="1"/>
    <x:col min="3" max="3" width="42" hidden="0" customWidth="1"/>
    <x:col min="4" max="4" width="42" hidden="0" customWidth="1"/>
    <x:col min="5" max="5" width="30" hidden="0" customWidth="1"/>
    <x:col min="6" max="6" width="34" hidden="0" customWidth="1"/>
    <x:col min="7" max="7" width="18" hidden="0" customWidth="1"/>
    <x:col min="8" max="8" width="18" hidden="0" customWidth="1"/>
  </x:cols>
  <x:sheetData>
    <x:row r="1" ht="30" customHeight="1">
      <x:c r="A1" s="326" t="str">
        <x:v>37｜Phase 3.1A 申报版本树口径</x:v>
      </x:c>
      <x:c r="B1" s="326"/>
      <x:c r="C1" s="326"/>
      <x:c r="D1" s="326"/>
      <x:c r="E1" s="326"/>
      <x:c r="F1" s="326"/>
      <x:c r="G1" s="326"/>
      <x:c r="H1" s="326"/>
    </x:row>
    <x:row r="2" ht="22" customHeight="1">
      <x:c r="A2" s="329" t="str">
        <x:v>工信部完整型号 → 准入变体 → 商业节点 → App 销售 SKU</x:v>
      </x:c>
      <x:c r="B2" s="329"/>
      <x:c r="C2" s="329"/>
      <x:c r="D2" s="329"/>
      <x:c r="E2" s="329"/>
      <x:c r="F2" s="329"/>
      <x:c r="G2" s="329"/>
      <x:c r="H2" s="329"/>
    </x:row>
    <x:row r="3" ht="48" customHeight="1">
      <x:c r="A3" s="333" t="str">
        <x:v>结论边界：第409批目前是“新产品公示”，不是已发布正式《公告》。工信部可锁准入技术身份，但不能单独证明销售版本名、标配、价格或是否可下单。</x:v>
      </x:c>
      <x:c r="B3" s="333"/>
      <x:c r="C3" s="333"/>
      <x:c r="D3" s="333"/>
      <x:c r="E3" s="333"/>
      <x:c r="F3" s="333"/>
      <x:c r="G3" s="333"/>
      <x:c r="H3" s="333"/>
    </x:row>
    <x:row r="5" ht="40" customHeight="1">
      <x:c r="A5" s="338" t="str">
        <x:v>实体层</x:v>
      </x:c>
      <x:c r="B5" s="338" t="str">
        <x:v>主键</x:v>
      </x:c>
      <x:c r="C5" s="338" t="str">
        <x:v>能证明什么</x:v>
      </x:c>
      <x:c r="D5" s="338" t="str">
        <x:v>不能证明什么</x:v>
      </x:c>
    </x:row>
    <x:row r="6" ht="46" customHeight="1">
      <x:c r="A6" s="19" t="str">
        <x:v>工信部完整型号</x:v>
      </x:c>
      <x:c r="B6" s="19" t="str">
        <x:v>miit_model_code + batch</x:v>
      </x:c>
      <x:c r="C6" s="19" t="str">
        <x:v>申报车型的尺寸、动力、座位允许集合、结构和选装</x:v>
      </x:c>
      <x:c r="D6" s="19" t="str">
        <x:v>销售名称、商品标配、独立售价</x:v>
      </x:c>
    </x:row>
    <x:row r="7" ht="46" customHeight="1">
      <x:c r="A7" s="339" t="str">
        <x:v>准入变体</x:v>
      </x:c>
      <x:c r="B7" s="339" t="str">
        <x:v>miit_variant_id</x:v>
      </x:c>
      <x:c r="C7" s="339" t="str">
        <x:v>同一型号下质量/座位/轮胎/车顶的允许组合</x:v>
      </x:c>
      <x:c r="D7" s="339" t="str">
        <x:v>未明确绑定时不得做笛卡尔积</x:v>
      </x:c>
    </x:row>
    <x:row r="8" ht="46" customHeight="1">
      <x:c r="A8" s="19" t="str">
        <x:v>商业节点</x:v>
      </x:c>
      <x:c r="B8" s="19" t="str">
        <x:v>commercial_node_id</x:v>
      </x:c>
      <x:c r="C8" s="19" t="str">
        <x:v>发布会或官方材料中的产品名称、预售状态</x:v>
      </x:c>
      <x:c r="D8" s="19" t="str">
        <x:v>未见 App 原始 ID 时不得视为冻结 SKU</x:v>
      </x:c>
    </x:row>
    <x:row r="9" ht="46" customHeight="1">
      <x:c r="A9" s="339" t="str">
        <x:v>App 销售 SKU</x:v>
      </x:c>
      <x:c r="B9" s="339" t="str">
        <x:v>goods_id/version_id + revision + as_of</x:v>
      </x:c>
      <x:c r="C9" s="339" t="str">
        <x:v>当前可下单身份、当前基础价、基础配置</x:v>
      </x:c>
      <x:c r="D9" s="339" t="str">
        <x:v>历史发布会承诺不能自动覆盖当前 SKU</x:v>
      </x:c>
    </x:row>
    <x:row r="11" ht="24" customHeight="1">
      <x:c r="A11" s="342" t="str">
        <x:v>状态与证据规则</x:v>
      </x:c>
      <x:c r="B11" s="342"/>
      <x:c r="C11" s="342"/>
      <x:c r="D11" s="342"/>
      <x:c r="E11" s="342"/>
      <x:c r="F11" s="342"/>
      <x:c r="G11" s="342"/>
      <x:c r="H11" s="342"/>
    </x:row>
    <x:row r="12" ht="40" customHeight="1">
      <x:c r="A12" s="338" t="str">
        <x:v>规则ID</x:v>
      </x:c>
      <x:c r="B12" s="338" t="str">
        <x:v>对象</x:v>
      </x:c>
      <x:c r="C12" s="338" t="str">
        <x:v>规则</x:v>
      </x:c>
      <x:c r="D12" s="338" t="str">
        <x:v>状态枚举</x:v>
      </x:c>
      <x:c r="E12" s="338" t="str">
        <x:v>高置信要求</x:v>
      </x:c>
      <x:c r="F12" s="338" t="str">
        <x:v>本阶段结果</x:v>
      </x:c>
      <x:c r="G12" s="338" t="str">
        <x:v>是否进版本树</x:v>
      </x:c>
      <x:c r="H12" s="338" t="str">
        <x:v>是否进价格桥</x:v>
      </x:c>
    </x:row>
    <x:row r="13" ht="44" customHeight="1">
      <x:c r="A13" s="19" t="str">
        <x:v>R01</x:v>
      </x:c>
      <x:c r="B13" s="19" t="str">
        <x:v>监管阶段</x:v>
      </x:c>
      <x:c r="C13" s="19" t="str">
        <x:v>公示与正式公告分列</x:v>
      </x:c>
      <x:c r="D13" s="19" t="str">
        <x:v>PUBLIC_NOTICE / FORMAL_ANNOUNCEMENT</x:v>
      </x:c>
      <x:c r="E13" s="19" t="str">
        <x:v>正式公告需工信部发布页</x:v>
      </x:c>
      <x:c r="F13" s="19" t="str">
        <x:v>PUBLIC_NOTICE_409</x:v>
      </x:c>
      <x:c r="G13" s="19" t="str">
        <x:v>是</x:v>
      </x:c>
      <x:c r="H13" s="19" t="str">
        <x:v>否</x:v>
      </x:c>
    </x:row>
    <x:row r="14" ht="44" customHeight="1">
      <x:c r="A14" s="339" t="str">
        <x:v>R02</x:v>
      </x:c>
      <x:c r="B14" s="339" t="str">
        <x:v>型号映射</x:v>
      </x:c>
      <x:c r="C14" s="339" t="str">
        <x:v>技术指纹优先，名称仅作弱证据</x:v>
      </x:c>
      <x:c r="D14" s="339" t="str">
        <x:v>MATCH / MISMATCH / UNKNOWN</x:v>
      </x:c>
      <x:c r="E14" s="339" t="str">
        <x:v>E1-G × E1-X</x:v>
      </x:c>
      <x:c r="F14" s="339" t="str">
        <x:v>两款Max已双域闭环；另两款仅监管候选</x:v>
      </x:c>
      <x:c r="G14" s="339" t="str">
        <x:v>是（分级）</x:v>
      </x:c>
      <x:c r="H14" s="339" t="str">
        <x:v>否</x:v>
      </x:c>
    </x:row>
    <x:row r="15" ht="44" customHeight="1">
      <x:c r="A15" s="19" t="str">
        <x:v>R03</x:v>
      </x:c>
      <x:c r="B15" s="19" t="str">
        <x:v>准入选装</x:v>
      </x:c>
      <x:c r="C15" s="19" t="str">
        <x:v>allowed 不等于 standard/optional</x:v>
      </x:c>
      <x:c r="D15" s="19" t="str">
        <x:v>BOUND / PARTIAL / UNBOUND</x:v>
      </x:c>
      <x:c r="E15" s="19" t="str">
        <x:v>公告附件明确绑定</x:v>
      </x:c>
      <x:c r="F15" s="19" t="str">
        <x:v>多数为 UNBOUND_SET</x:v>
      </x:c>
      <x:c r="G15" s="19" t="str">
        <x:v>是</x:v>
      </x:c>
      <x:c r="H15" s="19" t="str">
        <x:v>否</x:v>
      </x:c>
    </x:row>
    <x:row r="16" ht="44" customHeight="1">
      <x:c r="A16" s="339" t="str">
        <x:v>R04</x:v>
      </x:c>
      <x:c r="B16" s="339" t="str">
        <x:v>座位数</x:v>
      </x:c>
      <x:c r="C16" s="339" t="str">
        <x:v>N90 同一型号允许 5/7 座</x:v>
      </x:c>
      <x:c r="D16" s="339" t="str">
        <x:v>ALLOWED_SET</x:v>
      </x:c>
      <x:c r="E16" s="339" t="str">
        <x:v>App 基础座位回勾</x:v>
      </x:c>
      <x:c r="F16" s="339" t="str">
        <x:v>商品端仍待核</x:v>
      </x:c>
      <x:c r="G16" s="339" t="str">
        <x:v>是</x:v>
      </x:c>
      <x:c r="H16" s="339" t="str">
        <x:v>否</x:v>
      </x:c>
    </x:row>
    <x:row r="17" ht="44" customHeight="1">
      <x:c r="A17" s="19" t="str">
        <x:v>R05</x:v>
      </x:c>
      <x:c r="B17" s="19" t="str">
        <x:v>升顶机构</x:v>
      </x:c>
      <x:c r="C17" s="19" t="str">
        <x:v>文化生活服务车与普通 SUV 分层</x:v>
      </x:c>
      <x:c r="D17" s="19" t="str">
        <x:v>NORMAL_FIXED / POP_UP</x:v>
      </x:c>
      <x:c r="E17" s="19" t="str">
        <x:v>监管结构 + 商品端独立身份</x:v>
      </x:c>
      <x:c r="F17" s="19" t="str">
        <x:v>监管结构已锁、商品端待核</x:v>
      </x:c>
      <x:c r="G17" s="19" t="str">
        <x:v>是</x:v>
      </x:c>
      <x:c r="H17" s="19" t="str">
        <x:v>否</x:v>
      </x:c>
    </x:row>
    <x:row r="18" ht="44" customHeight="1">
      <x:c r="A18" s="339" t="str">
        <x:v>R06</x:v>
      </x:c>
      <x:c r="B18" s="339" t="str">
        <x:v>预售价</x:v>
      </x:c>
      <x:c r="C18" s="339" t="str">
        <x:v>预售价不等于正式指导价</x:v>
      </x:c>
      <x:c r="D18" s="339" t="str">
        <x:v>PRESALE / LIST_PRICE</x:v>
      </x:c>
      <x:c r="E18" s="339" t="str">
        <x:v>官方原始发布会或官网</x:v>
      </x:c>
      <x:c r="F18" s="339" t="str">
        <x:v>官网确认25.99/29.99万；仍不启桥</x:v>
      </x:c>
      <x:c r="G18" s="339" t="str">
        <x:v>是</x:v>
      </x:c>
      <x:c r="H18" s="339" t="str">
        <x:v>否</x:v>
      </x:c>
    </x:row>
    <x:row r="19" ht="44" customHeight="1">
      <x:c r="A19" s="19" t="str">
        <x:v>R07</x:v>
      </x:c>
      <x:c r="B19" s="19" t="str">
        <x:v>价格桥</x:v>
      </x:c>
      <x:c r="C19" s="19" t="str">
        <x:v>两端均须锁定 App SKU 与同口径价格</x:v>
      </x:c>
      <x:c r="D19" s="19" t="str">
        <x:v>TRUE / FALSE</x:v>
      </x:c>
      <x:c r="E19" s="19" t="str">
        <x:v>goods/version/revision/as_of 齐全</x:v>
      </x:c>
      <x:c r="F19" s="19" t="str">
        <x:v>0 条可启用</x:v>
      </x:c>
      <x:c r="G19" s="19" t="str">
        <x:v>不适用</x:v>
      </x:c>
      <x:c r="H19" s="19" t="str">
        <x:v>否</x:v>
      </x:c>
    </x:row>
    <x:row r="20" ht="44" customHeight="1">
      <x:c r="A20" s="339" t="str">
        <x:v>R08</x:v>
      </x:c>
      <x:c r="B20" s="339" t="str">
        <x:v>防双算</x:v>
      </x:c>
      <x:c r="C20" s="339" t="str">
        <x:v>Max 名称不能触发通用 Max 溢价或 Pro 门槛</x:v>
      </x:c>
      <x:c r="D20" s="339" t="str">
        <x:v>TRIGGER_TEST</x:v>
      </x:c>
      <x:c r="E20" s="339" t="str">
        <x:v>功能组合人工签核</x:v>
      </x:c>
      <x:c r="F20" s="339" t="str">
        <x:v>通用 Max=0</x:v>
      </x:c>
      <x:c r="G20" s="339" t="str">
        <x:v>不适用</x:v>
      </x:c>
      <x:c r="H20" s="339" t="str">
        <x:v>不适用</x:v>
      </x:c>
    </x:row>
    <x:row r="22" ht="24" customHeight="1">
      <x:c r="A22" s="342" t="str">
        <x:v>本阶段出口</x:v>
      </x:c>
      <x:c r="B22" s="342"/>
      <x:c r="C22" s="342"/>
      <x:c r="D22" s="342"/>
      <x:c r="E22" s="342"/>
      <x:c r="F22" s="342"/>
      <x:c r="G22" s="342"/>
      <x:c r="H22" s="342"/>
    </x:row>
    <x:row r="23" ht="40" customHeight="1">
      <x:c r="A23" s="338" t="str">
        <x:v>出口</x:v>
      </x:c>
      <x:c r="B23" s="338" t="str">
        <x:v>状态</x:v>
      </x:c>
      <x:c r="C23" s="338" t="str">
        <x:v>含义</x:v>
      </x:c>
      <x:c r="D23" s="338" t="str">
        <x:v>阻断项</x:v>
      </x:c>
      <x:c r="E23" s="338" t="str">
        <x:v>下一阶段</x:v>
      </x:c>
      <x:c r="F23" s="338" t="str"/>
      <x:c r="G23" s="338" t="str"/>
      <x:c r="H23" s="338" t="str"/>
    </x:row>
    <x:row r="24" ht="48" customHeight="1">
      <x:c r="A24" s="19" t="str">
        <x:v>监管型号树</x:v>
      </x:c>
      <x:c r="B24" s="19" t="str">
        <x:v>READY_WITH_PUBLIC_NOTICE_BOUNDARY</x:v>
      </x:c>
      <x:c r="C24" s="19" t="str">
        <x:v>4 个完整型号、7 个非笛卡尔变体已建档</x:v>
      </x:c>
      <x:c r="D24" s="19" t="str">
        <x:v>第409批尚非正式公告</x:v>
      </x:c>
      <x:c r="E24" s="19" t="str">
        <x:v>Phase 3.1B 发布会配置映射</x:v>
      </x:c>
      <x:c r="F24" s="19" t="str"/>
      <x:c r="G24" s="19" t="str"/>
      <x:c r="H24" s="19" t="str"/>
    </x:row>
    <x:row r="25" ht="48" customHeight="1">
      <x:c r="A25" s="339" t="str">
        <x:v>商业版本树</x:v>
      </x:c>
      <x:c r="B25" s="339" t="str">
        <x:v>PROVISIONAL</x:v>
      </x:c>
      <x:c r="C25" s="339" t="str">
        <x:v>2 个官网预售节点 + 2 个监管候选节点</x:v>
      </x:c>
      <x:c r="D25" s="339" t="str">
        <x:v>缺逐版配置原件与 App SKU 原件</x:v>
      </x:c>
      <x:c r="E25" s="339" t="str">
        <x:v>补发布会配置表与 App 快照</x:v>
      </x:c>
      <x:c r="F25" s="339" t="str"/>
      <x:c r="G25" s="339" t="str"/>
      <x:c r="H25" s="339" t="str"/>
    </x:row>
    <x:row r="26" ht="48" customHeight="1">
      <x:c r="A26" s="19" t="str">
        <x:v>价格桥</x:v>
      </x:c>
      <x:c r="B26" s="19" t="str">
        <x:v>BLOCKED_APP_AND_COMMERCIAL_LOCK</x:v>
      </x:c>
      <x:c r="C26" s="19" t="str">
        <x:v>三座拓扑已定义，0 座允许定价</x:v>
      </x:c>
      <x:c r="D26" s="19" t="str">
        <x:v>两端 SKU/价格口径未冻结</x:v>
      </x:c>
      <x:c r="E26" s="19" t="str">
        <x:v>锁定后进入 Phase 3.2A</x:v>
      </x:c>
      <x:c r="F26" s="19" t="str"/>
      <x:c r="G26" s="19" t="str"/>
      <x:c r="H26" s="19" t="str"/>
    </x:row>
  </x:sheetData>
  <x:mergeCells>
    <x:mergeCell ref="A1:H1"/>
    <x:mergeCell ref="A2:H2"/>
    <x:mergeCell ref="A3:H3"/>
    <x:mergeCell ref="A11:H11"/>
    <x:mergeCell ref="A22:H22"/>
  </x:mergeCells>
  <x:conditionalFormatting sqref="F13:H20">
    <x:cfRule type="containsText" dxfId="425" priority="1" operator="containsText" text="PASS"/>
    <x:cfRule type="containsText" dxfId="426" priority="2" operator="containsText" text="READY"/>
    <x:cfRule type="containsText" dxfId="427" priority="3" operator="containsText" text="TRUE"/>
    <x:cfRule type="containsText" dxfId="428" priority="4" operator="containsText" text="RESOLVED"/>
    <x:cfRule type="containsText" dxfId="429" priority="5" operator="containsText" text="E1-G"/>
    <x:cfRule type="containsText" dxfId="430" priority="6" operator="containsText" text="PROVISIONAL"/>
    <x:cfRule type="containsText" dxfId="431" priority="7" operator="containsText" text="PENDING"/>
    <x:cfRule type="containsText" dxfId="432" priority="8" operator="containsText" text="PUBLIC_NOTICE"/>
    <x:cfRule type="containsText" dxfId="433" priority="9" operator="containsText" text="BOUNDARY"/>
    <x:cfRule type="containsText" dxfId="434" priority="10" operator="containsText" text="TOPOLOGY"/>
    <x:cfRule type="containsText" dxfId="435" priority="11" operator="containsText" text="REFERENCE"/>
    <x:cfRule type="containsText" dxfId="436" priority="12" operator="containsText" text="BLOCKED"/>
    <x:cfRule type="containsText" dxfId="437" priority="13" operator="containsText" text="FAIL"/>
    <x:cfRule type="containsText" dxfId="438" priority="14" operator="containsText" text="FALSE"/>
    <x:cfRule type="containsText" dxfId="439" priority="15" operator="containsText" text="REJECTED"/>
    <x:cfRule type="containsText" dxfId="440" priority="16" operator="containsText" text="MISMATCH"/>
    <x:cfRule type="containsText" dxfId="441" priority="17" operator="containsText" text="OPEN"/>
  </x:conditionalFormatting>
  <x:conditionalFormatting sqref="B24:B26">
    <x:cfRule type="containsText" dxfId="442" priority="18" operator="containsText" text="PASS"/>
    <x:cfRule type="containsText" dxfId="443" priority="19" operator="containsText" text="READY"/>
    <x:cfRule type="containsText" dxfId="444" priority="20" operator="containsText" text="TRUE"/>
    <x:cfRule type="containsText" dxfId="445" priority="21" operator="containsText" text="RESOLVED"/>
    <x:cfRule type="containsText" dxfId="446" priority="22" operator="containsText" text="E1-G"/>
    <x:cfRule type="containsText" dxfId="447" priority="23" operator="containsText" text="PROVISIONAL"/>
    <x:cfRule type="containsText" dxfId="448" priority="24" operator="containsText" text="PENDING"/>
    <x:cfRule type="containsText" dxfId="449" priority="25" operator="containsText" text="PUBLIC_NOTICE"/>
    <x:cfRule type="containsText" dxfId="450" priority="26" operator="containsText" text="BOUNDARY"/>
    <x:cfRule type="containsText" dxfId="451" priority="27" operator="containsText" text="TOPOLOGY"/>
    <x:cfRule type="containsText" dxfId="452" priority="28" operator="containsText" text="REFERENCE"/>
    <x:cfRule type="containsText" dxfId="453" priority="29" operator="containsText" text="BLOCKED"/>
    <x:cfRule type="containsText" dxfId="454" priority="30" operator="containsText" text="FAIL"/>
    <x:cfRule type="containsText" dxfId="455" priority="31" operator="containsText" text="FALSE"/>
    <x:cfRule type="containsText" dxfId="456" priority="32" operator="containsText" text="REJECTED"/>
    <x:cfRule type="containsText" dxfId="457" priority="33" operator="containsText" text="MISMATCH"/>
    <x:cfRule type="containsText" dxfId="458" priority="34" operator="containsText" text="OPEN"/>
  </x:conditionalFormatting>
  <x:pageMargins left="0.7" right="0.7" top="0.75" bottom="0.75" header="0.3" footer="0.3"/>
</x:worksheet>
</file>

<file path=xl/worksheets/sheet3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4" hidden="0" customWidth="1"/>
    <x:col min="3" max="3" width="18" hidden="0" customWidth="1"/>
    <x:col min="4" max="4" width="18" hidden="0" customWidth="1"/>
    <x:col min="5" max="5" width="16" hidden="0" customWidth="1"/>
    <x:col min="6" max="6" width="30" hidden="0" customWidth="1"/>
    <x:col min="7" max="7" width="70" hidden="0" customWidth="1"/>
    <x:col min="8" max="8" width="58" hidden="0" customWidth="1"/>
    <x:col min="9" max="9" width="54" hidden="0" customWidth="1"/>
    <x:col min="10" max="10" width="24" hidden="0" customWidth="1"/>
    <x:col min="11" max="11" width="22" hidden="0" customWidth="1"/>
  </x:cols>
  <x:sheetData>
    <x:row r="1" ht="30" customHeight="1">
      <x:c r="A1" s="326" t="str">
        <x:v>38｜来源与逐项主张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</x:row>
    <x:row r="2" ht="22" customHeight="1">
      <x:c r="A2" s="329" t="str">
        <x:v>E1-G 锁准入；E1-X 锁两款Max预售，小米App商品ID仍未闭环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</x:row>
    <x:row r="3" ht="48" customHeight="1">
      <x:c r="A3" s="333" t="str">
        <x:v>每一行只说明该来源能支持的主张。工信部页面不含 N70/N90/Max 销售名；能量与续航表目前保留为可追溯转载，不能反向升级监管证据等级。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</x:row>
    <x:row r="5" ht="50" customHeight="1">
      <x:c r="A5" s="338" t="str">
        <x:v>source_id</x:v>
      </x:c>
      <x:c r="B5" s="338" t="str">
        <x:v>来源域</x:v>
      </x:c>
      <x:c r="C5" s="338" t="str">
        <x:v>证据等级</x:v>
      </x:c>
      <x:c r="D5" s="338" t="str">
        <x:v>发布/截点</x:v>
      </x:c>
      <x:c r="E5" s="338" t="str">
        <x:v>发布者</x:v>
      </x:c>
      <x:c r="F5" s="338" t="str">
        <x:v>标题/对象</x:v>
      </x:c>
      <x:c r="G5" s="338" t="str">
        <x:v>URL或本地路径</x:v>
      </x:c>
      <x:c r="H5" s="338" t="str">
        <x:v>支持主张</x:v>
      </x:c>
      <x:c r="I5" s="338" t="str">
        <x:v>不支持/限制</x:v>
      </x:c>
      <x:c r="J5" s="338" t="str">
        <x:v>当前状态</x:v>
      </x:c>
      <x:c r="K5" s="338" t="str">
        <x:v>冲突组</x:v>
      </x:c>
    </x:row>
    <x:row r="6" ht="62" customHeight="1">
      <x:c r="A6" s="19" t="str">
        <x:v>SRC_MIIT409_F3</x:v>
      </x:c>
      <x:c r="B6" s="19" t="str">
        <x:v>监管</x:v>
      </x:c>
      <x:c r="C6" s="19" t="str">
        <x:v>E1-G_PUBLIC</x:v>
      </x:c>
      <x:c r="D6" s="19" t="str">
        <x:v>2026-07-07</x:v>
      </x:c>
      <x:c r="E6" s="19" t="str">
        <x:v>工信部</x:v>
      </x:c>
      <x:c r="F6" s="19" t="str">
        <x:v>XMA6500KREEVF3 公示详情</x:v>
      </x:c>
      <x:c r="G6" s="19" t="str">
        <x:v>https://www.miit.gov.cn/datainfo/dljdclscqyjcpgg/xcpgs409dwdwe233/art/2026/art_eaf4b300d9994266b8f78c00fdaad10e.html</x:v>
      </x:c>
      <x:c r="H6" s="19" t="str">
        <x:v>4960×1998×1785；2950；5座；单电机峰值210kW；LFP欣旺达；2453/2505kg</x:v>
      </x:c>
      <x:c r="I6" s="19" t="str">
        <x:v>不含商业名、电机轴位、容量、价格</x:v>
      </x:c>
      <x:c r="J6" s="19" t="str">
        <x:v>PUBLIC_NOTICE_409</x:v>
      </x:c>
      <x:c r="K6" s="19" t="str">
        <x:v>CG_REG_STAGE</x:v>
      </x:c>
    </x:row>
    <x:row r="7" ht="62" customHeight="1">
      <x:c r="A7" s="339" t="str">
        <x:v>SRC_MIIT409_A1</x:v>
      </x:c>
      <x:c r="B7" s="339" t="str">
        <x:v>监管</x:v>
      </x:c>
      <x:c r="C7" s="339" t="str">
        <x:v>E1-G_PUBLIC</x:v>
      </x:c>
      <x:c r="D7" s="339" t="str">
        <x:v>2026-07-07</x:v>
      </x:c>
      <x:c r="E7" s="339" t="str">
        <x:v>工信部</x:v>
      </x:c>
      <x:c r="F7" s="339" t="str">
        <x:v>XMA6500KREEVA1 公示详情</x:v>
      </x:c>
      <x:c r="G7" s="339" t="str">
        <x:v>https://www.miit.gov.cn/datainfo/dljdclscqyjcpgg/xcpgs409dwdwe233/art/2026/art_06448fd67cac42949e5a798e18b215f4.html</x:v>
      </x:c>
      <x:c r="H7" s="339" t="str">
        <x:v>4960×1998×1765；2950；5座；双电机210+100kW；三元锂中创新航；2561/2610kg</x:v>
      </x:c>
      <x:c r="I7" s="339" t="str">
        <x:v>不含商业名、容量、价格</x:v>
      </x:c>
      <x:c r="J7" s="339" t="str">
        <x:v>PUBLIC_NOTICE_409</x:v>
      </x:c>
      <x:c r="K7" s="339" t="str">
        <x:v>CG_REG_STAGE</x:v>
      </x:c>
    </x:row>
    <x:row r="8" ht="62" customHeight="1">
      <x:c r="A8" s="19" t="str">
        <x:v>SRC_MIIT409_N90</x:v>
      </x:c>
      <x:c r="B8" s="19" t="str">
        <x:v>监管</x:v>
      </x:c>
      <x:c r="C8" s="19" t="str">
        <x:v>E1-G_PUBLIC</x:v>
      </x:c>
      <x:c r="D8" s="19" t="str">
        <x:v>2026-07-07</x:v>
      </x:c>
      <x:c r="E8" s="19" t="str">
        <x:v>工信部</x:v>
      </x:c>
      <x:c r="F8" s="19" t="str">
        <x:v>XMA6530KREEVA1 公示详情</x:v>
      </x:c>
      <x:c r="G8" s="19" t="str">
        <x:v>https://www.miit.gov.cn/datainfo/dljdclscqyjcpgg/xcpgs409dwdwe233/art/2026/art_ea7179cedb09467a9b7d2ce917685c49.html</x:v>
      </x:c>
      <x:c r="H8" s="19" t="str">
        <x:v>5285×1998×1825；3080；5/7座；双电机210+100kW；三元锂中创新航；2800kg</x:v>
      </x:c>
      <x:c r="I8" s="19" t="str">
        <x:v>5/7座不等于两个销售SKU</x:v>
      </x:c>
      <x:c r="J8" s="19" t="str">
        <x:v>PUBLIC_NOTICE_409</x:v>
      </x:c>
      <x:c r="K8" s="19" t="str">
        <x:v>CG_SEAT_BINDING</x:v>
      </x:c>
    </x:row>
    <x:row r="9" ht="62" customHeight="1">
      <x:c r="A9" s="339" t="str">
        <x:v>SRC_MIIT409_ROOF</x:v>
      </x:c>
      <x:c r="B9" s="339" t="str">
        <x:v>监管</x:v>
      </x:c>
      <x:c r="C9" s="339" t="str">
        <x:v>E1-G_PUBLIC</x:v>
      </x:c>
      <x:c r="D9" s="339" t="str">
        <x:v>2026-07-07</x:v>
      </x:c>
      <x:c r="E9" s="339" t="str">
        <x:v>工信部</x:v>
      </x:c>
      <x:c r="F9" s="339" t="str">
        <x:v>XMA5030XWHKREEVA3 公示详情</x:v>
      </x:c>
      <x:c r="G9" s="339" t="str">
        <x:v>https://www.miit.gov.cn/datainfo/dljdclscqyjcpgg/xcpgs409dwdwe233/art/2026/art_1af822ccc59645fb802f12f0a5aaf032.html</x:v>
      </x:c>
      <x:c r="H9" s="339" t="str">
        <x:v>文化生活服务车；5285×1998×1925；3080；5座；升降顶/床板/边柜/侧帐接口</x:v>
      </x:c>
      <x:c r="I9" s="339" t="str">
        <x:v>投影/桌板是准入选装；不证明商品化</x:v>
      </x:c>
      <x:c r="J9" s="339" t="str">
        <x:v>PUBLIC_NOTICE_409</x:v>
      </x:c>
      <x:c r="K9" s="339" t="str">
        <x:v>CG_ROOF_COMMERCE</x:v>
      </x:c>
    </x:row>
    <x:row r="10" ht="62" customHeight="1">
      <x:c r="A10" s="19" t="str">
        <x:v>SRC_MIIT408_FORMAL</x:v>
      </x:c>
      <x:c r="B10" s="19" t="str">
        <x:v>监管</x:v>
      </x:c>
      <x:c r="C10" s="19" t="str">
        <x:v>E1-G_FORMAL</x:v>
      </x:c>
      <x:c r="D10" s="19" t="str">
        <x:v>2026-07-17</x:v>
      </x:c>
      <x:c r="E10" s="19" t="str">
        <x:v>工信部</x:v>
      </x:c>
      <x:c r="F10" s="19" t="str">
        <x:v>第408批正式公告</x:v>
      </x:c>
      <x:c r="G10" s="19" t="str">
        <x:v>https://www.miit.gov.cn/jgsj/zbys/wjfb/art/2026/art_dbb6d7d4034741d782ca702bb4866fa3.html</x:v>
      </x:c>
      <x:c r="H10" s="19" t="str">
        <x:v>截至2026-08-03可核的正式公告页到第408批</x:v>
      </x:c>
      <x:c r="I10" s="19" t="str">
        <x:v>不能证明第409批已正式公告</x:v>
      </x:c>
      <x:c r="J10" s="19" t="str">
        <x:v>BOUNDARY_REFERENCE</x:v>
      </x:c>
      <x:c r="K10" s="19" t="str">
        <x:v>CG_REG_STAGE</x:v>
      </x:c>
    </x:row>
    <x:row r="11" ht="62" customHeight="1">
      <x:c r="A11" s="339" t="str">
        <x:v>SRC_XIAOMI_HOME</x:v>
      </x:c>
      <x:c r="B11" s="339" t="str">
        <x:v>商品</x:v>
      </x:c>
      <x:c r="C11" s="339" t="str">
        <x:v>E1-X_WEB</x:v>
      </x:c>
      <x:c r="D11" s="339" t="str">
        <x:v>2026-08-03截点</x:v>
      </x:c>
      <x:c r="E11" s="339" t="str">
        <x:v>小米汽车</x:v>
      </x:c>
      <x:c r="F11" s="339" t="str">
        <x:v>官网首页澎程两款英雄区</x:v>
      </x:c>
      <x:c r="G11" s="339" t="str">
        <x:v>https://www.xiaomiev.com/</x:v>
      </x:c>
      <x:c r="H11" s="339" t="str">
        <x:v>N90 Max大七座旗舰增程SUV预售价29.99万；N70 Max大五座四驱增程SUV预售价25.99万；均为预约咨询</x:v>
      </x:c>
      <x:c r="I11" s="339" t="str">
        <x:v>不是App配置定购页；未给goods/version/config_revision</x:v>
      </x:c>
      <x:c r="J11" s="339" t="str">
        <x:v>OFFICIAL_PRESALE_RESERVATION</x:v>
      </x:c>
      <x:c r="K11" s="339" t="str">
        <x:v>CG_COMMERCIAL_ID</x:v>
      </x:c>
    </x:row>
    <x:row r="12" ht="62" customHeight="1">
      <x:c r="A12" s="19" t="str">
        <x:v>SRC_LEIJUN_PRESALE</x:v>
      </x:c>
      <x:c r="B12" s="19" t="str">
        <x:v>商品</x:v>
      </x:c>
      <x:c r="C12" s="19" t="str">
        <x:v>E1-X_TRACE</x:v>
      </x:c>
      <x:c r="D12" s="19" t="str">
        <x:v>2026-07-30</x:v>
      </x:c>
      <x:c r="E12" s="19" t="str">
        <x:v>雷军官方内容镜像</x:v>
      </x:c>
      <x:c r="F12" s="19" t="str">
        <x:v>两款Max正式开启小订</x:v>
      </x:c>
      <x:c r="G12" s="19" t="str">
        <x:v>https://www.sina.cn/news/detail/5326486126987491.html</x:v>
      </x:c>
      <x:c r="H12" s="19" t="str">
        <x:v>21:00开启小订；N70 Max 25.99万、N90 Max 29.99万；1000元意向金，发布后随时可退</x:v>
      </x:c>
      <x:c r="I12" s="19" t="str">
        <x:v>镜像需保留原帖身份；仍不是App SKU ID快照</x:v>
      </x:c>
      <x:c r="J12" s="19" t="str">
        <x:v>OFFICIAL_SMALL_ORDER</x:v>
      </x:c>
      <x:c r="K12" s="19" t="str">
        <x:v>CG_PRICE_ANCHOR</x:v>
      </x:c>
    </x:row>
    <x:row r="13" ht="62" customHeight="1">
      <x:c r="A13" s="339" t="str">
        <x:v>SRC_LEIJUN_N70MAX</x:v>
      </x:c>
      <x:c r="B13" s="339" t="str">
        <x:v>商品</x:v>
      </x:c>
      <x:c r="C13" s="339" t="str">
        <x:v>E1-X_TRACE</x:v>
      </x:c>
      <x:c r="D13" s="339" t="str">
        <x:v>2026-07-30</x:v>
      </x:c>
      <x:c r="E13" s="339" t="str">
        <x:v>雷军官方内容镜像</x:v>
      </x:c>
      <x:c r="F13" s="339" t="str">
        <x:v>N70 Max发布配置</x:v>
      </x:c>
      <x:c r="G13" s="339" t="str">
        <x:v>https://www.sina.cn/news/detail/5326663374082884.html</x:v>
      </x:c>
      <x:c r="H13" s="339" t="str">
        <x:v>双电机四驱310kW、190km/h、CLTC505km、综合1461km、亏电6.1L/100km、空气弹簧+CDC；为N70系列高配</x:v>
      </x:c>
      <x:c r="I13" s="339" t="str">
        <x:v>不能推断低阶版本真实后缀或价格</x:v>
      </x:c>
      <x:c r="J13" s="339" t="str">
        <x:v>OFFICIAL_CONFIG_TRACE</x:v>
      </x:c>
      <x:c r="K13" s="339" t="str">
        <x:v>CG_COMMERCIAL_ID</x:v>
      </x:c>
    </x:row>
    <x:row r="14" ht="62" customHeight="1">
      <x:c r="A14" s="19" t="str">
        <x:v>SRC_LEIJUN_N90MAX</x:v>
      </x:c>
      <x:c r="B14" s="19" t="str">
        <x:v>商品</x:v>
      </x:c>
      <x:c r="C14" s="19" t="str">
        <x:v>E1-X_TRACE</x:v>
      </x:c>
      <x:c r="D14" s="19" t="str">
        <x:v>2026-07-30</x:v>
      </x:c>
      <x:c r="E14" s="19" t="str">
        <x:v>雷军官方内容镜像</x:v>
      </x:c>
      <x:c r="F14" s="19" t="str">
        <x:v>N90 Max发布配置</x:v>
      </x:c>
      <x:c r="G14" s="19" t="str">
        <x:v>https://www.sina.cn/news/detail/5326473571077370.html</x:v>
      </x:c>
      <x:c r="H14" s="19" t="str">
        <x:v>2+2+3大七座、6根滑轨、最长1938mm</x:v>
      </x:c>
      <x:c r="I14" s="19" t="str">
        <x:v>5座准入形态不等于独立销售SKU</x:v>
      </x:c>
      <x:c r="J14" s="19" t="str">
        <x:v>OFFICIAL_CONFIG_TRACE</x:v>
      </x:c>
      <x:c r="K14" s="19" t="str">
        <x:v>CG_SEAT_BINDING</x:v>
      </x:c>
    </x:row>
    <x:row r="15" ht="62" customHeight="1">
      <x:c r="A15" s="339" t="str">
        <x:v>SRC_ITHOME_ENERGY</x:v>
      </x:c>
      <x:c r="B15" s="339" t="str">
        <x:v>转载</x:v>
      </x:c>
      <x:c r="C15" s="339" t="str">
        <x:v>E3_TRACE</x:v>
      </x:c>
      <x:c r="D15" s="339" t="str">
        <x:v>2026-07-22</x:v>
      </x:c>
      <x:c r="E15" s="339" t="str">
        <x:v>IT之家</x:v>
      </x:c>
      <x:c r="F15" s="339" t="str">
        <x:v>四型号能量/续航/油耗表</x:v>
      </x:c>
      <x:c r="G15" s="339" t="str">
        <x:v>https://www.ithome.com/0/980/036.htm</x:v>
      </x:c>
      <x:c r="H15" s="339" t="str">
        <x:v>52/76kWh、270/265/380/375/370/363km、油耗与包质量</x:v>
      </x:c>
      <x:c r="I15" s="339" t="str">
        <x:v>转载未明确续航测试循环；不替代监管原件</x:v>
      </x:c>
      <x:c r="J15" s="339" t="str">
        <x:v>TRACE_ONLY</x:v>
      </x:c>
      <x:c r="K15" s="339" t="str">
        <x:v>CG_RANGE_CYCLE</x:v>
      </x:c>
    </x:row>
    <x:row r="16" ht="62" customHeight="1">
      <x:c r="A16" s="19" t="str">
        <x:v>SRC_LOCAL_EFFECTIVE</x:v>
      </x:c>
      <x:c r="B16" s="19" t="str">
        <x:v>监管快照</x:v>
      </x:c>
      <x:c r="C16" s="19" t="str">
        <x:v>E1-G_LOCAL</x:v>
      </x:c>
      <x:c r="D16" s="19" t="str">
        <x:v>2026-07-31</x:v>
      </x:c>
      <x:c r="E16" s="19" t="str">
        <x:v>工信部查询系统快照</x:v>
      </x:c>
      <x:c r="F16" s="19" t="str">
        <x:v>小米有效车型查询快照</x:v>
      </x:c>
      <x:c r="G16" s="19" t="str">
        <x:v>C:/Users/GinMos/OneDrive/文档/小米澎程售价及配置预估/sources/miit/2026-07-31_小米有效车型查询快照.md</x:v>
      </x:c>
      <x:c r="H16" s="19" t="str">
        <x:v>该截点有效车型查询中未观察到澎程</x:v>
      </x:c>
      <x:c r="I16" s="19" t="str">
        <x:v>不能否定稍后公示/获批；与第409批公示口径不同</x:v>
      </x:c>
      <x:c r="J16" s="19" t="str">
        <x:v>BOUNDARY_REFERENCE</x:v>
      </x:c>
      <x:c r="K16" s="19" t="str">
        <x:v>CG_REG_STAGE</x:v>
      </x:c>
    </x:row>
    <x:row r="17" ht="62" customHeight="1">
      <x:c r="A17" s="339" t="str">
        <x:v>SRC_LOCAL_ROUTE</x:v>
      </x:c>
      <x:c r="B17" s="339" t="str">
        <x:v>研究接口</x:v>
      </x:c>
      <x:c r="C17" s="339" t="str">
        <x:v>E4_INTERNAL</x:v>
      </x:c>
      <x:c r="D17" s="339" t="str">
        <x:v>2026-08-03</x:v>
      </x:c>
      <x:c r="E17" s="339" t="str">
        <x:v>本项目</x:v>
      </x:c>
      <x:c r="F17" s="339" t="str">
        <x:v>研究路线中的预售价研究锚</x:v>
      </x:c>
      <x:c r="G17" s="339" t="str">
        <x:v>C:/Users/GinMos/OneDrive/文档/小米澎程售价及配置预估/01_研究路线与样本口径.md</x:v>
      </x:c>
      <x:c r="H17" s="339" t="str">
        <x:v>N70 Max 25.99万、N90 Max 29.99万历史研究锚</x:v>
      </x:c>
      <x:c r="I17" s="339" t="str">
        <x:v>已由官网/雷军内容复核；本行不再作为独立证据</x:v>
      </x:c>
      <x:c r="J17" s="339" t="str">
        <x:v>SUPERSEDED_BY_E1_X</x:v>
      </x:c>
      <x:c r="K17" s="339" t="str">
        <x:v>CG_PRICE_ANCHOR</x:v>
      </x:c>
    </x:row>
  </x:sheetData>
  <x:mergeCells>
    <x:mergeCell ref="A1:K1"/>
    <x:mergeCell ref="A2:K2"/>
    <x:mergeCell ref="A3:K3"/>
  </x:mergeCells>
  <x:conditionalFormatting sqref="C6:J17">
    <x:cfRule type="containsText" dxfId="459" priority="1" operator="containsText" text="PASS"/>
    <x:cfRule type="containsText" dxfId="460" priority="2" operator="containsText" text="READY"/>
    <x:cfRule type="containsText" dxfId="461" priority="3" operator="containsText" text="TRUE"/>
    <x:cfRule type="containsText" dxfId="462" priority="4" operator="containsText" text="RESOLVED"/>
    <x:cfRule type="containsText" dxfId="463" priority="5" operator="containsText" text="E1-G"/>
    <x:cfRule type="containsText" dxfId="464" priority="6" operator="containsText" text="PROVISIONAL"/>
    <x:cfRule type="containsText" dxfId="465" priority="7" operator="containsText" text="PENDING"/>
    <x:cfRule type="containsText" dxfId="466" priority="8" operator="containsText" text="PUBLIC_NOTICE"/>
    <x:cfRule type="containsText" dxfId="467" priority="9" operator="containsText" text="BOUNDARY"/>
    <x:cfRule type="containsText" dxfId="468" priority="10" operator="containsText" text="TOPOLOGY"/>
    <x:cfRule type="containsText" dxfId="469" priority="11" operator="containsText" text="REFERENCE"/>
    <x:cfRule type="containsText" dxfId="470" priority="12" operator="containsText" text="BLOCKED"/>
    <x:cfRule type="containsText" dxfId="471" priority="13" operator="containsText" text="FAIL"/>
    <x:cfRule type="containsText" dxfId="472" priority="14" operator="containsText" text="FALSE"/>
    <x:cfRule type="containsText" dxfId="473" priority="15" operator="containsText" text="REJECTED"/>
    <x:cfRule type="containsText" dxfId="474" priority="16" operator="containsText" text="MISMATCH"/>
    <x:cfRule type="containsText" dxfId="475" priority="17" operator="containsText" text="OPEN"/>
  </x:conditionalFormatting>
  <x:pageMargins left="0.7" right="0.7" top="0.75" bottom="0.75" header="0.3" footer="0.3"/>
</x:worksheet>
</file>

<file path=xl/worksheets/sheet4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4" hidden="0" customWidth="1"/>
    <x:col min="3" max="3" width="24" hidden="0" customWidth="1"/>
    <x:col min="4" max="4" width="38" hidden="0" customWidth="1"/>
    <x:col min="5" max="5" width="22" hidden="0" customWidth="1"/>
    <x:col min="6" max="6" width="11" hidden="0" customWidth="1"/>
    <x:col min="7" max="7" width="11" hidden="0" customWidth="1"/>
    <x:col min="8" max="8" width="11" hidden="0" customWidth="1"/>
    <x:col min="9" max="9" width="12" hidden="0" customWidth="1"/>
    <x:col min="10" max="10" width="18" hidden="0" customWidth="1"/>
    <x:col min="11" max="11" width="24" hidden="0" customWidth="1"/>
    <x:col min="12" max="12" width="22" hidden="0" customWidth="1"/>
    <x:col min="13" max="13" width="13" hidden="0" customWidth="1"/>
    <x:col min="14" max="14" width="30" hidden="0" customWidth="1"/>
    <x:col min="15" max="15" width="14" hidden="0" customWidth="1"/>
    <x:col min="16" max="16" width="11" hidden="0" customWidth="1"/>
    <x:col min="17" max="17" width="12" hidden="0" customWidth="1"/>
    <x:col min="18" max="18" width="14" hidden="0" customWidth="1"/>
    <x:col min="19" max="19" width="22" hidden="0" customWidth="1"/>
    <x:col min="20" max="20" width="12" hidden="0" customWidth="1"/>
    <x:col min="21" max="21" width="12" hidden="0" customWidth="1"/>
    <x:col min="22" max="22" width="20" hidden="0" customWidth="1"/>
    <x:col min="23" max="23" width="22" hidden="0" customWidth="1"/>
    <x:col min="24" max="24" width="30" hidden="0" customWidth="1"/>
  </x:cols>
  <x:sheetData>
    <x:row r="1" ht="30" customHeight="1">
      <x:c r="A1" s="326" t="str">
        <x:v>39｜澎程工信部完整型号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  <x:c r="N1" s="326"/>
      <x:c r="O1" s="326"/>
      <x:c r="P1" s="326"/>
      <x:c r="Q1" s="326"/>
      <x:c r="R1" s="326"/>
      <x:c r="S1" s="326"/>
      <x:c r="T1" s="326"/>
      <x:c r="U1" s="326"/>
      <x:c r="V1" s="326"/>
      <x:c r="W1" s="326"/>
      <x:c r="X1" s="326"/>
    </x:row>
    <x:row r="2" ht="22" customHeight="1">
      <x:c r="A2" s="329" t="str">
        <x:v>第409批新产品公示｜一行一个完整型号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  <x:c r="N2" s="329"/>
      <x:c r="O2" s="329"/>
      <x:c r="P2" s="329"/>
      <x:c r="Q2" s="329"/>
      <x:c r="R2" s="329"/>
      <x:c r="S2" s="329"/>
      <x:c r="T2" s="329"/>
      <x:c r="U2" s="329"/>
      <x:c r="V2" s="329"/>
      <x:c r="W2" s="329"/>
      <x:c r="X2" s="329"/>
    </x:row>
    <x:row r="3" ht="48" customHeight="1">
      <x:c r="A3" s="333" t="str">
        <x:v>监管原页锁定尺寸、质量、座位、动力和电池化学体系；电池容量、包质量、纯电里程与亏电油耗来自可追溯目录转载，逐字段单独降级。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  <x:c r="N3" s="333"/>
      <x:c r="O3" s="333"/>
      <x:c r="P3" s="333"/>
      <x:c r="Q3" s="333"/>
      <x:c r="R3" s="333"/>
      <x:c r="S3" s="333"/>
      <x:c r="T3" s="333"/>
      <x:c r="U3" s="333"/>
      <x:c r="V3" s="333"/>
      <x:c r="W3" s="333"/>
      <x:c r="X3" s="333"/>
    </x:row>
    <x:row r="5" ht="58" customHeight="1">
      <x:c r="A5" s="338" t="str">
        <x:v>miit_model_key</x:v>
      </x:c>
      <x:c r="B5" s="338" t="str">
        <x:v>完整型号</x:v>
      </x:c>
      <x:c r="C5" s="338" t="str">
        <x:v>监管阶段</x:v>
      </x:c>
      <x:c r="D5" s="338" t="str">
        <x:v>产品名称（原文）</x:v>
      </x:c>
      <x:c r="E5" s="338" t="str">
        <x:v>车身族</x:v>
      </x:c>
      <x:c r="F5" s="338" t="str">
        <x:v>长mm</x:v>
      </x:c>
      <x:c r="G5" s="338" t="str">
        <x:v>宽mm</x:v>
      </x:c>
      <x:c r="H5" s="338" t="str">
        <x:v>高mm</x:v>
      </x:c>
      <x:c r="I5" s="338" t="str">
        <x:v>轴距mm</x:v>
      </x:c>
      <x:c r="J5" s="338" t="str">
        <x:v>座位允许集合</x:v>
      </x:c>
      <x:c r="K5" s="338" t="str">
        <x:v>整备质量允许集合kg</x:v>
      </x:c>
      <x:c r="L5" s="338" t="str">
        <x:v>总质量允许集合kg</x:v>
      </x:c>
      <x:c r="M5" s="338" t="str">
        <x:v>驱动</x:v>
      </x:c>
      <x:c r="N5" s="338" t="str">
        <x:v>电机峰值集合kW</x:v>
      </x:c>
      <x:c r="O5" s="338" t="str">
        <x:v>增程器</x:v>
      </x:c>
      <x:c r="P5" s="338" t="str">
        <x:v>排量ml</x:v>
      </x:c>
      <x:c r="Q5" s="338" t="str">
        <x:v>净功率kW</x:v>
      </x:c>
      <x:c r="R5" s="338" t="str">
        <x:v>电池化学</x:v>
      </x:c>
      <x:c r="S5" s="338" t="str">
        <x:v>电芯/总成</x:v>
      </x:c>
      <x:c r="T5" s="338" t="str">
        <x:v>容量kWh</x:v>
      </x:c>
      <x:c r="U5" s="338" t="str">
        <x:v>包质量kg</x:v>
      </x:c>
      <x:c r="V5" s="338" t="str">
        <x:v>目录纯电里程km</x:v>
      </x:c>
      <x:c r="W5" s="338" t="str">
        <x:v>目录亏电油耗L/100km</x:v>
      </x:c>
      <x:c r="X5" s="338" t="str">
        <x:v>来源分层</x:v>
      </x:c>
    </x:row>
    <x:row r="6" ht="66" customHeight="1">
      <x:c r="A6" s="19" t="str">
        <x:v>MIIT409-F3</x:v>
      </x:c>
      <x:c r="B6" s="19" t="str">
        <x:v>XMA6500KREEVF3</x:v>
      </x:c>
      <x:c r="C6" s="19" t="str">
        <x:v>PUBLIC_NOTICE_409</x:v>
      </x:c>
      <x:c r="D6" s="19" t="str">
        <x:v>插电式增程混合动力多用途乘用车</x:v>
      </x:c>
      <x:c r="E6" s="19" t="str">
        <x:v>N70_SHORT</x:v>
      </x:c>
      <x:c r="F6" s="222" t="n">
        <x:v>4960</x:v>
      </x:c>
      <x:c r="G6" s="222" t="n">
        <x:v>1998</x:v>
      </x:c>
      <x:c r="H6" s="222" t="n">
        <x:v>1785</x:v>
      </x:c>
      <x:c r="I6" s="222" t="n">
        <x:v>2950</x:v>
      </x:c>
      <x:c r="J6" s="19" t="str">
        <x:v>5</x:v>
      </x:c>
      <x:c r="K6" s="19" t="str">
        <x:v>2453 / 2505</x:v>
      </x:c>
      <x:c r="L6" s="19" t="str">
        <x:v>2892 / 2944</x:v>
      </x:c>
      <x:c r="M6" s="19" t="str">
        <x:v>SINGLE_MOTOR_AXIS_PENDING</x:v>
      </x:c>
      <x:c r="N6" s="19" t="str">
        <x:v>210</x:v>
      </x:c>
      <x:c r="O6" s="19" t="str">
        <x:v>M15DRE</x:v>
      </x:c>
      <x:c r="P6" s="222" t="n">
        <x:v>1499</x:v>
      </x:c>
      <x:c r="Q6" s="222" t="n">
        <x:v>112</x:v>
      </x:c>
      <x:c r="R6" s="19" t="str">
        <x:v>LFP</x:v>
      </x:c>
      <x:c r="S6" s="19" t="str">
        <x:v>南昌欣旺达</x:v>
      </x:c>
      <x:c r="T6" s="152" t="n">
        <x:v>52</x:v>
      </x:c>
      <x:c r="U6" s="152" t="n">
        <x:v>380</x:v>
      </x:c>
      <x:c r="V6" s="19" t="str">
        <x:v>270 / 265</x:v>
      </x:c>
      <x:c r="W6" s="19" t="str">
        <x:v>5.70 / 5.80</x:v>
      </x:c>
      <x:c r="X6" s="19" t="str">
        <x:v>尺寸/单电机=E1-G；能量续航=E3；轴位待核</x:v>
      </x:c>
    </x:row>
    <x:row r="7" ht="66" customHeight="1">
      <x:c r="A7" s="339" t="str">
        <x:v>MIIT409-A1</x:v>
      </x:c>
      <x:c r="B7" s="339" t="str">
        <x:v>XMA6500KREEVA1</x:v>
      </x:c>
      <x:c r="C7" s="339" t="str">
        <x:v>PUBLIC_NOTICE_409</x:v>
      </x:c>
      <x:c r="D7" s="339" t="str">
        <x:v>插电式增程混合动力多用途乘用车</x:v>
      </x:c>
      <x:c r="E7" s="339" t="str">
        <x:v>N70_SHORT</x:v>
      </x:c>
      <x:c r="F7" s="343" t="n">
        <x:v>4960</x:v>
      </x:c>
      <x:c r="G7" s="343" t="n">
        <x:v>1998</x:v>
      </x:c>
      <x:c r="H7" s="343" t="n">
        <x:v>1765</x:v>
      </x:c>
      <x:c r="I7" s="343" t="n">
        <x:v>2950</x:v>
      </x:c>
      <x:c r="J7" s="339" t="str">
        <x:v>5</x:v>
      </x:c>
      <x:c r="K7" s="339" t="str">
        <x:v>2561 / 2610</x:v>
      </x:c>
      <x:c r="L7" s="339" t="str"/>
      <x:c r="M7" s="339" t="str">
        <x:v>AWD</x:v>
      </x:c>
      <x:c r="N7" s="339" t="str">
        <x:v>210 + 100（不固化前后次序）</x:v>
      </x:c>
      <x:c r="O7" s="339" t="str">
        <x:v>M15DRE</x:v>
      </x:c>
      <x:c r="P7" s="343" t="n">
        <x:v>1499</x:v>
      </x:c>
      <x:c r="Q7" s="343" t="n">
        <x:v>112</x:v>
      </x:c>
      <x:c r="R7" s="339" t="str">
        <x:v>NCM</x:v>
      </x:c>
      <x:c r="S7" s="339" t="str">
        <x:v>中创新航</x:v>
      </x:c>
      <x:c r="T7" s="344" t="n">
        <x:v>76</x:v>
      </x:c>
      <x:c r="U7" s="344" t="n">
        <x:v>400</x:v>
      </x:c>
      <x:c r="V7" s="339" t="str">
        <x:v>380 / 375</x:v>
      </x:c>
      <x:c r="W7" s="339" t="str">
        <x:v>6.10 / 6.20</x:v>
      </x:c>
      <x:c r="X7" s="339" t="str">
        <x:v>尺寸动力=E1-G；能量续航=E3</x:v>
      </x:c>
    </x:row>
    <x:row r="8" ht="66" customHeight="1">
      <x:c r="A8" s="19" t="str">
        <x:v>MIIT409-N90</x:v>
      </x:c>
      <x:c r="B8" s="19" t="str">
        <x:v>XMA6530KREEVA1</x:v>
      </x:c>
      <x:c r="C8" s="19" t="str">
        <x:v>PUBLIC_NOTICE_409</x:v>
      </x:c>
      <x:c r="D8" s="19" t="str">
        <x:v>插电式增程混合动力多用途乘用车</x:v>
      </x:c>
      <x:c r="E8" s="19" t="str">
        <x:v>N90_LONG</x:v>
      </x:c>
      <x:c r="F8" s="222" t="n">
        <x:v>5285</x:v>
      </x:c>
      <x:c r="G8" s="222" t="n">
        <x:v>1998</x:v>
      </x:c>
      <x:c r="H8" s="222" t="n">
        <x:v>1825</x:v>
      </x:c>
      <x:c r="I8" s="222" t="n">
        <x:v>3080</x:v>
      </x:c>
      <x:c r="J8" s="19" t="str">
        <x:v>5 / 7</x:v>
      </x:c>
      <x:c r="K8" s="19" t="str">
        <x:v>2800</x:v>
      </x:c>
      <x:c r="L8" s="19" t="str">
        <x:v>3265 / 3361</x:v>
      </x:c>
      <x:c r="M8" s="19" t="str">
        <x:v>AWD</x:v>
      </x:c>
      <x:c r="N8" s="19" t="str">
        <x:v>210 + 100（不固化前后次序）</x:v>
      </x:c>
      <x:c r="O8" s="19" t="str">
        <x:v>M15DRE</x:v>
      </x:c>
      <x:c r="P8" s="222" t="n">
        <x:v>1499</x:v>
      </x:c>
      <x:c r="Q8" s="222" t="n">
        <x:v>112</x:v>
      </x:c>
      <x:c r="R8" s="19" t="str">
        <x:v>NCM</x:v>
      </x:c>
      <x:c r="S8" s="19" t="str">
        <x:v>中创新航</x:v>
      </x:c>
      <x:c r="T8" s="152" t="n">
        <x:v>76</x:v>
      </x:c>
      <x:c r="U8" s="152" t="n">
        <x:v>400</x:v>
      </x:c>
      <x:c r="V8" s="19" t="str">
        <x:v>370</x:v>
      </x:c>
      <x:c r="W8" s="19" t="str">
        <x:v>6.26</x:v>
      </x:c>
      <x:c r="X8" s="19" t="str">
        <x:v>尺寸动力=E1-G；能量续航=E3</x:v>
      </x:c>
    </x:row>
    <x:row r="9" ht="66" customHeight="1">
      <x:c r="A9" s="339" t="str">
        <x:v>MIIT409-ROOF</x:v>
      </x:c>
      <x:c r="B9" s="339" t="str">
        <x:v>XMA5030XWHKREEVA3</x:v>
      </x:c>
      <x:c r="C9" s="339" t="str">
        <x:v>PUBLIC_NOTICE_409</x:v>
      </x:c>
      <x:c r="D9" s="339" t="str">
        <x:v>插电式增程混合动力文化生活服务车</x:v>
      </x:c>
      <x:c r="E9" s="339" t="str">
        <x:v>N90_ROOF_SPECIAL</x:v>
      </x:c>
      <x:c r="F9" s="343" t="n">
        <x:v>5285</x:v>
      </x:c>
      <x:c r="G9" s="343" t="n">
        <x:v>1998</x:v>
      </x:c>
      <x:c r="H9" s="343" t="n">
        <x:v>1925</x:v>
      </x:c>
      <x:c r="I9" s="343" t="n">
        <x:v>3080</x:v>
      </x:c>
      <x:c r="J9" s="339" t="str">
        <x:v>5</x:v>
      </x:c>
      <x:c r="K9" s="339" t="str">
        <x:v>2840</x:v>
      </x:c>
      <x:c r="L9" s="339" t="str">
        <x:v>3305</x:v>
      </x:c>
      <x:c r="M9" s="339" t="str">
        <x:v>AWD</x:v>
      </x:c>
      <x:c r="N9" s="339" t="str">
        <x:v>210 + 100（不固化前后次序）</x:v>
      </x:c>
      <x:c r="O9" s="339" t="str">
        <x:v>M15DRE</x:v>
      </x:c>
      <x:c r="P9" s="343" t="n">
        <x:v>1499</x:v>
      </x:c>
      <x:c r="Q9" s="343" t="n">
        <x:v>112</x:v>
      </x:c>
      <x:c r="R9" s="339" t="str">
        <x:v>NCM</x:v>
      </x:c>
      <x:c r="S9" s="339" t="str">
        <x:v>中创新航</x:v>
      </x:c>
      <x:c r="T9" s="344" t="n">
        <x:v>76</x:v>
      </x:c>
      <x:c r="U9" s="344" t="n">
        <x:v>400</x:v>
      </x:c>
      <x:c r="V9" s="339" t="str">
        <x:v>363</x:v>
      </x:c>
      <x:c r="W9" s="339" t="str">
        <x:v>6.28</x:v>
      </x:c>
      <x:c r="X9" s="339" t="str">
        <x:v>结构尺寸动力=E1-G；能量续航=E3</x:v>
      </x:c>
    </x:row>
  </x:sheetData>
  <x:mergeCells>
    <x:mergeCell ref="A1:X1"/>
    <x:mergeCell ref="A2:X2"/>
    <x:mergeCell ref="A3:X3"/>
  </x:mergeCells>
  <x:conditionalFormatting sqref="C6:C9">
    <x:cfRule type="containsText" dxfId="476" priority="1" operator="containsText" text="PASS"/>
    <x:cfRule type="containsText" dxfId="477" priority="2" operator="containsText" text="READY"/>
    <x:cfRule type="containsText" dxfId="478" priority="3" operator="containsText" text="TRUE"/>
    <x:cfRule type="containsText" dxfId="479" priority="4" operator="containsText" text="RESOLVED"/>
    <x:cfRule type="containsText" dxfId="480" priority="5" operator="containsText" text="E1-G"/>
    <x:cfRule type="containsText" dxfId="481" priority="6" operator="containsText" text="PROVISIONAL"/>
    <x:cfRule type="containsText" dxfId="482" priority="7" operator="containsText" text="PENDING"/>
    <x:cfRule type="containsText" dxfId="483" priority="8" operator="containsText" text="PUBLIC_NOTICE"/>
    <x:cfRule type="containsText" dxfId="484" priority="9" operator="containsText" text="BOUNDARY"/>
    <x:cfRule type="containsText" dxfId="485" priority="10" operator="containsText" text="TOPOLOGY"/>
    <x:cfRule type="containsText" dxfId="486" priority="11" operator="containsText" text="REFERENCE"/>
    <x:cfRule type="containsText" dxfId="487" priority="12" operator="containsText" text="BLOCKED"/>
    <x:cfRule type="containsText" dxfId="488" priority="13" operator="containsText" text="FAIL"/>
    <x:cfRule type="containsText" dxfId="489" priority="14" operator="containsText" text="FALSE"/>
    <x:cfRule type="containsText" dxfId="490" priority="15" operator="containsText" text="REJECTED"/>
    <x:cfRule type="containsText" dxfId="491" priority="16" operator="containsText" text="MISMATCH"/>
    <x:cfRule type="containsText" dxfId="492" priority="17" operator="containsText" text="OPEN"/>
  </x:conditionalFormatting>
  <x:pageMargins left="0.7" right="0.7" top="0.75" bottom="0.75" header="0.3" footer="0.3"/>
</x:worksheet>
</file>

<file path=xl/worksheets/sheet4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8" hidden="0" customWidth="1"/>
    <x:col min="3" max="3" width="21" hidden="0" customWidth="1"/>
    <x:col min="4" max="4" width="22" hidden="0" customWidth="1"/>
    <x:col min="5" max="5" width="10" hidden="0" customWidth="1"/>
    <x:col min="6" max="6" width="12" hidden="0" customWidth="1"/>
    <x:col min="7" max="7" width="14" hidden="0" customWidth="1"/>
    <x:col min="8" max="8" width="12" hidden="0" customWidth="1"/>
    <x:col min="9" max="9" width="28" hidden="0" customWidth="1"/>
    <x:col min="10" max="10" width="24" hidden="0" customWidth="1"/>
    <x:col min="11" max="11" width="26" hidden="0" customWidth="1"/>
    <x:col min="12" max="12" width="20" hidden="0" customWidth="1"/>
    <x:col min="13" max="13" width="22" hidden="0" customWidth="1"/>
    <x:col min="14" max="14" width="11" hidden="0" customWidth="1"/>
    <x:col min="15" max="15" width="50" hidden="0" customWidth="1"/>
    <x:col min="16" max="16" width="34" hidden="0" customWidth="1"/>
    <x:col min="17" max="17" width="18" hidden="0" customWidth="1"/>
    <x:col min="18" max="18" width="42" hidden="0" customWidth="1"/>
  </x:cols>
  <x:sheetData>
    <x:row r="1" ht="30" customHeight="1">
      <x:c r="A1" s="326" t="str">
        <x:v>40｜准入变体与允许集合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  <x:c r="N1" s="326"/>
      <x:c r="O1" s="326"/>
      <x:c r="P1" s="326"/>
      <x:c r="Q1" s="326"/>
      <x:c r="R1" s="326"/>
    </x:row>
    <x:row r="2" ht="22" customHeight="1">
      <x:c r="A2" s="329" t="str">
        <x:v>7 条受控变体｜不展开未绑定的轮胎×质量×续航笛卡尔积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  <x:c r="N2" s="329"/>
      <x:c r="O2" s="329"/>
      <x:c r="P2" s="329"/>
      <x:c r="Q2" s="329"/>
      <x:c r="R2" s="329"/>
    </x:row>
    <x:row r="3" ht="48" customHeight="1">
      <x:c r="A3" s="333" t="str">
        <x:v>variant 行用于保留座位和结构边界；当公告未逐一绑定质量、轮胎和续航时，combination_binding_status 保持 UNBOUND_SET。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  <x:c r="N3" s="333"/>
      <x:c r="O3" s="333"/>
      <x:c r="P3" s="333"/>
      <x:c r="Q3" s="333"/>
      <x:c r="R3" s="333"/>
    </x:row>
    <x:row r="5" ht="56" customHeight="1">
      <x:c r="A5" s="338" t="str">
        <x:v>miit_variant_id</x:v>
      </x:c>
      <x:c r="B5" s="338" t="str">
        <x:v>miit_model_key</x:v>
      </x:c>
      <x:c r="C5" s="338" t="str">
        <x:v>binding_group</x:v>
      </x:c>
      <x:c r="D5" s="338" t="str">
        <x:v>组合绑定状态</x:v>
      </x:c>
      <x:c r="E5" s="338" t="str">
        <x:v>座位</x:v>
      </x:c>
      <x:c r="F5" s="338" t="str">
        <x:v>整备kg</x:v>
      </x:c>
      <x:c r="G5" s="338" t="str">
        <x:v>总质量kg</x:v>
      </x:c>
      <x:c r="H5" s="338" t="str">
        <x:v>高度mm</x:v>
      </x:c>
      <x:c r="I5" s="338" t="str">
        <x:v>轮胎允许集合</x:v>
      </x:c>
      <x:c r="J5" s="338" t="str">
        <x:v>目录纯电里程集合km</x:v>
      </x:c>
      <x:c r="K5" s="338" t="str">
        <x:v>续航循环</x:v>
      </x:c>
      <x:c r="L5" s="338" t="str">
        <x:v>亏电油耗集合</x:v>
      </x:c>
      <x:c r="M5" s="338" t="str">
        <x:v>roof_type</x:v>
      </x:c>
      <x:c r="N5" s="338" t="str">
        <x:v>升顶</x:v>
      </x:c>
      <x:c r="O5" s="338" t="str">
        <x:v>特殊机构</x:v>
      </x:c>
      <x:c r="P5" s="338" t="str">
        <x:v>商品化状态</x:v>
      </x:c>
      <x:c r="Q5" s="338" t="str">
        <x:v>证据</x:v>
      </x:c>
      <x:c r="R5" s="338" t="str">
        <x:v>边界说明</x:v>
      </x:c>
    </x:row>
    <x:row r="6" ht="68" customHeight="1">
      <x:c r="A6" s="19" t="str">
        <x:v>V-F3-M1</x:v>
      </x:c>
      <x:c r="B6" s="19" t="str">
        <x:v>MIIT409-F3</x:v>
      </x:c>
      <x:c r="C6" s="19" t="str">
        <x:v>BG-F3-UNBOUND</x:v>
      </x:c>
      <x:c r="D6" s="19" t="str">
        <x:v>UNBOUND_SET</x:v>
      </x:c>
      <x:c r="E6" s="222" t="n">
        <x:v>5</x:v>
      </x:c>
      <x:c r="F6" s="222" t="n">
        <x:v>2453</x:v>
      </x:c>
      <x:c r="G6" s="222" t="n">
        <x:v>2892</x:v>
      </x:c>
      <x:c r="H6" s="222" t="n">
        <x:v>1785</x:v>
      </x:c>
      <x:c r="I6" s="19" t="str">
        <x:v>245/55R19 或 255/45R21</x:v>
      </x:c>
      <x:c r="J6" s="19" t="str">
        <x:v>270 / 265</x:v>
      </x:c>
      <x:c r="K6" s="19" t="str">
        <x:v>NOT_DISCLOSED_IN_TRACE</x:v>
      </x:c>
      <x:c r="L6" s="19" t="str">
        <x:v>5.70 / 5.80</x:v>
      </x:c>
      <x:c r="M6" s="19" t="str">
        <x:v>NORMAL_FIXED</x:v>
      </x:c>
      <x:c r="N6" s="19" t="str">
        <x:v>FALSE</x:v>
      </x:c>
      <x:c r="O6" s="19" t="str"/>
      <x:c r="P6" s="19" t="str">
        <x:v>REGULATORY_ONLY</x:v>
      </x:c>
      <x:c r="Q6" s="19" t="str">
        <x:v>E1-G + E3</x:v>
      </x:c>
      <x:c r="R6" s="19" t="str">
        <x:v>质量与轮胎/续航未做强绑定</x:v>
      </x:c>
    </x:row>
    <x:row r="7" ht="68" customHeight="1">
      <x:c r="A7" s="339" t="str">
        <x:v>V-F3-M2</x:v>
      </x:c>
      <x:c r="B7" s="339" t="str">
        <x:v>MIIT409-F3</x:v>
      </x:c>
      <x:c r="C7" s="339" t="str">
        <x:v>BG-F3-UNBOUND</x:v>
      </x:c>
      <x:c r="D7" s="339" t="str">
        <x:v>UNBOUND_SET</x:v>
      </x:c>
      <x:c r="E7" s="343" t="n">
        <x:v>5</x:v>
      </x:c>
      <x:c r="F7" s="343" t="n">
        <x:v>2505</x:v>
      </x:c>
      <x:c r="G7" s="343" t="n">
        <x:v>2944</x:v>
      </x:c>
      <x:c r="H7" s="343" t="n">
        <x:v>1785</x:v>
      </x:c>
      <x:c r="I7" s="339" t="str">
        <x:v>245/55R19 或 255/45R21</x:v>
      </x:c>
      <x:c r="J7" s="339" t="str">
        <x:v>270 / 265</x:v>
      </x:c>
      <x:c r="K7" s="339" t="str">
        <x:v>NOT_DISCLOSED_IN_TRACE</x:v>
      </x:c>
      <x:c r="L7" s="339" t="str">
        <x:v>5.70 / 5.80</x:v>
      </x:c>
      <x:c r="M7" s="339" t="str">
        <x:v>NORMAL_FIXED</x:v>
      </x:c>
      <x:c r="N7" s="339" t="str">
        <x:v>FALSE</x:v>
      </x:c>
      <x:c r="O7" s="339" t="str"/>
      <x:c r="P7" s="339" t="str">
        <x:v>REGULATORY_ONLY</x:v>
      </x:c>
      <x:c r="Q7" s="339" t="str">
        <x:v>E1-G + E3</x:v>
      </x:c>
      <x:c r="R7" s="339" t="str">
        <x:v>不假定第二质量必对应第二里程</x:v>
      </x:c>
    </x:row>
    <x:row r="8" ht="68" customHeight="1">
      <x:c r="A8" s="19" t="str">
        <x:v>V-A1-M1</x:v>
      </x:c>
      <x:c r="B8" s="19" t="str">
        <x:v>MIIT409-A1</x:v>
      </x:c>
      <x:c r="C8" s="19" t="str">
        <x:v>BG-A1-UNBOUND</x:v>
      </x:c>
      <x:c r="D8" s="19" t="str">
        <x:v>UNBOUND_SET</x:v>
      </x:c>
      <x:c r="E8" s="222" t="n">
        <x:v>5</x:v>
      </x:c>
      <x:c r="F8" s="222" t="n">
        <x:v>2561</x:v>
      </x:c>
      <x:c r="G8" s="222" t="str"/>
      <x:c r="H8" s="222" t="n">
        <x:v>1765</x:v>
      </x:c>
      <x:c r="I8" s="19" t="str">
        <x:v>245/55R19 或 255/45R21</x:v>
      </x:c>
      <x:c r="J8" s="19" t="str">
        <x:v>380 / 375</x:v>
      </x:c>
      <x:c r="K8" s="19" t="str">
        <x:v>NOT_DISCLOSED_IN_TRACE</x:v>
      </x:c>
      <x:c r="L8" s="19" t="str">
        <x:v>6.10 / 6.20</x:v>
      </x:c>
      <x:c r="M8" s="19" t="str">
        <x:v>NORMAL_FIXED</x:v>
      </x:c>
      <x:c r="N8" s="19" t="str">
        <x:v>FALSE</x:v>
      </x:c>
      <x:c r="O8" s="19" t="str"/>
      <x:c r="P8" s="19" t="str">
        <x:v>ANNOUNCED_CANDIDATE</x:v>
      </x:c>
      <x:c r="Q8" s="19" t="str">
        <x:v>E1-G + E3</x:v>
      </x:c>
      <x:c r="R8" s="19" t="str">
        <x:v>商业名需 E1-X 回勾</x:v>
      </x:c>
    </x:row>
    <x:row r="9" ht="68" customHeight="1">
      <x:c r="A9" s="339" t="str">
        <x:v>V-A1-M2</x:v>
      </x:c>
      <x:c r="B9" s="339" t="str">
        <x:v>MIIT409-A1</x:v>
      </x:c>
      <x:c r="C9" s="339" t="str">
        <x:v>BG-A1-UNBOUND</x:v>
      </x:c>
      <x:c r="D9" s="339" t="str">
        <x:v>UNBOUND_SET</x:v>
      </x:c>
      <x:c r="E9" s="343" t="n">
        <x:v>5</x:v>
      </x:c>
      <x:c r="F9" s="343" t="n">
        <x:v>2610</x:v>
      </x:c>
      <x:c r="G9" s="343" t="str"/>
      <x:c r="H9" s="343" t="n">
        <x:v>1765</x:v>
      </x:c>
      <x:c r="I9" s="339" t="str">
        <x:v>245/55R19 或 255/45R21</x:v>
      </x:c>
      <x:c r="J9" s="339" t="str">
        <x:v>380 / 375</x:v>
      </x:c>
      <x:c r="K9" s="339" t="str">
        <x:v>NOT_DISCLOSED_IN_TRACE</x:v>
      </x:c>
      <x:c r="L9" s="339" t="str">
        <x:v>6.10 / 6.20</x:v>
      </x:c>
      <x:c r="M9" s="339" t="str">
        <x:v>NORMAL_FIXED</x:v>
      </x:c>
      <x:c r="N9" s="339" t="str">
        <x:v>FALSE</x:v>
      </x:c>
      <x:c r="O9" s="339" t="str"/>
      <x:c r="P9" s="339" t="str">
        <x:v>ANNOUNCED_CANDIDATE</x:v>
      </x:c>
      <x:c r="Q9" s="339" t="str">
        <x:v>E1-G + E3</x:v>
      </x:c>
      <x:c r="R9" s="339" t="str">
        <x:v>不假定第二质量必对应第二里程</x:v>
      </x:c>
    </x:row>
    <x:row r="10" ht="68" customHeight="1">
      <x:c r="A10" s="19" t="str">
        <x:v>V-N90-5</x:v>
      </x:c>
      <x:c r="B10" s="19" t="str">
        <x:v>MIIT409-N90</x:v>
      </x:c>
      <x:c r="C10" s="19" t="str">
        <x:v>BG-N90-SEAT</x:v>
      </x:c>
      <x:c r="D10" s="19" t="str">
        <x:v>PARTIALLY_BOUND</x:v>
      </x:c>
      <x:c r="E10" s="222" t="n">
        <x:v>5</x:v>
      </x:c>
      <x:c r="F10" s="222" t="n">
        <x:v>2800</x:v>
      </x:c>
      <x:c r="G10" s="222" t="n">
        <x:v>3265</x:v>
      </x:c>
      <x:c r="H10" s="222" t="n">
        <x:v>1825</x:v>
      </x:c>
      <x:c r="I10" s="19" t="str">
        <x:v>前255/45R21；后265/45R21</x:v>
      </x:c>
      <x:c r="J10" s="19" t="str">
        <x:v>370</x:v>
      </x:c>
      <x:c r="K10" s="19" t="str">
        <x:v>NOT_DISCLOSED_IN_TRACE</x:v>
      </x:c>
      <x:c r="L10" s="19" t="str">
        <x:v>6.26</x:v>
      </x:c>
      <x:c r="M10" s="19" t="str">
        <x:v>NORMAL_FIXED</x:v>
      </x:c>
      <x:c r="N10" s="19" t="str">
        <x:v>FALSE</x:v>
      </x:c>
      <x:c r="O10" s="19" t="str"/>
      <x:c r="P10" s="19" t="str">
        <x:v>COMMERCIAL_SEAT_PENDING</x:v>
      </x:c>
      <x:c r="Q10" s="19" t="str">
        <x:v>E1-G + E3</x:v>
      </x:c>
      <x:c r="R10" s="19" t="str">
        <x:v>5座是准入允许值，不等于独立SKU</x:v>
      </x:c>
    </x:row>
    <x:row r="11" ht="68" customHeight="1">
      <x:c r="A11" s="339" t="str">
        <x:v>V-N90-7</x:v>
      </x:c>
      <x:c r="B11" s="339" t="str">
        <x:v>MIIT409-N90</x:v>
      </x:c>
      <x:c r="C11" s="339" t="str">
        <x:v>BG-N90-SEAT</x:v>
      </x:c>
      <x:c r="D11" s="339" t="str">
        <x:v>PARTIALLY_BOUND</x:v>
      </x:c>
      <x:c r="E11" s="343" t="n">
        <x:v>7</x:v>
      </x:c>
      <x:c r="F11" s="343" t="n">
        <x:v>2800</x:v>
      </x:c>
      <x:c r="G11" s="343" t="n">
        <x:v>3361</x:v>
      </x:c>
      <x:c r="H11" s="343" t="n">
        <x:v>1825</x:v>
      </x:c>
      <x:c r="I11" s="339" t="str">
        <x:v>前255/45R21；后265/45R21</x:v>
      </x:c>
      <x:c r="J11" s="339" t="str">
        <x:v>370</x:v>
      </x:c>
      <x:c r="K11" s="339" t="str">
        <x:v>NOT_DISCLOSED_IN_TRACE</x:v>
      </x:c>
      <x:c r="L11" s="339" t="str">
        <x:v>6.26</x:v>
      </x:c>
      <x:c r="M11" s="339" t="str">
        <x:v>NORMAL_FIXED</x:v>
      </x:c>
      <x:c r="N11" s="339" t="str">
        <x:v>FALSE</x:v>
      </x:c>
      <x:c r="O11" s="339" t="str"/>
      <x:c r="P11" s="339" t="str">
        <x:v>ANNOUNCED_CANDIDATE</x:v>
      </x:c>
      <x:c r="Q11" s="339" t="str">
        <x:v>E1-G + E3</x:v>
      </x:c>
      <x:c r="R11" s="339" t="str">
        <x:v>7座商品身份待发布会/App锁定</x:v>
      </x:c>
    </x:row>
    <x:row r="12" ht="68" customHeight="1">
      <x:c r="A12" s="19" t="str">
        <x:v>V-ROOF-5</x:v>
      </x:c>
      <x:c r="B12" s="19" t="str">
        <x:v>MIIT409-ROOF</x:v>
      </x:c>
      <x:c r="C12" s="19" t="str">
        <x:v>BG-ROOF-EXPLICIT</x:v>
      </x:c>
      <x:c r="D12" s="19" t="str">
        <x:v>PARTIALLY_BOUND</x:v>
      </x:c>
      <x:c r="E12" s="222" t="n">
        <x:v>5</x:v>
      </x:c>
      <x:c r="F12" s="222" t="n">
        <x:v>2840</x:v>
      </x:c>
      <x:c r="G12" s="222" t="n">
        <x:v>3305</x:v>
      </x:c>
      <x:c r="H12" s="222" t="n">
        <x:v>1925</x:v>
      </x:c>
      <x:c r="I12" s="19" t="str">
        <x:v>前255/45R21；后265/45R21</x:v>
      </x:c>
      <x:c r="J12" s="19" t="str">
        <x:v>363</x:v>
      </x:c>
      <x:c r="K12" s="19" t="str">
        <x:v>NOT_DISCLOSED_IN_TRACE</x:v>
      </x:c>
      <x:c r="L12" s="19" t="str">
        <x:v>6.28</x:v>
      </x:c>
      <x:c r="M12" s="19" t="str">
        <x:v>POP_UP_ELEVATING</x:v>
      </x:c>
      <x:c r="N12" s="19" t="str">
        <x:v>TRUE</x:v>
      </x:c>
      <x:c r="O12" s="19" t="str">
        <x:v>升降顶、床板、边柜、侧帐接口；投影/桌板准入选装</x:v>
      </x:c>
      <x:c r="P12" s="19" t="str">
        <x:v>HOMOLOGATED_NOT_COMMERCIALIZED</x:v>
      </x:c>
      <x:c r="Q12" s="19" t="str">
        <x:v>E1-G + E3</x:v>
      </x:c>
      <x:c r="R12" s="19" t="str">
        <x:v>升顶仅非公共道路驻车使用；选装不等于标配</x:v>
      </x:c>
    </x:row>
  </x:sheetData>
  <x:mergeCells>
    <x:mergeCell ref="A1:R1"/>
    <x:mergeCell ref="A2:R2"/>
    <x:mergeCell ref="A3:R3"/>
  </x:mergeCells>
  <x:conditionalFormatting sqref="D6:P12">
    <x:cfRule type="containsText" dxfId="493" priority="1" operator="containsText" text="PASS"/>
    <x:cfRule type="containsText" dxfId="494" priority="2" operator="containsText" text="READY"/>
    <x:cfRule type="containsText" dxfId="495" priority="3" operator="containsText" text="TRUE"/>
    <x:cfRule type="containsText" dxfId="496" priority="4" operator="containsText" text="RESOLVED"/>
    <x:cfRule type="containsText" dxfId="497" priority="5" operator="containsText" text="E1-G"/>
    <x:cfRule type="containsText" dxfId="498" priority="6" operator="containsText" text="PROVISIONAL"/>
    <x:cfRule type="containsText" dxfId="499" priority="7" operator="containsText" text="PENDING"/>
    <x:cfRule type="containsText" dxfId="500" priority="8" operator="containsText" text="PUBLIC_NOTICE"/>
    <x:cfRule type="containsText" dxfId="501" priority="9" operator="containsText" text="BOUNDARY"/>
    <x:cfRule type="containsText" dxfId="502" priority="10" operator="containsText" text="TOPOLOGY"/>
    <x:cfRule type="containsText" dxfId="503" priority="11" operator="containsText" text="REFERENCE"/>
    <x:cfRule type="containsText" dxfId="504" priority="12" operator="containsText" text="BLOCKED"/>
    <x:cfRule type="containsText" dxfId="505" priority="13" operator="containsText" text="FAIL"/>
    <x:cfRule type="containsText" dxfId="506" priority="14" operator="containsText" text="FALSE"/>
    <x:cfRule type="containsText" dxfId="507" priority="15" operator="containsText" text="REJECTED"/>
    <x:cfRule type="containsText" dxfId="508" priority="16" operator="containsText" text="MISMATCH"/>
    <x:cfRule type="containsText" dxfId="509" priority="17" operator="containsText" text="OPEN"/>
  </x:conditionalFormatting>
  <x:pageMargins left="0.7" right="0.7" top="0.75" bottom="0.75" header="0.3" footer="0.3"/>
</x:worksheet>
</file>

<file path=xl/worksheets/sheet4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34" hidden="0" customWidth="1"/>
    <x:col min="3" max="3" width="22" hidden="0" customWidth="1"/>
    <x:col min="4" max="4" width="20" hidden="0" customWidth="1"/>
    <x:col min="5" max="5" width="12" hidden="0" customWidth="1"/>
    <x:col min="6" max="6" width="18" hidden="0" customWidth="1"/>
    <x:col min="7" max="7" width="23" hidden="0" customWidth="1"/>
    <x:col min="8" max="8" width="34" hidden="0" customWidth="1"/>
    <x:col min="9" max="9" width="16" hidden="0" customWidth="1"/>
    <x:col min="10" max="10" width="30" hidden="0" customWidth="1"/>
    <x:col min="11" max="11" width="24" hidden="0" customWidth="1"/>
    <x:col min="12" max="12" width="24" hidden="0" customWidth="1"/>
    <x:col min="13" max="13" width="18" hidden="0" customWidth="1"/>
    <x:col min="14" max="14" width="48" hidden="0" customWidth="1"/>
  </x:cols>
  <x:sheetData>
    <x:row r="1" ht="30" customHeight="1">
      <x:c r="A1" s="326" t="str">
        <x:v>41｜商业节点候选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  <x:c r="N1" s="326"/>
    </x:row>
    <x:row r="2" ht="22" customHeight="1">
      <x:c r="A2" s="329" t="str">
        <x:v>销售名与监管型号分层｜2 个官网预售节点 + 2 个监管候选节点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  <x:c r="N2" s="329"/>
    </x:row>
    <x:row r="3" ht="48" customHeight="1">
      <x:c r="A3" s="333" t="str">
        <x:v>N70 低阶型号的真实商业后缀尚未公布，故只写“低阶候选”；升顶版也仅是监管候选。N70 Max/N90 Max 的官网预售价与预约咨询已确认，但仍缺 App 原始 ID。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  <x:c r="N3" s="333"/>
    </x:row>
    <x:row r="5" ht="54" customHeight="1">
      <x:c r="A5" s="338" t="str">
        <x:v>commercial_node_id</x:v>
      </x:c>
      <x:c r="B5" s="338" t="str">
        <x:v>显示名/研究名</x:v>
      </x:c>
      <x:c r="C5" s="338" t="str">
        <x:v>车身族</x:v>
      </x:c>
      <x:c r="D5" s="338" t="str">
        <x:v>基础座位</x:v>
      </x:c>
      <x:c r="E5" s="338" t="str">
        <x:v>驱动</x:v>
      </x:c>
      <x:c r="F5" s="338" t="str">
        <x:v>电池档</x:v>
      </x:c>
      <x:c r="G5" s="338" t="str">
        <x:v>roof_type</x:v>
      </x:c>
      <x:c r="H5" s="338" t="str">
        <x:v>商业状态</x:v>
      </x:c>
      <x:c r="I5" s="338" t="str">
        <x:v>预售价元</x:v>
      </x:c>
      <x:c r="J5" s="338" t="str">
        <x:v>价格口径</x:v>
      </x:c>
      <x:c r="K5" s="338" t="str">
        <x:v>商品证据</x:v>
      </x:c>
      <x:c r="L5" s="338" t="str">
        <x:v>App状态</x:v>
      </x:c>
      <x:c r="M5" s="338" t="str">
        <x:v>价格桥资格</x:v>
      </x:c>
      <x:c r="N5" s="338" t="str">
        <x:v>关键边界</x:v>
      </x:c>
    </x:row>
    <x:row r="6" ht="66" customHeight="1">
      <x:c r="A6" s="19" t="str">
        <x:v>PC-N70-BASE-CAND</x:v>
      </x:c>
      <x:c r="B6" s="19" t="str">
        <x:v>小米澎程 N70低阶候选（后缀待核）</x:v>
      </x:c>
      <x:c r="C6" s="19" t="str">
        <x:v>N70_SHORT</x:v>
      </x:c>
      <x:c r="D6" s="19" t="n">
        <x:v>5</x:v>
      </x:c>
      <x:c r="E6" s="19" t="str">
        <x:v>单电机（轴位待核）</x:v>
      </x:c>
      <x:c r="F6" s="19" t="str">
        <x:v>52kWh LFP</x:v>
      </x:c>
      <x:c r="G6" s="19" t="str">
        <x:v>NORMAL_FIXED</x:v>
      </x:c>
      <x:c r="H6" s="19" t="str">
        <x:v>REGULATORY_ONLY_CANDIDATE</x:v>
      </x:c>
      <x:c r="I6" s="222" t="str"/>
      <x:c r="J6" s="19" t="str">
        <x:v>NOT_DISCLOSED</x:v>
      </x:c>
      <x:c r="K6" s="19" t="str">
        <x:v>NO_E1_X</x:v>
      </x:c>
      <x:c r="L6" s="19" t="str">
        <x:v>NOT_EVIDENCED</x:v>
      </x:c>
      <x:c r="M6" s="19" t="str">
        <x:v>FALSE</x:v>
      </x:c>
      <x:c r="N6" s="19" t="str">
        <x:v>完整型号存在；真实商业名/轴位/售卖身份待核</x:v>
      </x:c>
    </x:row>
    <x:row r="7" ht="66" customHeight="1">
      <x:c r="A7" s="339" t="str">
        <x:v>PC-N70-MAX-CAND</x:v>
      </x:c>
      <x:c r="B7" s="339" t="str">
        <x:v>小米澎程 N70 Max</x:v>
      </x:c>
      <x:c r="C7" s="339" t="str">
        <x:v>N70_SHORT</x:v>
      </x:c>
      <x:c r="D7" s="339" t="n">
        <x:v>5</x:v>
      </x:c>
      <x:c r="E7" s="339" t="str">
        <x:v>AWD</x:v>
      </x:c>
      <x:c r="F7" s="339" t="str">
        <x:v>76kWh NCM</x:v>
      </x:c>
      <x:c r="G7" s="339" t="str">
        <x:v>NORMAL_FIXED</x:v>
      </x:c>
      <x:c r="H7" s="339" t="str">
        <x:v>OFFICIAL_PRESALE_SMALL_ORDER</x:v>
      </x:c>
      <x:c r="I7" s="346" t="n">
        <x:v>259900</x:v>
      </x:c>
      <x:c r="J7" s="339" t="str">
        <x:v>OFFICIAL_WEBSITE_PRESALE</x:v>
      </x:c>
      <x:c r="K7" s="339" t="str">
        <x:v>E1-X_WEB + E1-X_TRACE</x:v>
      </x:c>
      <x:c r="L7" s="339" t="str">
        <x:v>APP_ID_NOT_CAPTURED</x:v>
      </x:c>
      <x:c r="M7" s="339" t="str">
        <x:v>FALSE</x:v>
      </x:c>
      <x:c r="N7" s="339" t="str">
        <x:v>官网/雷军确认大五座四驱、25.99万小订；310kW/CLTC505/空簧+CDC</x:v>
      </x:c>
    </x:row>
    <x:row r="8" ht="66" customHeight="1">
      <x:c r="A8" s="19" t="str">
        <x:v>PC-N90-MAX-CAND</x:v>
      </x:c>
      <x:c r="B8" s="19" t="str">
        <x:v>小米澎程 N90 Max</x:v>
      </x:c>
      <x:c r="C8" s="19" t="str">
        <x:v>N90_LONG</x:v>
      </x:c>
      <x:c r="D8" s="19" t="str">
        <x:v>7（5座准入亦存在）</x:v>
      </x:c>
      <x:c r="E8" s="19" t="str">
        <x:v>AWD</x:v>
      </x:c>
      <x:c r="F8" s="19" t="str">
        <x:v>76kWh NCM</x:v>
      </x:c>
      <x:c r="G8" s="19" t="str">
        <x:v>NORMAL_FIXED</x:v>
      </x:c>
      <x:c r="H8" s="19" t="str">
        <x:v>OFFICIAL_PRESALE_SMALL_ORDER</x:v>
      </x:c>
      <x:c r="I8" s="346" t="n">
        <x:v>299900</x:v>
      </x:c>
      <x:c r="J8" s="19" t="str">
        <x:v>OFFICIAL_WEBSITE_PRESALE</x:v>
      </x:c>
      <x:c r="K8" s="19" t="str">
        <x:v>E1-X_WEB + E1-X_TRACE</x:v>
      </x:c>
      <x:c r="L8" s="19" t="str">
        <x:v>APP_ID_NOT_CAPTURED</x:v>
      </x:c>
      <x:c r="M8" s="19" t="str">
        <x:v>FALSE</x:v>
      </x:c>
      <x:c r="N8" s="19" t="str">
        <x:v>官网/雷军确认2+2+3大七座、29.99万小订；准入5座不自动生成SKU</x:v>
      </x:c>
    </x:row>
    <x:row r="9" ht="66" customHeight="1">
      <x:c r="A9" s="339" t="str">
        <x:v>PC-N90-ROOF-CAND</x:v>
      </x:c>
      <x:c r="B9" s="339" t="str">
        <x:v>小米澎程 N90 升顶版（候选）</x:v>
      </x:c>
      <x:c r="C9" s="339" t="str">
        <x:v>N90_ROOF_SPECIAL</x:v>
      </x:c>
      <x:c r="D9" s="339" t="n">
        <x:v>5</x:v>
      </x:c>
      <x:c r="E9" s="339" t="str">
        <x:v>AWD</x:v>
      </x:c>
      <x:c r="F9" s="339" t="str">
        <x:v>76kWh NCM</x:v>
      </x:c>
      <x:c r="G9" s="339" t="str">
        <x:v>POP_UP_ELEVATING</x:v>
      </x:c>
      <x:c r="H9" s="339" t="str">
        <x:v>HOMOLOGATED_NOT_COMMERCIALIZED</x:v>
      </x:c>
      <x:c r="I9" s="343" t="str"/>
      <x:c r="J9" s="339" t="str">
        <x:v>NOT_DISCLOSED</x:v>
      </x:c>
      <x:c r="K9" s="339" t="str">
        <x:v>NO_E1_X_COMMERCIAL</x:v>
      </x:c>
      <x:c r="L9" s="339" t="str">
        <x:v>NOT_EVIDENCED</x:v>
      </x:c>
      <x:c r="M9" s="339" t="str">
        <x:v>FALSE</x:v>
      </x:c>
      <x:c r="N9" s="339" t="str">
        <x:v>监管结构已锁；独立商品身份与价格未锁</x:v>
      </x:c>
    </x:row>
  </x:sheetData>
  <x:mergeCells>
    <x:mergeCell ref="A1:N1"/>
    <x:mergeCell ref="A2:N2"/>
    <x:mergeCell ref="A3:N3"/>
  </x:mergeCells>
  <x:conditionalFormatting sqref="H6:M9">
    <x:cfRule type="containsText" dxfId="510" priority="1" operator="containsText" text="PASS"/>
    <x:cfRule type="containsText" dxfId="511" priority="2" operator="containsText" text="READY"/>
    <x:cfRule type="containsText" dxfId="512" priority="3" operator="containsText" text="TRUE"/>
    <x:cfRule type="containsText" dxfId="513" priority="4" operator="containsText" text="RESOLVED"/>
    <x:cfRule type="containsText" dxfId="514" priority="5" operator="containsText" text="E1-G"/>
    <x:cfRule type="containsText" dxfId="515" priority="6" operator="containsText" text="PROVISIONAL"/>
    <x:cfRule type="containsText" dxfId="516" priority="7" operator="containsText" text="PENDING"/>
    <x:cfRule type="containsText" dxfId="517" priority="8" operator="containsText" text="PUBLIC_NOTICE"/>
    <x:cfRule type="containsText" dxfId="518" priority="9" operator="containsText" text="BOUNDARY"/>
    <x:cfRule type="containsText" dxfId="519" priority="10" operator="containsText" text="TOPOLOGY"/>
    <x:cfRule type="containsText" dxfId="520" priority="11" operator="containsText" text="REFERENCE"/>
    <x:cfRule type="containsText" dxfId="521" priority="12" operator="containsText" text="BLOCKED"/>
    <x:cfRule type="containsText" dxfId="522" priority="13" operator="containsText" text="FAIL"/>
    <x:cfRule type="containsText" dxfId="523" priority="14" operator="containsText" text="FALSE"/>
    <x:cfRule type="containsText" dxfId="524" priority="15" operator="containsText" text="REJECTED"/>
    <x:cfRule type="containsText" dxfId="525" priority="16" operator="containsText" text="MISMATCH"/>
    <x:cfRule type="containsText" dxfId="526" priority="17" operator="containsText" text="OPEN"/>
  </x:conditionalFormatting>
  <x:pageMargins left="0.7" right="0.7" top="0.75" bottom="0.75" header="0.3" footer="0.3"/>
</x:worksheet>
</file>

<file path=xl/worksheets/sheet4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25" hidden="0" customWidth="1"/>
    <x:col min="3" max="3" width="16" hidden="0" customWidth="1"/>
    <x:col min="4" max="4" width="16" hidden="0" customWidth="1"/>
    <x:col min="5" max="5" width="18" hidden="0" customWidth="1"/>
    <x:col min="6" max="6" width="34" hidden="0" customWidth="1"/>
    <x:col min="7" max="7" width="18" hidden="0" customWidth="1"/>
    <x:col min="8" max="8" width="18" hidden="0" customWidth="1"/>
    <x:col min="9" max="9" width="22" hidden="0" customWidth="1"/>
    <x:col min="10" max="10" width="16" hidden="0" customWidth="1"/>
    <x:col min="11" max="11" width="28" hidden="0" customWidth="1"/>
    <x:col min="12" max="12" width="13" hidden="0" customWidth="1"/>
    <x:col min="13" max="13" width="23" hidden="0" customWidth="1"/>
    <x:col min="14" max="14" width="28" hidden="0" customWidth="1"/>
    <x:col min="15" max="15" width="16" hidden="0" customWidth="1"/>
    <x:col min="16" max="16" width="24" hidden="0" customWidth="1"/>
  </x:cols>
  <x:sheetData>
    <x:row r="1" ht="30" customHeight="1">
      <x:c r="A1" s="326" t="str">
        <x:v>42｜App 销售 SKU 锁定表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  <x:c r="N1" s="326"/>
      <x:c r="O1" s="326"/>
      <x:c r="P1" s="326"/>
    </x:row>
    <x:row r="2" ht="22" customHeight="1">
      <x:c r="A2" s="329" t="str">
        <x:v>截至2026-08-03：0 个澎程 App SKU 具备原始 ID + 配置修订 + 可下单状态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  <x:c r="N2" s="329"/>
      <x:c r="O2" s="329"/>
      <x:c r="P2" s="329"/>
    </x:row>
    <x:row r="3" ht="48" customHeight="1">
      <x:c r="A3" s="333" t="str">
        <x:v>空白 goods_id/version_id/order_item_id 是“未取得”，不是 0。只有 App 原始页面/录屏可回勾当前商品身份；发布会版本名或工信部型号不能代填。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  <x:c r="N3" s="333"/>
      <x:c r="O3" s="333"/>
      <x:c r="P3" s="333"/>
    </x:row>
    <x:row r="5" ht="56" customHeight="1">
      <x:c r="A5" s="338" t="str">
        <x:v>app_record_id</x:v>
      </x:c>
      <x:c r="B5" s="338" t="str">
        <x:v>commercial_node_id</x:v>
      </x:c>
      <x:c r="C5" s="338" t="str">
        <x:v>goods_id</x:v>
      </x:c>
      <x:c r="D5" s="338" t="str">
        <x:v>version_id</x:v>
      </x:c>
      <x:c r="E5" s="338" t="str">
        <x:v>order_item_id</x:v>
      </x:c>
      <x:c r="F5" s="338" t="str">
        <x:v>display_name</x:v>
      </x:c>
      <x:c r="G5" s="338" t="str">
        <x:v>config_revision</x:v>
      </x:c>
      <x:c r="H5" s="338" t="str">
        <x:v>snapshot_as_of</x:v>
      </x:c>
      <x:c r="I5" s="338" t="str">
        <x:v>orderable_status</x:v>
      </x:c>
      <x:c r="J5" s="338" t="str">
        <x:v>base_price元</x:v>
      </x:c>
      <x:c r="K5" s="338" t="str">
        <x:v>price_basis</x:v>
      </x:c>
      <x:c r="L5" s="338" t="str">
        <x:v>base_seat</x:v>
      </x:c>
      <x:c r="M5" s="338" t="str">
        <x:v>base_roof</x:v>
      </x:c>
      <x:c r="N5" s="338" t="str">
        <x:v>source_status</x:v>
      </x:c>
      <x:c r="O5" s="338" t="str">
        <x:v>conflict_status</x:v>
      </x:c>
      <x:c r="P5" s="338" t="str">
        <x:v>price_bridge_eligible</x:v>
      </x:c>
    </x:row>
    <x:row r="6" ht="60" customHeight="1">
      <x:c r="A6" s="19" t="str">
        <x:v>APP-PENDING-N70</x:v>
      </x:c>
      <x:c r="B6" s="19" t="str">
        <x:v>PC-N70-BASE-CAND</x:v>
      </x:c>
      <x:c r="C6" s="19" t="str"/>
      <x:c r="D6" s="19" t="str"/>
      <x:c r="E6" s="19" t="str"/>
      <x:c r="F6" s="19" t="str">
        <x:v>小米澎程 N70低阶候选（后缀待核）</x:v>
      </x:c>
      <x:c r="G6" s="19" t="str"/>
      <x:c r="H6" s="19" t="str">
        <x:v>2026-08-03</x:v>
      </x:c>
      <x:c r="I6" s="19" t="str">
        <x:v>NOT_EVIDENCED</x:v>
      </x:c>
      <x:c r="J6" s="222" t="str"/>
      <x:c r="K6" s="19" t="str">
        <x:v>NOT_DISCLOSED</x:v>
      </x:c>
      <x:c r="L6" s="19" t="n">
        <x:v>5</x:v>
      </x:c>
      <x:c r="M6" s="19" t="str">
        <x:v>NORMAL_FIXED</x:v>
      </x:c>
      <x:c r="N6" s="19" t="str">
        <x:v>MISSING_APP_ORIGINAL</x:v>
      </x:c>
      <x:c r="O6" s="19" t="str">
        <x:v>OPEN</x:v>
      </x:c>
      <x:c r="P6" s="19" t="str">
        <x:v>FALSE</x:v>
      </x:c>
    </x:row>
    <x:row r="7" ht="60" customHeight="1">
      <x:c r="A7" s="339" t="str">
        <x:v>APP-PENDING-N70MAX</x:v>
      </x:c>
      <x:c r="B7" s="339" t="str">
        <x:v>PC-N70-MAX-CAND</x:v>
      </x:c>
      <x:c r="C7" s="339" t="str"/>
      <x:c r="D7" s="339" t="str"/>
      <x:c r="E7" s="339" t="str"/>
      <x:c r="F7" s="339" t="str">
        <x:v>小米澎程 N70 Max</x:v>
      </x:c>
      <x:c r="G7" s="339" t="str"/>
      <x:c r="H7" s="339" t="str">
        <x:v>2026-08-03</x:v>
      </x:c>
      <x:c r="I7" s="339" t="str">
        <x:v>SMALL_ORDER_OPEN_ID_NOT_CAPTURED</x:v>
      </x:c>
      <x:c r="J7" s="343" t="n">
        <x:v>259900</x:v>
      </x:c>
      <x:c r="K7" s="339" t="str">
        <x:v>OFFICIAL_PRESALE_NOT_APP_ID</x:v>
      </x:c>
      <x:c r="L7" s="339" t="n">
        <x:v>5</x:v>
      </x:c>
      <x:c r="M7" s="339" t="str">
        <x:v>NORMAL_FIXED</x:v>
      </x:c>
      <x:c r="N7" s="339" t="str">
        <x:v>MISSING_APP_ORIGINAL</x:v>
      </x:c>
      <x:c r="O7" s="339" t="str">
        <x:v>OPEN</x:v>
      </x:c>
      <x:c r="P7" s="339" t="str">
        <x:v>FALSE</x:v>
      </x:c>
    </x:row>
    <x:row r="8" ht="60" customHeight="1">
      <x:c r="A8" s="19" t="str">
        <x:v>APP-PENDING-N90MAX</x:v>
      </x:c>
      <x:c r="B8" s="19" t="str">
        <x:v>PC-N90-MAX-CAND</x:v>
      </x:c>
      <x:c r="C8" s="19" t="str"/>
      <x:c r="D8" s="19" t="str"/>
      <x:c r="E8" s="19" t="str"/>
      <x:c r="F8" s="19" t="str">
        <x:v>小米澎程 N90 Max</x:v>
      </x:c>
      <x:c r="G8" s="19" t="str"/>
      <x:c r="H8" s="19" t="str">
        <x:v>2026-08-03</x:v>
      </x:c>
      <x:c r="I8" s="19" t="str">
        <x:v>SMALL_ORDER_OPEN_ID_NOT_CAPTURED</x:v>
      </x:c>
      <x:c r="J8" s="222" t="n">
        <x:v>299900</x:v>
      </x:c>
      <x:c r="K8" s="19" t="str">
        <x:v>OFFICIAL_PRESALE_NOT_APP_ID</x:v>
      </x:c>
      <x:c r="L8" s="19" t="n">
        <x:v>7</x:v>
      </x:c>
      <x:c r="M8" s="19" t="str">
        <x:v>NORMAL_FIXED</x:v>
      </x:c>
      <x:c r="N8" s="19" t="str">
        <x:v>MISSING_APP_ORIGINAL</x:v>
      </x:c>
      <x:c r="O8" s="19" t="str">
        <x:v>OPEN</x:v>
      </x:c>
      <x:c r="P8" s="19" t="str">
        <x:v>FALSE</x:v>
      </x:c>
    </x:row>
    <x:row r="9" ht="60" customHeight="1">
      <x:c r="A9" s="339" t="str">
        <x:v>APP-PENDING-ROOF</x:v>
      </x:c>
      <x:c r="B9" s="339" t="str">
        <x:v>PC-N90-ROOF-CAND</x:v>
      </x:c>
      <x:c r="C9" s="339" t="str"/>
      <x:c r="D9" s="339" t="str"/>
      <x:c r="E9" s="339" t="str"/>
      <x:c r="F9" s="339" t="str">
        <x:v>小米澎程 N90 升顶版（候选）</x:v>
      </x:c>
      <x:c r="G9" s="339" t="str"/>
      <x:c r="H9" s="339" t="str">
        <x:v>2026-08-03</x:v>
      </x:c>
      <x:c r="I9" s="339" t="str">
        <x:v>NOT_EVIDENCED</x:v>
      </x:c>
      <x:c r="J9" s="343" t="str"/>
      <x:c r="K9" s="339" t="str">
        <x:v>NOT_DISCLOSED</x:v>
      </x:c>
      <x:c r="L9" s="339" t="n">
        <x:v>5</x:v>
      </x:c>
      <x:c r="M9" s="339" t="str">
        <x:v>POP_UP_ELEVATING</x:v>
      </x:c>
      <x:c r="N9" s="339" t="str">
        <x:v>MISSING_APP_ORIGINAL</x:v>
      </x:c>
      <x:c r="O9" s="339" t="str">
        <x:v>OPEN</x:v>
      </x:c>
      <x:c r="P9" s="339" t="str">
        <x:v>FALSE</x:v>
      </x:c>
    </x:row>
  </x:sheetData>
  <x:mergeCells>
    <x:mergeCell ref="A1:P1"/>
    <x:mergeCell ref="A2:P2"/>
    <x:mergeCell ref="A3:P3"/>
  </x:mergeCells>
  <x:conditionalFormatting sqref="I6:P9">
    <x:cfRule type="containsText" dxfId="527" priority="1" operator="containsText" text="PASS"/>
    <x:cfRule type="containsText" dxfId="528" priority="2" operator="containsText" text="READY"/>
    <x:cfRule type="containsText" dxfId="529" priority="3" operator="containsText" text="TRUE"/>
    <x:cfRule type="containsText" dxfId="530" priority="4" operator="containsText" text="RESOLVED"/>
    <x:cfRule type="containsText" dxfId="531" priority="5" operator="containsText" text="E1-G"/>
    <x:cfRule type="containsText" dxfId="532" priority="6" operator="containsText" text="PROVISIONAL"/>
    <x:cfRule type="containsText" dxfId="533" priority="7" operator="containsText" text="PENDING"/>
    <x:cfRule type="containsText" dxfId="534" priority="8" operator="containsText" text="PUBLIC_NOTICE"/>
    <x:cfRule type="containsText" dxfId="535" priority="9" operator="containsText" text="BOUNDARY"/>
    <x:cfRule type="containsText" dxfId="536" priority="10" operator="containsText" text="TOPOLOGY"/>
    <x:cfRule type="containsText" dxfId="537" priority="11" operator="containsText" text="REFERENCE"/>
    <x:cfRule type="containsText" dxfId="538" priority="12" operator="containsText" text="BLOCKED"/>
    <x:cfRule type="containsText" dxfId="539" priority="13" operator="containsText" text="FAIL"/>
    <x:cfRule type="containsText" dxfId="540" priority="14" operator="containsText" text="FALSE"/>
    <x:cfRule type="containsText" dxfId="541" priority="15" operator="containsText" text="REJECTED"/>
    <x:cfRule type="containsText" dxfId="542" priority="16" operator="containsText" text="MISMATCH"/>
    <x:cfRule type="containsText" dxfId="543" priority="17" operator="containsText" text="OPEN"/>
  </x:conditionalFormatting>
  <x:pageMargins left="0.7" right="0.7" top="0.75" bottom="0.75" header="0.3" footer="0.3"/>
</x:worksheet>
</file>

<file path=xl/worksheets/sheet4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4" hidden="0" customWidth="1"/>
    <x:col min="3" max="3" width="25" hidden="0" customWidth="1"/>
    <x:col min="4" max="4" width="13" hidden="0" customWidth="1"/>
    <x:col min="5" max="5" width="13" hidden="0" customWidth="1"/>
    <x:col min="6" max="6" width="13" hidden="0" customWidth="1"/>
    <x:col min="7" max="7" width="16" hidden="0" customWidth="1"/>
    <x:col min="8" max="8" width="16" hidden="0" customWidth="1"/>
    <x:col min="9" max="9" width="16" hidden="0" customWidth="1"/>
    <x:col min="10" max="10" width="12" hidden="0" customWidth="1"/>
    <x:col min="11" max="11" width="12" hidden="0" customWidth="1"/>
    <x:col min="12" max="12" width="12" hidden="0" customWidth="1"/>
    <x:col min="13" max="13" width="13" hidden="0" customWidth="1"/>
    <x:col min="14" max="14" width="12" hidden="0" customWidth="1"/>
    <x:col min="15" max="15" width="16" hidden="0" customWidth="1"/>
    <x:col min="16" max="16" width="13" hidden="0" customWidth="1"/>
    <x:col min="17" max="17" width="17" hidden="0" customWidth="1"/>
    <x:col min="18" max="18" width="14" hidden="0" customWidth="1"/>
    <x:col min="19" max="19" width="18" hidden="0" customWidth="1"/>
    <x:col min="20" max="20" width="18" hidden="0" customWidth="1"/>
    <x:col min="21" max="21" width="48" hidden="0" customWidth="1"/>
  </x:cols>
  <x:sheetData>
    <x:row r="1" ht="30" customHeight="1">
      <x:c r="A1" s="326" t="str">
        <x:v>43｜监管型号 → 商业节点候选评分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  <x:c r="N1" s="326"/>
      <x:c r="O1" s="326"/>
      <x:c r="P1" s="326"/>
      <x:c r="Q1" s="326"/>
      <x:c r="R1" s="326"/>
      <x:c r="S1" s="326"/>
      <x:c r="T1" s="326"/>
      <x:c r="U1" s="326"/>
    </x:row>
    <x:row r="2" ht="22" customHeight="1">
      <x:c r="A2" s="329" t="str">
        <x:v>硬门槛先行｜评分只反映技术指纹，不会把缺失的 E1-X / App 身份补出来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  <x:c r="N2" s="329"/>
      <x:c r="O2" s="329"/>
      <x:c r="P2" s="329"/>
      <x:c r="Q2" s="329"/>
      <x:c r="R2" s="329"/>
      <x:c r="S2" s="329"/>
      <x:c r="T2" s="329"/>
      <x:c r="U2" s="329"/>
    </x:row>
    <x:row r="3" ht="48" customHeight="1">
      <x:c r="A3" s="333" t="str">
        <x:v>权重：车系10、尺寸10、架构12、驱动15、电池14、系统/续航5、座位8、质量6、轮胎4、车顶12、时点4。MISMATCH 直接否决；E1-G-only 的高分仍只能 PROVISIONAL。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  <x:c r="N3" s="333"/>
      <x:c r="O3" s="333"/>
      <x:c r="P3" s="333"/>
      <x:c r="Q3" s="333"/>
      <x:c r="R3" s="333"/>
      <x:c r="S3" s="333"/>
      <x:c r="T3" s="333"/>
      <x:c r="U3" s="333"/>
    </x:row>
    <x:row r="5" ht="62" customHeight="1">
      <x:c r="A5" s="338" t="str">
        <x:v>candidate_id</x:v>
      </x:c>
      <x:c r="B5" s="338" t="str">
        <x:v>监管型号</x:v>
      </x:c>
      <x:c r="C5" s="338" t="str">
        <x:v>目标商业节点</x:v>
      </x:c>
      <x:c r="D5" s="338" t="str">
        <x:v>车系</x:v>
      </x:c>
      <x:c r="E5" s="338" t="str">
        <x:v>尺寸</x:v>
      </x:c>
      <x:c r="F5" s="338" t="str">
        <x:v>架构</x:v>
      </x:c>
      <x:c r="G5" s="338" t="str">
        <x:v>驱动/电机</x:v>
      </x:c>
      <x:c r="H5" s="338" t="str">
        <x:v>电池/增程</x:v>
      </x:c>
      <x:c r="I5" s="338" t="str">
        <x:v>系统/续航</x:v>
      </x:c>
      <x:c r="J5" s="338" t="str">
        <x:v>座位</x:v>
      </x:c>
      <x:c r="K5" s="338" t="str">
        <x:v>质量</x:v>
      </x:c>
      <x:c r="L5" s="338" t="str">
        <x:v>轮胎</x:v>
      </x:c>
      <x:c r="M5" s="338" t="str">
        <x:v>车顶</x:v>
      </x:c>
      <x:c r="N5" s="338" t="str">
        <x:v>时点</x:v>
      </x:c>
      <x:c r="O5" s="338" t="str">
        <x:v>硬门槛</x:v>
      </x:c>
      <x:c r="P5" s="338" t="str">
        <x:v>raw_score</x:v>
      </x:c>
      <x:c r="Q5" s="338" t="str">
        <x:v>known_coverage</x:v>
      </x:c>
      <x:c r="R5" s="338" t="str">
        <x:v>conditional</x:v>
      </x:c>
      <x:c r="S5" s="338" t="str">
        <x:v>跨域证据</x:v>
      </x:c>
      <x:c r="T5" s="338" t="str">
        <x:v>裁决</x:v>
      </x:c>
      <x:c r="U5" s="338" t="str">
        <x:v>理由</x:v>
      </x:c>
    </x:row>
    <x:row r="6" ht="56" customHeight="1">
      <x:c r="A6" s="19" t="str">
        <x:v>MAP-F3-N70</x:v>
      </x:c>
      <x:c r="B6" s="19" t="str">
        <x:v>XMA6500KREEVF3</x:v>
      </x:c>
      <x:c r="C6" s="19" t="str">
        <x:v>PC-N70-BASE-CAND</x:v>
      </x:c>
      <x:c r="D6" s="19" t="str">
        <x:v>MATCH</x:v>
      </x:c>
      <x:c r="E6" s="19" t="str">
        <x:v>MATCH</x:v>
      </x:c>
      <x:c r="F6" s="19" t="str">
        <x:v>MATCH</x:v>
      </x:c>
      <x:c r="G6" s="19" t="str">
        <x:v>MATCH</x:v>
      </x:c>
      <x:c r="H6" s="19" t="str">
        <x:v>MATCH</x:v>
      </x:c>
      <x:c r="I6" s="19" t="str">
        <x:v>UNKNOWN</x:v>
      </x:c>
      <x:c r="J6" s="19" t="str">
        <x:v>MATCH</x:v>
      </x:c>
      <x:c r="K6" s="19" t="str">
        <x:v>UNKNOWN</x:v>
      </x:c>
      <x:c r="L6" s="19" t="str">
        <x:v>UNKNOWN</x:v>
      </x:c>
      <x:c r="M6" s="19" t="str">
        <x:v>MATCH</x:v>
      </x:c>
      <x:c r="N6" s="19" t="str">
        <x:v>MATCH</x:v>
      </x:c>
      <x:c r="O6" s="19" t="str">
        <x:f>IF(COUNTIF(D6:H6,"MISMATCH")+COUNTIF(J6,"MISMATCH")+COUNTIF(M6:N6,"MISMATCH")&gt;0,"FAIL",IF(COUNTIF(D6:H6,"UNKNOWN")+COUNTIF(J6,"UNKNOWN")+COUNTIF(M6:N6,"UNKNOWN")&gt;0,"INCOMPLETE","PASS"))</x:f>
        <x:v>PASS</x:v>
      </x:c>
      <x:c r="P6" s="222" t="n">
        <x:f>SUM(IF(D6="MATCH",10,0),IF(E6="MATCH",10,0),IF(F6="MATCH",12,0),IF(G6="MATCH",15,0),IF(H6="MATCH",14,0),IF(I6="MATCH",5,0),IF(J6="MATCH",8,0),IF(K6="MATCH",6,0),IF(L6="MATCH",4,0),IF(M6="MATCH",12,0),IF(N6="MATCH",4,0))</x:f>
        <x:v>85</x:v>
      </x:c>
      <x:c r="Q6" s="222" t="n">
        <x:f>SUM(IF(D6&lt;&gt;"UNKNOWN",10,0),IF(E6&lt;&gt;"UNKNOWN",10,0),IF(F6&lt;&gt;"UNKNOWN",12,0),IF(G6&lt;&gt;"UNKNOWN",15,0),IF(H6&lt;&gt;"UNKNOWN",14,0),IF(I6&lt;&gt;"UNKNOWN",5,0),IF(J6&lt;&gt;"UNKNOWN",8,0),IF(K6&lt;&gt;"UNKNOWN",6,0),IF(L6&lt;&gt;"UNKNOWN",4,0),IF(M6&lt;&gt;"UNKNOWN",12,0),IF(N6&lt;&gt;"UNKNOWN",4,0))</x:f>
        <x:v>85</x:v>
      </x:c>
      <x:c r="R6" s="347" t="n">
        <x:f>IF(Q6=0,0,P6/Q6)</x:f>
        <x:v>1</x:v>
      </x:c>
      <x:c r="S6" s="19" t="str">
        <x:v>E1-G_ONLY</x:v>
      </x:c>
      <x:c r="T6" s="19" t="str">
        <x:f>IF(O6="FAIL","REJECTED",IF(S6&lt;&gt;"E1-G_X_E1-X","PROVISIONAL",IF(P6&lt;75,"AMBIGUOUS",IF(Q6&lt;80,"AMBIGUOUS",IF(R6&lt;0.9,"AMBIGUOUS","ACCEPTED_MEDIUM")))))</x:f>
        <x:v>PROVISIONAL</x:v>
      </x:c>
      <x:c r="U6" s="19" t="str">
        <x:v>技术指纹高度唯一；商业名仍待小米原始材料</x:v>
      </x:c>
    </x:row>
    <x:row r="7" ht="56" customHeight="1">
      <x:c r="A7" s="339" t="str">
        <x:v>ALT-F3-N70MAX</x:v>
      </x:c>
      <x:c r="B7" s="339" t="str">
        <x:v>XMA6500KREEVF3</x:v>
      </x:c>
      <x:c r="C7" s="339" t="str">
        <x:v>PC-N70-MAX-CAND</x:v>
      </x:c>
      <x:c r="D7" s="339" t="str">
        <x:v>MATCH</x:v>
      </x:c>
      <x:c r="E7" s="339" t="str">
        <x:v>MATCH</x:v>
      </x:c>
      <x:c r="F7" s="339" t="str">
        <x:v>MATCH</x:v>
      </x:c>
      <x:c r="G7" s="339" t="str">
        <x:v>MISMATCH</x:v>
      </x:c>
      <x:c r="H7" s="339" t="str">
        <x:v>MISMATCH</x:v>
      </x:c>
      <x:c r="I7" s="339" t="str">
        <x:v>UNKNOWN</x:v>
      </x:c>
      <x:c r="J7" s="339" t="str">
        <x:v>MATCH</x:v>
      </x:c>
      <x:c r="K7" s="339" t="str">
        <x:v>UNKNOWN</x:v>
      </x:c>
      <x:c r="L7" s="339" t="str">
        <x:v>UNKNOWN</x:v>
      </x:c>
      <x:c r="M7" s="339" t="str">
        <x:v>MATCH</x:v>
      </x:c>
      <x:c r="N7" s="339" t="str">
        <x:v>MATCH</x:v>
      </x:c>
      <x:c r="O7" s="339" t="str">
        <x:f>IF(COUNTIF(D7:H7,"MISMATCH")+COUNTIF(J7,"MISMATCH")+COUNTIF(M7:N7,"MISMATCH")&gt;0,"FAIL",IF(COUNTIF(D7:H7,"UNKNOWN")+COUNTIF(J7,"UNKNOWN")+COUNTIF(M7:N7,"UNKNOWN")&gt;0,"INCOMPLETE","PASS"))</x:f>
        <x:v>FAIL</x:v>
      </x:c>
      <x:c r="P7" s="343" t="n">
        <x:f>SUM(IF(D7="MATCH",10,0),IF(E7="MATCH",10,0),IF(F7="MATCH",12,0),IF(G7="MATCH",15,0),IF(H7="MATCH",14,0),IF(I7="MATCH",5,0),IF(J7="MATCH",8,0),IF(K7="MATCH",6,0),IF(L7="MATCH",4,0),IF(M7="MATCH",12,0),IF(N7="MATCH",4,0))</x:f>
        <x:v>56</x:v>
      </x:c>
      <x:c r="Q7" s="343" t="n">
        <x:f>SUM(IF(D7&lt;&gt;"UNKNOWN",10,0),IF(E7&lt;&gt;"UNKNOWN",10,0),IF(F7&lt;&gt;"UNKNOWN",12,0),IF(G7&lt;&gt;"UNKNOWN",15,0),IF(H7&lt;&gt;"UNKNOWN",14,0),IF(I7&lt;&gt;"UNKNOWN",5,0),IF(J7&lt;&gt;"UNKNOWN",8,0),IF(K7&lt;&gt;"UNKNOWN",6,0),IF(L7&lt;&gt;"UNKNOWN",4,0),IF(M7&lt;&gt;"UNKNOWN",12,0),IF(N7&lt;&gt;"UNKNOWN",4,0))</x:f>
        <x:v>85</x:v>
      </x:c>
      <x:c r="R7" s="348" t="n">
        <x:f>IF(Q7=0,0,P7/Q7)</x:f>
        <x:v>0.6588235294117647</x:v>
      </x:c>
      <x:c r="S7" s="339" t="str">
        <x:v>E1-G_ONLY</x:v>
      </x:c>
      <x:c r="T7" s="339" t="str">
        <x:f>IF(O7="FAIL","REJECTED",IF(S7&lt;&gt;"E1-G_X_E1-X","PROVISIONAL",IF(P7&lt;75,"AMBIGUOUS",IF(Q7&lt;80,"AMBIGUOUS",IF(R7&lt;0.9,"AMBIGUOUS","ACCEPTED_MEDIUM")))))</x:f>
        <x:v>REJECTED</x:v>
      </x:c>
      <x:c r="U7" s="339" t="str">
        <x:v>单电机/LFP 与四驱双电机/NCM 目标冲突</x:v>
      </x:c>
    </x:row>
    <x:row r="8" ht="56" customHeight="1">
      <x:c r="A8" s="19" t="str">
        <x:v>MAP-A1-N70MAX</x:v>
      </x:c>
      <x:c r="B8" s="19" t="str">
        <x:v>XMA6500KREEVA1</x:v>
      </x:c>
      <x:c r="C8" s="19" t="str">
        <x:v>PC-N70-MAX-CAND</x:v>
      </x:c>
      <x:c r="D8" s="19" t="str">
        <x:v>MATCH</x:v>
      </x:c>
      <x:c r="E8" s="19" t="str">
        <x:v>MATCH</x:v>
      </x:c>
      <x:c r="F8" s="19" t="str">
        <x:v>MATCH</x:v>
      </x:c>
      <x:c r="G8" s="19" t="str">
        <x:v>MATCH</x:v>
      </x:c>
      <x:c r="H8" s="19" t="str">
        <x:v>MATCH</x:v>
      </x:c>
      <x:c r="I8" s="19" t="str">
        <x:v>UNKNOWN</x:v>
      </x:c>
      <x:c r="J8" s="19" t="str">
        <x:v>MATCH</x:v>
      </x:c>
      <x:c r="K8" s="19" t="str">
        <x:v>UNKNOWN</x:v>
      </x:c>
      <x:c r="L8" s="19" t="str">
        <x:v>UNKNOWN</x:v>
      </x:c>
      <x:c r="M8" s="19" t="str">
        <x:v>MATCH</x:v>
      </x:c>
      <x:c r="N8" s="19" t="str">
        <x:v>MATCH</x:v>
      </x:c>
      <x:c r="O8" s="19" t="str">
        <x:f>IF(COUNTIF(D8:H8,"MISMATCH")+COUNTIF(J8,"MISMATCH")+COUNTIF(M8:N8,"MISMATCH")&gt;0,"FAIL",IF(COUNTIF(D8:H8,"UNKNOWN")+COUNTIF(J8,"UNKNOWN")+COUNTIF(M8:N8,"UNKNOWN")&gt;0,"INCOMPLETE","PASS"))</x:f>
        <x:v>PASS</x:v>
      </x:c>
      <x:c r="P8" s="222" t="n">
        <x:f>SUM(IF(D8="MATCH",10,0),IF(E8="MATCH",10,0),IF(F8="MATCH",12,0),IF(G8="MATCH",15,0),IF(H8="MATCH",14,0),IF(I8="MATCH",5,0),IF(J8="MATCH",8,0),IF(K8="MATCH",6,0),IF(L8="MATCH",4,0),IF(M8="MATCH",12,0),IF(N8="MATCH",4,0))</x:f>
        <x:v>85</x:v>
      </x:c>
      <x:c r="Q8" s="222" t="n">
        <x:f>SUM(IF(D8&lt;&gt;"UNKNOWN",10,0),IF(E8&lt;&gt;"UNKNOWN",10,0),IF(F8&lt;&gt;"UNKNOWN",12,0),IF(G8&lt;&gt;"UNKNOWN",15,0),IF(H8&lt;&gt;"UNKNOWN",14,0),IF(I8&lt;&gt;"UNKNOWN",5,0),IF(J8&lt;&gt;"UNKNOWN",8,0),IF(K8&lt;&gt;"UNKNOWN",6,0),IF(L8&lt;&gt;"UNKNOWN",4,0),IF(M8&lt;&gt;"UNKNOWN",12,0),IF(N8&lt;&gt;"UNKNOWN",4,0))</x:f>
        <x:v>85</x:v>
      </x:c>
      <x:c r="R8" s="347" t="n">
        <x:f>IF(Q8=0,0,P8/Q8)</x:f>
        <x:v>1</x:v>
      </x:c>
      <x:c r="S8" s="19" t="str">
        <x:v>E1-G_X_E1-X</x:v>
      </x:c>
      <x:c r="T8" s="19" t="str">
        <x:f>IF(O8="FAIL","REJECTED",IF(S8&lt;&gt;"E1-G_X_E1-X","PROVISIONAL",IF(P8&lt;75,"AMBIGUOUS",IF(Q8&lt;80,"AMBIGUOUS",IF(R8&lt;0.9,"AMBIGUOUS","ACCEPTED_MEDIUM")))))</x:f>
        <x:v>ACCEPTED_MEDIUM</x:v>
      </x:c>
      <x:c r="U8" s="19" t="str">
        <x:v>监管四驱NCM指纹与官网大五座四驱Max双域闭环</x:v>
      </x:c>
    </x:row>
    <x:row r="9" ht="56" customHeight="1">
      <x:c r="A9" s="339" t="str">
        <x:v>ALT-A1-N70</x:v>
      </x:c>
      <x:c r="B9" s="339" t="str">
        <x:v>XMA6500KREEVA1</x:v>
      </x:c>
      <x:c r="C9" s="339" t="str">
        <x:v>PC-N70-BASE-CAND</x:v>
      </x:c>
      <x:c r="D9" s="339" t="str">
        <x:v>MATCH</x:v>
      </x:c>
      <x:c r="E9" s="339" t="str">
        <x:v>MATCH</x:v>
      </x:c>
      <x:c r="F9" s="339" t="str">
        <x:v>MATCH</x:v>
      </x:c>
      <x:c r="G9" s="339" t="str">
        <x:v>MISMATCH</x:v>
      </x:c>
      <x:c r="H9" s="339" t="str">
        <x:v>MISMATCH</x:v>
      </x:c>
      <x:c r="I9" s="339" t="str">
        <x:v>UNKNOWN</x:v>
      </x:c>
      <x:c r="J9" s="339" t="str">
        <x:v>MATCH</x:v>
      </x:c>
      <x:c r="K9" s="339" t="str">
        <x:v>UNKNOWN</x:v>
      </x:c>
      <x:c r="L9" s="339" t="str">
        <x:v>UNKNOWN</x:v>
      </x:c>
      <x:c r="M9" s="339" t="str">
        <x:v>MATCH</x:v>
      </x:c>
      <x:c r="N9" s="339" t="str">
        <x:v>MATCH</x:v>
      </x:c>
      <x:c r="O9" s="339" t="str">
        <x:f>IF(COUNTIF(D9:H9,"MISMATCH")+COUNTIF(J9,"MISMATCH")+COUNTIF(M9:N9,"MISMATCH")&gt;0,"FAIL",IF(COUNTIF(D9:H9,"UNKNOWN")+COUNTIF(J9,"UNKNOWN")+COUNTIF(M9:N9,"UNKNOWN")&gt;0,"INCOMPLETE","PASS"))</x:f>
        <x:v>FAIL</x:v>
      </x:c>
      <x:c r="P9" s="343" t="n">
        <x:f>SUM(IF(D9="MATCH",10,0),IF(E9="MATCH",10,0),IF(F9="MATCH",12,0),IF(G9="MATCH",15,0),IF(H9="MATCH",14,0),IF(I9="MATCH",5,0),IF(J9="MATCH",8,0),IF(K9="MATCH",6,0),IF(L9="MATCH",4,0),IF(M9="MATCH",12,0),IF(N9="MATCH",4,0))</x:f>
        <x:v>56</x:v>
      </x:c>
      <x:c r="Q9" s="343" t="n">
        <x:f>SUM(IF(D9&lt;&gt;"UNKNOWN",10,0),IF(E9&lt;&gt;"UNKNOWN",10,0),IF(F9&lt;&gt;"UNKNOWN",12,0),IF(G9&lt;&gt;"UNKNOWN",15,0),IF(H9&lt;&gt;"UNKNOWN",14,0),IF(I9&lt;&gt;"UNKNOWN",5,0),IF(J9&lt;&gt;"UNKNOWN",8,0),IF(K9&lt;&gt;"UNKNOWN",6,0),IF(L9&lt;&gt;"UNKNOWN",4,0),IF(M9&lt;&gt;"UNKNOWN",12,0),IF(N9&lt;&gt;"UNKNOWN",4,0))</x:f>
        <x:v>85</x:v>
      </x:c>
      <x:c r="R9" s="348" t="n">
        <x:f>IF(Q9=0,0,P9/Q9)</x:f>
        <x:v>0.6588235294117647</x:v>
      </x:c>
      <x:c r="S9" s="339" t="str">
        <x:v>E1-G_ONLY</x:v>
      </x:c>
      <x:c r="T9" s="339" t="str">
        <x:f>IF(O9="FAIL","REJECTED",IF(S9&lt;&gt;"E1-G_X_E1-X","PROVISIONAL",IF(P9&lt;75,"AMBIGUOUS",IF(Q9&lt;80,"AMBIGUOUS",IF(R9&lt;0.9,"AMBIGUOUS","ACCEPTED_MEDIUM")))))</x:f>
        <x:v>REJECTED</x:v>
      </x:c>
      <x:c r="U9" s="339" t="str">
        <x:v>四驱双电机/NCM 与单电机/LFP 目标冲突</x:v>
      </x:c>
    </x:row>
    <x:row r="10" ht="56" customHeight="1">
      <x:c r="A10" s="19" t="str">
        <x:v>MAP-N90-N90MAX</x:v>
      </x:c>
      <x:c r="B10" s="19" t="str">
        <x:v>XMA6530KREEVA1</x:v>
      </x:c>
      <x:c r="C10" s="19" t="str">
        <x:v>PC-N90-MAX-CAND</x:v>
      </x:c>
      <x:c r="D10" s="19" t="str">
        <x:v>MATCH</x:v>
      </x:c>
      <x:c r="E10" s="19" t="str">
        <x:v>MATCH</x:v>
      </x:c>
      <x:c r="F10" s="19" t="str">
        <x:v>MATCH</x:v>
      </x:c>
      <x:c r="G10" s="19" t="str">
        <x:v>MATCH</x:v>
      </x:c>
      <x:c r="H10" s="19" t="str">
        <x:v>MATCH</x:v>
      </x:c>
      <x:c r="I10" s="19" t="str">
        <x:v>UNKNOWN</x:v>
      </x:c>
      <x:c r="J10" s="19" t="str">
        <x:v>MATCH</x:v>
      </x:c>
      <x:c r="K10" s="19" t="str">
        <x:v>UNKNOWN</x:v>
      </x:c>
      <x:c r="L10" s="19" t="str">
        <x:v>MATCH</x:v>
      </x:c>
      <x:c r="M10" s="19" t="str">
        <x:v>MATCH</x:v>
      </x:c>
      <x:c r="N10" s="19" t="str">
        <x:v>MATCH</x:v>
      </x:c>
      <x:c r="O10" s="19" t="str">
        <x:f>IF(COUNTIF(D10:H10,"MISMATCH")+COUNTIF(J10,"MISMATCH")+COUNTIF(M10:N10,"MISMATCH")&gt;0,"FAIL",IF(COUNTIF(D10:H10,"UNKNOWN")+COUNTIF(J10,"UNKNOWN")+COUNTIF(M10:N10,"UNKNOWN")&gt;0,"INCOMPLETE","PASS"))</x:f>
        <x:v>PASS</x:v>
      </x:c>
      <x:c r="P10" s="222" t="n">
        <x:f>SUM(IF(D10="MATCH",10,0),IF(E10="MATCH",10,0),IF(F10="MATCH",12,0),IF(G10="MATCH",15,0),IF(H10="MATCH",14,0),IF(I10="MATCH",5,0),IF(J10="MATCH",8,0),IF(K10="MATCH",6,0),IF(L10="MATCH",4,0),IF(M10="MATCH",12,0),IF(N10="MATCH",4,0))</x:f>
        <x:v>89</x:v>
      </x:c>
      <x:c r="Q10" s="222" t="n">
        <x:f>SUM(IF(D10&lt;&gt;"UNKNOWN",10,0),IF(E10&lt;&gt;"UNKNOWN",10,0),IF(F10&lt;&gt;"UNKNOWN",12,0),IF(G10&lt;&gt;"UNKNOWN",15,0),IF(H10&lt;&gt;"UNKNOWN",14,0),IF(I10&lt;&gt;"UNKNOWN",5,0),IF(J10&lt;&gt;"UNKNOWN",8,0),IF(K10&lt;&gt;"UNKNOWN",6,0),IF(L10&lt;&gt;"UNKNOWN",4,0),IF(M10&lt;&gt;"UNKNOWN",12,0),IF(N10&lt;&gt;"UNKNOWN",4,0))</x:f>
        <x:v>89</x:v>
      </x:c>
      <x:c r="R10" s="347" t="n">
        <x:f>IF(Q10=0,0,P10/Q10)</x:f>
        <x:v>1</x:v>
      </x:c>
      <x:c r="S10" s="19" t="str">
        <x:v>E1-G_X_E1-X</x:v>
      </x:c>
      <x:c r="T10" s="19" t="str">
        <x:f>IF(O10="FAIL","REJECTED",IF(S10&lt;&gt;"E1-G_X_E1-X","PROVISIONAL",IF(P10&lt;75,"AMBIGUOUS",IF(Q10&lt;80,"AMBIGUOUS",IF(R10&lt;0.9,"AMBIGUOUS","ACCEPTED_MEDIUM")))))</x:f>
        <x:v>ACCEPTED_MEDIUM</x:v>
      </x:c>
      <x:c r="U10" s="19" t="str">
        <x:v>监管普通顶7座允许值与官网大七座旗舰Max双域闭环</x:v>
      </x:c>
    </x:row>
    <x:row r="11" ht="56" customHeight="1">
      <x:c r="A11" s="339" t="str">
        <x:v>ALT-N90-ROOF</x:v>
      </x:c>
      <x:c r="B11" s="339" t="str">
        <x:v>XMA6530KREEVA1</x:v>
      </x:c>
      <x:c r="C11" s="339" t="str">
        <x:v>PC-N90-ROOF-CAND</x:v>
      </x:c>
      <x:c r="D11" s="339" t="str">
        <x:v>MATCH</x:v>
      </x:c>
      <x:c r="E11" s="339" t="str">
        <x:v>MATCH</x:v>
      </x:c>
      <x:c r="F11" s="339" t="str">
        <x:v>MATCH</x:v>
      </x:c>
      <x:c r="G11" s="339" t="str">
        <x:v>MATCH</x:v>
      </x:c>
      <x:c r="H11" s="339" t="str">
        <x:v>MATCH</x:v>
      </x:c>
      <x:c r="I11" s="339" t="str">
        <x:v>UNKNOWN</x:v>
      </x:c>
      <x:c r="J11" s="339" t="str">
        <x:v>MATCH</x:v>
      </x:c>
      <x:c r="K11" s="339" t="str">
        <x:v>UNKNOWN</x:v>
      </x:c>
      <x:c r="L11" s="339" t="str">
        <x:v>MATCH</x:v>
      </x:c>
      <x:c r="M11" s="339" t="str">
        <x:v>MISMATCH</x:v>
      </x:c>
      <x:c r="N11" s="339" t="str">
        <x:v>MATCH</x:v>
      </x:c>
      <x:c r="O11" s="339" t="str">
        <x:f>IF(COUNTIF(D11:H11,"MISMATCH")+COUNTIF(J11,"MISMATCH")+COUNTIF(M11:N11,"MISMATCH")&gt;0,"FAIL",IF(COUNTIF(D11:H11,"UNKNOWN")+COUNTIF(J11,"UNKNOWN")+COUNTIF(M11:N11,"UNKNOWN")&gt;0,"INCOMPLETE","PASS"))</x:f>
        <x:v>FAIL</x:v>
      </x:c>
      <x:c r="P11" s="343" t="n">
        <x:f>SUM(IF(D11="MATCH",10,0),IF(E11="MATCH",10,0),IF(F11="MATCH",12,0),IF(G11="MATCH",15,0),IF(H11="MATCH",14,0),IF(I11="MATCH",5,0),IF(J11="MATCH",8,0),IF(K11="MATCH",6,0),IF(L11="MATCH",4,0),IF(M11="MATCH",12,0),IF(N11="MATCH",4,0))</x:f>
        <x:v>77</x:v>
      </x:c>
      <x:c r="Q11" s="343" t="n">
        <x:f>SUM(IF(D11&lt;&gt;"UNKNOWN",10,0),IF(E11&lt;&gt;"UNKNOWN",10,0),IF(F11&lt;&gt;"UNKNOWN",12,0),IF(G11&lt;&gt;"UNKNOWN",15,0),IF(H11&lt;&gt;"UNKNOWN",14,0),IF(I11&lt;&gt;"UNKNOWN",5,0),IF(J11&lt;&gt;"UNKNOWN",8,0),IF(K11&lt;&gt;"UNKNOWN",6,0),IF(L11&lt;&gt;"UNKNOWN",4,0),IF(M11&lt;&gt;"UNKNOWN",12,0),IF(N11&lt;&gt;"UNKNOWN",4,0))</x:f>
        <x:v>89</x:v>
      </x:c>
      <x:c r="R11" s="348" t="n">
        <x:f>IF(Q11=0,0,P11/Q11)</x:f>
        <x:v>0.8651685393258427</x:v>
      </x:c>
      <x:c r="S11" s="339" t="str">
        <x:v>E1-G_ONLY</x:v>
      </x:c>
      <x:c r="T11" s="339" t="str">
        <x:f>IF(O11="FAIL","REJECTED",IF(S11&lt;&gt;"E1-G_X_E1-X","PROVISIONAL",IF(P11&lt;75,"AMBIGUOUS",IF(Q11&lt;80,"AMBIGUOUS",IF(R11&lt;0.9,"AMBIGUOUS","ACCEPTED_MEDIUM")))))</x:f>
        <x:v>REJECTED</x:v>
      </x:c>
      <x:c r="U11" s="339" t="str">
        <x:v>普通固定顶与升顶结构冲突</x:v>
      </x:c>
    </x:row>
    <x:row r="12" ht="56" customHeight="1">
      <x:c r="A12" s="19" t="str">
        <x:v>MAP-ROOF-ROOF</x:v>
      </x:c>
      <x:c r="B12" s="19" t="str">
        <x:v>XMA5030XWHKREEVA3</x:v>
      </x:c>
      <x:c r="C12" s="19" t="str">
        <x:v>PC-N90-ROOF-CAND</x:v>
      </x:c>
      <x:c r="D12" s="19" t="str">
        <x:v>MATCH</x:v>
      </x:c>
      <x:c r="E12" s="19" t="str">
        <x:v>MATCH</x:v>
      </x:c>
      <x:c r="F12" s="19" t="str">
        <x:v>MATCH</x:v>
      </x:c>
      <x:c r="G12" s="19" t="str">
        <x:v>MATCH</x:v>
      </x:c>
      <x:c r="H12" s="19" t="str">
        <x:v>MATCH</x:v>
      </x:c>
      <x:c r="I12" s="19" t="str">
        <x:v>UNKNOWN</x:v>
      </x:c>
      <x:c r="J12" s="19" t="str">
        <x:v>MATCH</x:v>
      </x:c>
      <x:c r="K12" s="19" t="str">
        <x:v>UNKNOWN</x:v>
      </x:c>
      <x:c r="L12" s="19" t="str">
        <x:v>MATCH</x:v>
      </x:c>
      <x:c r="M12" s="19" t="str">
        <x:v>MATCH</x:v>
      </x:c>
      <x:c r="N12" s="19" t="str">
        <x:v>MATCH</x:v>
      </x:c>
      <x:c r="O12" s="19" t="str">
        <x:f>IF(COUNTIF(D12:H12,"MISMATCH")+COUNTIF(J12,"MISMATCH")+COUNTIF(M12:N12,"MISMATCH")&gt;0,"FAIL",IF(COUNTIF(D12:H12,"UNKNOWN")+COUNTIF(J12,"UNKNOWN")+COUNTIF(M12:N12,"UNKNOWN")&gt;0,"INCOMPLETE","PASS"))</x:f>
        <x:v>PASS</x:v>
      </x:c>
      <x:c r="P12" s="222" t="n">
        <x:f>SUM(IF(D12="MATCH",10,0),IF(E12="MATCH",10,0),IF(F12="MATCH",12,0),IF(G12="MATCH",15,0),IF(H12="MATCH",14,0),IF(I12="MATCH",5,0),IF(J12="MATCH",8,0),IF(K12="MATCH",6,0),IF(L12="MATCH",4,0),IF(M12="MATCH",12,0),IF(N12="MATCH",4,0))</x:f>
        <x:v>89</x:v>
      </x:c>
      <x:c r="Q12" s="222" t="n">
        <x:f>SUM(IF(D12&lt;&gt;"UNKNOWN",10,0),IF(E12&lt;&gt;"UNKNOWN",10,0),IF(F12&lt;&gt;"UNKNOWN",12,0),IF(G12&lt;&gt;"UNKNOWN",15,0),IF(H12&lt;&gt;"UNKNOWN",14,0),IF(I12&lt;&gt;"UNKNOWN",5,0),IF(J12&lt;&gt;"UNKNOWN",8,0),IF(K12&lt;&gt;"UNKNOWN",6,0),IF(L12&lt;&gt;"UNKNOWN",4,0),IF(M12&lt;&gt;"UNKNOWN",12,0),IF(N12&lt;&gt;"UNKNOWN",4,0))</x:f>
        <x:v>89</x:v>
      </x:c>
      <x:c r="R12" s="347" t="n">
        <x:f>IF(Q12=0,0,P12/Q12)</x:f>
        <x:v>1</x:v>
      </x:c>
      <x:c r="S12" s="19" t="str">
        <x:v>E1-G_ONLY</x:v>
      </x:c>
      <x:c r="T12" s="19" t="str">
        <x:f>IF(O12="FAIL","REJECTED",IF(S12&lt;&gt;"E1-G_X_E1-X","PROVISIONAL",IF(P12&lt;75,"AMBIGUOUS",IF(Q12&lt;80,"AMBIGUOUS",IF(R12&lt;0.9,"AMBIGUOUS","ACCEPTED_MEDIUM")))))</x:f>
        <x:v>PROVISIONAL</x:v>
      </x:c>
      <x:c r="U12" s="19" t="str">
        <x:v>升顶及特殊机构近直接对应；商品化仍未证实</x:v>
      </x:c>
    </x:row>
    <x:row r="13" ht="56" customHeight="1">
      <x:c r="A13" s="339" t="str">
        <x:v>ALT-ROOF-N90MAX</x:v>
      </x:c>
      <x:c r="B13" s="339" t="str">
        <x:v>XMA5030XWHKREEVA3</x:v>
      </x:c>
      <x:c r="C13" s="339" t="str">
        <x:v>PC-N90-MAX-CAND</x:v>
      </x:c>
      <x:c r="D13" s="339" t="str">
        <x:v>MATCH</x:v>
      </x:c>
      <x:c r="E13" s="339" t="str">
        <x:v>MATCH</x:v>
      </x:c>
      <x:c r="F13" s="339" t="str">
        <x:v>MATCH</x:v>
      </x:c>
      <x:c r="G13" s="339" t="str">
        <x:v>MATCH</x:v>
      </x:c>
      <x:c r="H13" s="339" t="str">
        <x:v>MATCH</x:v>
      </x:c>
      <x:c r="I13" s="339" t="str">
        <x:v>UNKNOWN</x:v>
      </x:c>
      <x:c r="J13" s="339" t="str">
        <x:v>MATCH</x:v>
      </x:c>
      <x:c r="K13" s="339" t="str">
        <x:v>UNKNOWN</x:v>
      </x:c>
      <x:c r="L13" s="339" t="str">
        <x:v>MATCH</x:v>
      </x:c>
      <x:c r="M13" s="339" t="str">
        <x:v>MISMATCH</x:v>
      </x:c>
      <x:c r="N13" s="339" t="str">
        <x:v>MATCH</x:v>
      </x:c>
      <x:c r="O13" s="339" t="str">
        <x:f>IF(COUNTIF(D13:H13,"MISMATCH")+COUNTIF(J13,"MISMATCH")+COUNTIF(M13:N13,"MISMATCH")&gt;0,"FAIL",IF(COUNTIF(D13:H13,"UNKNOWN")+COUNTIF(J13,"UNKNOWN")+COUNTIF(M13:N13,"UNKNOWN")&gt;0,"INCOMPLETE","PASS"))</x:f>
        <x:v>FAIL</x:v>
      </x:c>
      <x:c r="P13" s="343" t="n">
        <x:f>SUM(IF(D13="MATCH",10,0),IF(E13="MATCH",10,0),IF(F13="MATCH",12,0),IF(G13="MATCH",15,0),IF(H13="MATCH",14,0),IF(I13="MATCH",5,0),IF(J13="MATCH",8,0),IF(K13="MATCH",6,0),IF(L13="MATCH",4,0),IF(M13="MATCH",12,0),IF(N13="MATCH",4,0))</x:f>
        <x:v>77</x:v>
      </x:c>
      <x:c r="Q13" s="343" t="n">
        <x:f>SUM(IF(D13&lt;&gt;"UNKNOWN",10,0),IF(E13&lt;&gt;"UNKNOWN",10,0),IF(F13&lt;&gt;"UNKNOWN",12,0),IF(G13&lt;&gt;"UNKNOWN",15,0),IF(H13&lt;&gt;"UNKNOWN",14,0),IF(I13&lt;&gt;"UNKNOWN",5,0),IF(J13&lt;&gt;"UNKNOWN",8,0),IF(K13&lt;&gt;"UNKNOWN",6,0),IF(L13&lt;&gt;"UNKNOWN",4,0),IF(M13&lt;&gt;"UNKNOWN",12,0),IF(N13&lt;&gt;"UNKNOWN",4,0))</x:f>
        <x:v>89</x:v>
      </x:c>
      <x:c r="R13" s="348" t="n">
        <x:f>IF(Q13=0,0,P13/Q13)</x:f>
        <x:v>0.8651685393258427</x:v>
      </x:c>
      <x:c r="S13" s="339" t="str">
        <x:v>E1-G_ONLY</x:v>
      </x:c>
      <x:c r="T13" s="339" t="str">
        <x:f>IF(O13="FAIL","REJECTED",IF(S13&lt;&gt;"E1-G_X_E1-X","PROVISIONAL",IF(P13&lt;75,"AMBIGUOUS",IF(Q13&lt;80,"AMBIGUOUS",IF(R13&lt;0.9,"AMBIGUOUS","ACCEPTED_MEDIUM")))))</x:f>
        <x:v>REJECTED</x:v>
      </x:c>
      <x:c r="U13" s="339" t="str">
        <x:v>升顶文化生活服务车不能并入普通固定顶</x:v>
      </x:c>
    </x:row>
  </x:sheetData>
  <x:mergeCells>
    <x:mergeCell ref="A1:U1"/>
    <x:mergeCell ref="A2:U2"/>
    <x:mergeCell ref="A3:U3"/>
  </x:mergeCells>
  <x:conditionalFormatting sqref="D6:T13">
    <x:cfRule type="containsText" dxfId="544" priority="1" operator="containsText" text="PASS"/>
    <x:cfRule type="containsText" dxfId="545" priority="2" operator="containsText" text="READY"/>
    <x:cfRule type="containsText" dxfId="546" priority="3" operator="containsText" text="TRUE"/>
    <x:cfRule type="containsText" dxfId="547" priority="4" operator="containsText" text="RESOLVED"/>
    <x:cfRule type="containsText" dxfId="548" priority="5" operator="containsText" text="E1-G"/>
    <x:cfRule type="containsText" dxfId="549" priority="6" operator="containsText" text="PROVISIONAL"/>
    <x:cfRule type="containsText" dxfId="550" priority="7" operator="containsText" text="PENDING"/>
    <x:cfRule type="containsText" dxfId="551" priority="8" operator="containsText" text="PUBLIC_NOTICE"/>
    <x:cfRule type="containsText" dxfId="552" priority="9" operator="containsText" text="BOUNDARY"/>
    <x:cfRule type="containsText" dxfId="553" priority="10" operator="containsText" text="TOPOLOGY"/>
    <x:cfRule type="containsText" dxfId="554" priority="11" operator="containsText" text="REFERENCE"/>
    <x:cfRule type="containsText" dxfId="555" priority="12" operator="containsText" text="BLOCKED"/>
    <x:cfRule type="containsText" dxfId="556" priority="13" operator="containsText" text="FAIL"/>
    <x:cfRule type="containsText" dxfId="557" priority="14" operator="containsText" text="FALSE"/>
    <x:cfRule type="containsText" dxfId="558" priority="15" operator="containsText" text="REJECTED"/>
    <x:cfRule type="containsText" dxfId="559" priority="16" operator="containsText" text="MISMATCH"/>
    <x:cfRule type="containsText" dxfId="560" priority="17" operator="containsText" text="OPEN"/>
  </x:conditionalFormatting>
  <x:pageMargins left="0.7" right="0.7" top="0.75" bottom="0.75" header="0.3" footer="0.3"/>
</x:worksheet>
</file>

<file path=xl/worksheets/sheet4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3" hidden="0" customWidth="1"/>
    <x:col min="2" max="2" width="24" hidden="0" customWidth="1"/>
    <x:col min="3" max="3" width="27" hidden="0" customWidth="1"/>
    <x:col min="4" max="4" width="25" hidden="0" customWidth="1"/>
    <x:col min="5" max="5" width="22" hidden="0" customWidth="1"/>
    <x:col min="6" max="6" width="18" hidden="0" customWidth="1"/>
    <x:col min="7" max="7" width="24" hidden="0" customWidth="1"/>
    <x:col min="8" max="8" width="34" hidden="0" customWidth="1"/>
    <x:col min="9" max="9" width="18" hidden="0" customWidth="1"/>
    <x:col min="10" max="10" width="18" hidden="0" customWidth="1"/>
    <x:col min="11" max="11" width="18" hidden="0" customWidth="1"/>
    <x:col min="12" max="12" width="42" hidden="0" customWidth="1"/>
    <x:col min="13" max="13" width="38" hidden="0" customWidth="1"/>
  </x:cols>
  <x:sheetData>
    <x:row r="1" ht="30" customHeight="1">
      <x:c r="A1" s="326" t="str">
        <x:v>44｜澎程版本树签核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</x:row>
    <x:row r="2" ht="22" customHeight="1">
      <x:c r="A2" s="329" t="str">
        <x:v>4 个申报型号形成 4 条高唯一性候选路径；仅用于版本树，不用于价格计算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</x:row>
    <x:row r="3" ht="48" customHeight="1">
      <x:c r="A3" s="333" t="str">
        <x:v>两个关键分叉：N70 是单电机52kWh LFP 与四驱76kWh NCM；N90 是普通多用途乘用车与升顶文化生活服务车。F3轴位与真实商业后缀待核；N90的5/7座仍只是准入变体。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</x:row>
    <x:row r="5" ht="58" customHeight="1">
      <x:c r="A5" s="338" t="str">
        <x:v>tree_node_id</x:v>
      </x:c>
      <x:c r="B5" s="338" t="str">
        <x:v>工信部完整型号</x:v>
      </x:c>
      <x:c r="C5" s="338" t="str">
        <x:v>准入变体</x:v>
      </x:c>
      <x:c r="D5" s="338" t="str">
        <x:v>商业节点</x:v>
      </x:c>
      <x:c r="E5" s="338" t="str">
        <x:v>映射行</x:v>
      </x:c>
      <x:c r="F5" s="338" t="str">
        <x:v>技术裁决</x:v>
      </x:c>
      <x:c r="G5" s="338" t="str">
        <x:v>监管阶段</x:v>
      </x:c>
      <x:c r="H5" s="338" t="str">
        <x:v>商品阶段</x:v>
      </x:c>
      <x:c r="I5" s="338" t="str">
        <x:v>版本树可用</x:v>
      </x:c>
      <x:c r="J5" s="338" t="str">
        <x:v>价格桥可用</x:v>
      </x:c>
      <x:c r="K5" s="338" t="str">
        <x:v>置信等级</x:v>
      </x:c>
      <x:c r="L5" s="338" t="str">
        <x:v>唯一性说明</x:v>
      </x:c>
      <x:c r="M5" s="338" t="str">
        <x:v>下一证据</x:v>
      </x:c>
    </x:row>
    <x:row r="6" ht="70" customHeight="1">
      <x:c r="A6" s="19" t="str">
        <x:v>TREE-N70-BASE</x:v>
      </x:c>
      <x:c r="B6" s="19" t="str">
        <x:v>XMA6500KREEVF3</x:v>
      </x:c>
      <x:c r="C6" s="19" t="str">
        <x:v>V-F3-M1 / V-F3-M2</x:v>
      </x:c>
      <x:c r="D6" s="19" t="str">
        <x:v>PC-N70-BASE-CAND</x:v>
      </x:c>
      <x:c r="E6" s="19" t="str">
        <x:v>MAP-F3-N70</x:v>
      </x:c>
      <x:c r="F6" s="19" t="str">
        <x:f>'43_映射候选评分'!T6</x:f>
        <x:v>PROVISIONAL</x:v>
      </x:c>
      <x:c r="G6" s="19" t="str">
        <x:v>PUBLIC_NOTICE_409</x:v>
      </x:c>
      <x:c r="H6" s="19" t="str">
        <x:v>REGULATORY_ONLY_CANDIDATE</x:v>
      </x:c>
      <x:c r="I6" s="19" t="str">
        <x:v>TRUE</x:v>
      </x:c>
      <x:c r="J6" s="19" t="str">
        <x:v>FALSE</x:v>
      </x:c>
      <x:c r="K6" s="19" t="str">
        <x:v>PROVISIONAL</x:v>
      </x:c>
      <x:c r="L6" s="19" t="str">
        <x:v>单电机+LFP+1785mm 与 A1 分离；轴位不固化</x:v>
      </x:c>
      <x:c r="M6" s="19" t="str">
        <x:v>真实商业后缀/轴位/App SKU</x:v>
      </x:c>
    </x:row>
    <x:row r="7" ht="70" customHeight="1">
      <x:c r="A7" s="339" t="str">
        <x:v>TREE-N70-MAX</x:v>
      </x:c>
      <x:c r="B7" s="339" t="str">
        <x:v>XMA6500KREEVA1</x:v>
      </x:c>
      <x:c r="C7" s="339" t="str">
        <x:v>V-A1-M1 / V-A1-M2</x:v>
      </x:c>
      <x:c r="D7" s="339" t="str">
        <x:v>PC-N70-MAX-CAND</x:v>
      </x:c>
      <x:c r="E7" s="339" t="str">
        <x:v>MAP-A1-N70MAX</x:v>
      </x:c>
      <x:c r="F7" s="339" t="str">
        <x:f>'43_映射候选评分'!T8</x:f>
        <x:v>ACCEPTED_MEDIUM</x:v>
      </x:c>
      <x:c r="G7" s="339" t="str">
        <x:v>PUBLIC_NOTICE_409</x:v>
      </x:c>
      <x:c r="H7" s="339" t="str">
        <x:v>OFFICIAL_PRESALE_SMALL_ORDER</x:v>
      </x:c>
      <x:c r="I7" s="339" t="str">
        <x:v>TRUE</x:v>
      </x:c>
      <x:c r="J7" s="339" t="str">
        <x:v>FALSE</x:v>
      </x:c>
      <x:c r="K7" s="339" t="str">
        <x:v>ACCEPTED_MEDIUM</x:v>
      </x:c>
      <x:c r="L7" s="339" t="str">
        <x:v>四驱+NCM+1765mm 与官网大五座四驱Max吻合</x:v>
      </x:c>
      <x:c r="M7" s="339" t="str">
        <x:v>App goods/version/config IDs</x:v>
      </x:c>
    </x:row>
    <x:row r="8" ht="70" customHeight="1">
      <x:c r="A8" s="19" t="str">
        <x:v>TREE-N90-MAX</x:v>
      </x:c>
      <x:c r="B8" s="19" t="str">
        <x:v>XMA6530KREEVA1</x:v>
      </x:c>
      <x:c r="C8" s="19" t="str">
        <x:v>V-N90-5 / V-N90-7</x:v>
      </x:c>
      <x:c r="D8" s="19" t="str">
        <x:v>PC-N90-MAX-CAND</x:v>
      </x:c>
      <x:c r="E8" s="19" t="str">
        <x:v>MAP-N90-N90MAX</x:v>
      </x:c>
      <x:c r="F8" s="19" t="str">
        <x:f>'43_映射候选评分'!T10</x:f>
        <x:v>ACCEPTED_MEDIUM</x:v>
      </x:c>
      <x:c r="G8" s="19" t="str">
        <x:v>PUBLIC_NOTICE_409</x:v>
      </x:c>
      <x:c r="H8" s="19" t="str">
        <x:v>OFFICIAL_PRESALE_SMALL_ORDER</x:v>
      </x:c>
      <x:c r="I8" s="19" t="str">
        <x:v>TRUE</x:v>
      </x:c>
      <x:c r="J8" s="19" t="str">
        <x:v>FALSE</x:v>
      </x:c>
      <x:c r="K8" s="19" t="str">
        <x:v>ACCEPTED_MEDIUM</x:v>
      </x:c>
      <x:c r="L8" s="19" t="str">
        <x:v>普通固定顶；官网大七座与7座准入吻合</x:v>
      </x:c>
      <x:c r="M8" s="19" t="str">
        <x:v>App基础座位与SKU绑定</x:v>
      </x:c>
    </x:row>
    <x:row r="9" ht="70" customHeight="1">
      <x:c r="A9" s="339" t="str">
        <x:v>TREE-N90-ROOF</x:v>
      </x:c>
      <x:c r="B9" s="339" t="str">
        <x:v>XMA5030XWHKREEVA3</x:v>
      </x:c>
      <x:c r="C9" s="339" t="str">
        <x:v>V-ROOF-5</x:v>
      </x:c>
      <x:c r="D9" s="339" t="str">
        <x:v>PC-N90-ROOF-CAND</x:v>
      </x:c>
      <x:c r="E9" s="339" t="str">
        <x:v>MAP-ROOF-ROOF</x:v>
      </x:c>
      <x:c r="F9" s="339" t="str">
        <x:f>'43_映射候选评分'!T12</x:f>
        <x:v>PROVISIONAL</x:v>
      </x:c>
      <x:c r="G9" s="339" t="str">
        <x:v>PUBLIC_NOTICE_409</x:v>
      </x:c>
      <x:c r="H9" s="339" t="str">
        <x:v>HOMOLOGATED_NOT_COMMERCIALIZED</x:v>
      </x:c>
      <x:c r="I9" s="339" t="str">
        <x:v>TRUE</x:v>
      </x:c>
      <x:c r="J9" s="339" t="str">
        <x:v>FALSE</x:v>
      </x:c>
      <x:c r="K9" s="339" t="str">
        <x:v>PROVISIONAL</x:v>
      </x:c>
      <x:c r="L9" s="339" t="str">
        <x:v>产品类别+升顶结构形成独立监管节点</x:v>
      </x:c>
      <x:c r="M9" s="339" t="str">
        <x:v>独立商品卡/价格/下订入口</x:v>
      </x:c>
    </x:row>
    <x:row r="11" ht="24" customHeight="1">
      <x:c r="A11" s="342" t="str">
        <x:v>结构图（价格桥必须从 App 锁定层再启用）</x:v>
      </x:c>
      <x:c r="B11" s="342"/>
      <x:c r="C11" s="342"/>
      <x:c r="D11" s="342"/>
      <x:c r="E11" s="342"/>
      <x:c r="F11" s="342"/>
      <x:c r="G11" s="342"/>
      <x:c r="H11" s="342"/>
      <x:c r="I11" s="342"/>
      <x:c r="J11" s="342"/>
      <x:c r="K11" s="342"/>
      <x:c r="L11" s="342"/>
      <x:c r="M11" s="342"/>
    </x:row>
    <x:row r="12" ht="34" customHeight="1">
      <x:c r="A12" s="353" t="str">
        <x:v>澎程
├─ N70_SHORT
│  ├─ XMA6500KREEVF3 → N70低阶候选（单电机，轴位/后缀待核 / 52kWh LFP / 5座）
│  └─ XMA6500KREEVA1 → N70 Max候选（四驱 / 76kWh NCM / 5座）
└─ N90
   ├─ XMA6530KREEVA1 → N90 Max候选（普通顶 / 5或7座准入）
   └─ XMA5030XWHKREEVA3 → 升顶候选（文化生活服务车 / 5座 / 特殊机构）</x:v>
      </x:c>
      <x:c r="B12" s="353"/>
      <x:c r="C12" s="353"/>
      <x:c r="D12" s="353"/>
      <x:c r="E12" s="353"/>
      <x:c r="F12" s="353"/>
      <x:c r="G12" s="353"/>
      <x:c r="H12" s="353"/>
      <x:c r="I12" s="353"/>
      <x:c r="J12" s="353"/>
      <x:c r="K12" s="353"/>
      <x:c r="L12" s="353"/>
      <x:c r="M12" s="353"/>
    </x:row>
    <x:row r="13" ht="34" customHeight="1">
      <x:c r="A13" s="353"/>
      <x:c r="B13" s="353"/>
      <x:c r="C13" s="353"/>
      <x:c r="D13" s="353"/>
      <x:c r="E13" s="353"/>
      <x:c r="F13" s="353"/>
      <x:c r="G13" s="353"/>
      <x:c r="H13" s="353"/>
      <x:c r="I13" s="353"/>
      <x:c r="J13" s="353"/>
      <x:c r="K13" s="353"/>
      <x:c r="L13" s="353"/>
      <x:c r="M13" s="353"/>
    </x:row>
    <x:row r="14" ht="34" customHeight="1">
      <x:c r="A14" s="353"/>
      <x:c r="B14" s="353"/>
      <x:c r="C14" s="353"/>
      <x:c r="D14" s="353"/>
      <x:c r="E14" s="353"/>
      <x:c r="F14" s="353"/>
      <x:c r="G14" s="353"/>
      <x:c r="H14" s="353"/>
      <x:c r="I14" s="353"/>
      <x:c r="J14" s="353"/>
      <x:c r="K14" s="353"/>
      <x:c r="L14" s="353"/>
      <x:c r="M14" s="353"/>
    </x:row>
    <x:row r="15" ht="34" customHeight="1">
      <x:c r="A15" s="353"/>
      <x:c r="B15" s="353"/>
      <x:c r="C15" s="353"/>
      <x:c r="D15" s="353"/>
      <x:c r="E15" s="353"/>
      <x:c r="F15" s="353"/>
      <x:c r="G15" s="353"/>
      <x:c r="H15" s="353"/>
      <x:c r="I15" s="353"/>
      <x:c r="J15" s="353"/>
      <x:c r="K15" s="353"/>
      <x:c r="L15" s="353"/>
      <x:c r="M15" s="353"/>
    </x:row>
    <x:row r="16" ht="34" customHeight="1">
      <x:c r="A16" s="353"/>
      <x:c r="B16" s="353"/>
      <x:c r="C16" s="353"/>
      <x:c r="D16" s="353"/>
      <x:c r="E16" s="353"/>
      <x:c r="F16" s="353"/>
      <x:c r="G16" s="353"/>
      <x:c r="H16" s="353"/>
      <x:c r="I16" s="353"/>
      <x:c r="J16" s="353"/>
      <x:c r="K16" s="353"/>
      <x:c r="L16" s="353"/>
      <x:c r="M16" s="353"/>
    </x:row>
  </x:sheetData>
  <x:mergeCells>
    <x:mergeCell ref="A1:M1"/>
    <x:mergeCell ref="A2:M2"/>
    <x:mergeCell ref="A3:M3"/>
    <x:mergeCell ref="A11:M11"/>
    <x:mergeCell ref="A12:M16"/>
  </x:mergeCells>
  <x:conditionalFormatting sqref="F6:K9">
    <x:cfRule type="containsText" dxfId="561" priority="1" operator="containsText" text="PASS"/>
    <x:cfRule type="containsText" dxfId="562" priority="2" operator="containsText" text="READY"/>
    <x:cfRule type="containsText" dxfId="563" priority="3" operator="containsText" text="TRUE"/>
    <x:cfRule type="containsText" dxfId="564" priority="4" operator="containsText" text="RESOLVED"/>
    <x:cfRule type="containsText" dxfId="565" priority="5" operator="containsText" text="E1-G"/>
    <x:cfRule type="containsText" dxfId="566" priority="6" operator="containsText" text="PROVISIONAL"/>
    <x:cfRule type="containsText" dxfId="567" priority="7" operator="containsText" text="PENDING"/>
    <x:cfRule type="containsText" dxfId="568" priority="8" operator="containsText" text="PUBLIC_NOTICE"/>
    <x:cfRule type="containsText" dxfId="569" priority="9" operator="containsText" text="BOUNDARY"/>
    <x:cfRule type="containsText" dxfId="570" priority="10" operator="containsText" text="TOPOLOGY"/>
    <x:cfRule type="containsText" dxfId="571" priority="11" operator="containsText" text="REFERENCE"/>
    <x:cfRule type="containsText" dxfId="572" priority="12" operator="containsText" text="BLOCKED"/>
    <x:cfRule type="containsText" dxfId="573" priority="13" operator="containsText" text="FAIL"/>
    <x:cfRule type="containsText" dxfId="574" priority="14" operator="containsText" text="FALSE"/>
    <x:cfRule type="containsText" dxfId="575" priority="15" operator="containsText" text="REJECTED"/>
    <x:cfRule type="containsText" dxfId="576" priority="16" operator="containsText" text="MISMATCH"/>
    <x:cfRule type="containsText" dxfId="577" priority="17" operator="containsText" text="OPEN"/>
  </x:conditionalFormatting>
  <x:pageMargins left="0.7" right="0.7" top="0.75" bottom="0.75" header="0.3" footer="0.3"/>
</x:worksheet>
</file>

<file path=xl/worksheets/sheet4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" hidden="0" customWidth="1"/>
    <x:col min="2" max="2" width="25" hidden="0" customWidth="1"/>
    <x:col min="3" max="3" width="25" hidden="0" customWidth="1"/>
    <x:col min="4" max="4" width="18" hidden="0" customWidth="1"/>
    <x:col min="5" max="5" width="18" hidden="0" customWidth="1"/>
    <x:col min="6" max="6" width="38" hidden="0" customWidth="1"/>
    <x:col min="7" max="7" width="34" hidden="0" customWidth="1"/>
    <x:col min="8" max="8" width="22" hidden="0" customWidth="1"/>
    <x:col min="9" max="9" width="20" hidden="0" customWidth="1"/>
    <x:col min="10" max="10" width="45" hidden="0" customWidth="1"/>
    <x:col min="11" max="11" width="42" hidden="0" customWidth="1"/>
    <x:col min="12" max="12" width="46" hidden="0" customWidth="1"/>
    <x:col min="13" max="13" width="18" hidden="0" customWidth="1"/>
    <x:col min="14" max="14" width="52" hidden="0" customWidth="1"/>
  </x:cols>
  <x:sheetData>
    <x:row r="1" ht="30" customHeight="1">
      <x:c r="A1" s="326" t="str">
        <x:v>45｜三座价格桥的拓扑与启用条件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  <x:c r="N1" s="326"/>
    </x:row>
    <x:row r="2" ht="22" customHeight="1">
      <x:c r="A2" s="329" t="str">
        <x:v>拓扑可以先建；价格计算必须等 App SKU 和同口径价格冻结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  <x:c r="N2" s="329"/>
    </x:row>
    <x:row r="3" ht="48" customHeight="1">
      <x:c r="A3" s="333" t="str">
        <x:v>B1 的 Max 名称不触发 Pro 门槛；B2 只允许拆分车身/座位与普通硬件；B3 以普通 N90 的同座位基线比较升顶，特殊机构/认证/低产量不得乘 κ。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  <x:c r="N3" s="333"/>
    </x:row>
    <x:row r="5" ht="62" customHeight="1">
      <x:c r="A5" s="338" t="str">
        <x:v>edge_id</x:v>
      </x:c>
      <x:c r="B5" s="338" t="str">
        <x:v>源节点</x:v>
      </x:c>
      <x:c r="C5" s="338" t="str">
        <x:v>目标节点</x:v>
      </x:c>
      <x:c r="D5" s="338" t="str">
        <x:v>源商品锁定</x:v>
      </x:c>
      <x:c r="E5" s="338" t="str">
        <x:v>目标商品锁定</x:v>
      </x:c>
      <x:c r="F5" s="338" t="str">
        <x:v>技术同源性</x:v>
      </x:c>
      <x:c r="G5" s="338" t="str">
        <x:v>建议模型</x:v>
      </x:c>
      <x:c r="H5" s="338" t="str">
        <x:v>topology_enabled</x:v>
      </x:c>
      <x:c r="I5" s="338" t="str">
        <x:v>pricing_enabled</x:v>
      </x:c>
      <x:c r="J5" s="338" t="str">
        <x:v>阻断原因</x:v>
      </x:c>
      <x:c r="K5" s="338" t="str">
        <x:v>门槛/特殊项</x:v>
      </x:c>
      <x:c r="L5" s="338" t="str">
        <x:v>防双算</x:v>
      </x:c>
      <x:c r="M5" s="338" t="str">
        <x:v>下阶段入口</x:v>
      </x:c>
      <x:c r="N5" s="338" t="str">
        <x:v>解释</x:v>
      </x:c>
    </x:row>
    <x:row r="6" ht="84" customHeight="1">
      <x:c r="A6" s="19" t="str">
        <x:v>B1</x:v>
      </x:c>
      <x:c r="B6" s="19" t="str">
        <x:v>PC-N70-BASE-CAND</x:v>
      </x:c>
      <x:c r="C6" s="19" t="str">
        <x:v>PC-N70-MAX-CAND</x:v>
      </x:c>
      <x:c r="D6" s="19" t="str">
        <x:v>FALSE</x:v>
      </x:c>
      <x:c r="E6" s="19" t="str">
        <x:v>FALSE</x:v>
      </x:c>
      <x:c r="F6" s="19" t="str">
        <x:v>同车身；驱动与电池平台同时变化</x:v>
      </x:c>
      <x:c r="G6" s="19" t="str">
        <x:v>κ × ORDINARY_HARDWARE</x:v>
      </x:c>
      <x:c r="H6" s="19" t="str">
        <x:v>PROVISIONAL</x:v>
      </x:c>
      <x:c r="I6" s="19" t="str">
        <x:v>FALSE</x:v>
      </x:c>
      <x:c r="J6" s="19" t="str">
        <x:v>N70未商品化；两端App SKU未锁</x:v>
      </x:c>
      <x:c r="K6" s="19" t="str">
        <x:v>G_ladder=FALSE；Max名称不触发</x:v>
      </x:c>
      <x:c r="L6" s="19" t="str">
        <x:v>不得加通用Max；不得叠加Pro原始残余</x:v>
      </x:c>
      <x:c r="M6" s="19" t="str">
        <x:v>Phase 3.2A</x:v>
      </x:c>
      <x:c r="N6" s="19" t="str">
        <x:v>先拆76-52kWh、NCM-LFP、前电机及底盘差异</x:v>
      </x:c>
    </x:row>
    <x:row r="7" ht="84" customHeight="1">
      <x:c r="A7" s="339" t="str">
        <x:v>B2</x:v>
      </x:c>
      <x:c r="B7" s="339" t="str">
        <x:v>PC-N70-MAX-CAND</x:v>
      </x:c>
      <x:c r="C7" s="339" t="str">
        <x:v>PC-N90-MAX-CAND</x:v>
      </x:c>
      <x:c r="D7" s="339" t="str">
        <x:v>FALSE</x:v>
      </x:c>
      <x:c r="E7" s="339" t="str">
        <x:v>FALSE</x:v>
      </x:c>
      <x:c r="F7" s="339" t="str">
        <x:v>76kWh NCM、AWD 210+100 同源候选</x:v>
      </x:c>
      <x:c r="G7" s="339" t="str">
        <x:v>BODY_BRIDGE_CLEAN_CANDIDATE</x:v>
      </x:c>
      <x:c r="H7" s="339" t="str">
        <x:v>PROVISIONAL</x:v>
      </x:c>
      <x:c r="I7" s="339" t="str">
        <x:v>FALSE</x:v>
      </x:c>
      <x:c r="J7" s="339" t="str">
        <x:v>两端App SKU/基础座位/正式价未锁</x:v>
      </x:c>
      <x:c r="K7" s="339" t="str">
        <x:v>仅车身+座位+旗舰普通硬件</x:v>
      </x:c>
      <x:c r="L7" s="339" t="str">
        <x:v>Max交互诊断权重=0；无固定跨车系常数</x:v>
      </x:c>
      <x:c r="M7" s="339" t="str">
        <x:v>Phase 3.2B</x:v>
      </x:c>
      <x:c r="N7" s="339" t="str">
        <x:v>当前最干净的跨车身候选，但仍不能直接套固定价差</x:v>
      </x:c>
    </x:row>
    <x:row r="8" ht="84" customHeight="1">
      <x:c r="A8" s="19" t="str">
        <x:v>B3</x:v>
      </x:c>
      <x:c r="B8" s="19" t="str">
        <x:v>PC-N90-MAX-CAND</x:v>
      </x:c>
      <x:c r="C8" s="19" t="str">
        <x:v>PC-N90-ROOF-CAND</x:v>
      </x:c>
      <x:c r="D8" s="19" t="str">
        <x:v>FALSE</x:v>
      </x:c>
      <x:c r="E8" s="19" t="str">
        <x:v>FALSE</x:v>
      </x:c>
      <x:c r="F8" s="19" t="str">
        <x:v>同轴距/动力/电池；普通顶→升顶</x:v>
      </x:c>
      <x:c r="G8" s="19" t="str">
        <x:v>κ×普通硬件 + SPECIAL_BOTTOM_UP</x:v>
      </x:c>
      <x:c r="H8" s="19" t="str">
        <x:v>PROVISIONAL</x:v>
      </x:c>
      <x:c r="I8" s="19" t="str">
        <x:v>FALSE</x:v>
      </x:c>
      <x:c r="J8" s="19" t="str">
        <x:v>升顶未商品化；普通N90同座位基线未锁</x:v>
      </x:c>
      <x:c r="K8" s="19" t="str">
        <x:v>SPECIAL_ROOF + 认证 + 低产量</x:v>
      </x:c>
      <x:c r="L8" s="19" t="str">
        <x:v>特殊机构/认证/低产量不乘κ且各计一次</x:v>
      </x:c>
      <x:c r="M8" s="19" t="str">
        <x:v>Phase 3.2C</x:v>
      </x:c>
      <x:c r="N8" s="19" t="str">
        <x:v>必须以5座普通准入变体校核；若商品端仅7座，先分离座位差</x:v>
      </x:c>
    </x:row>
    <x:row r="10" ht="24" customHeight="1">
      <x:c r="A10" s="342" t="str">
        <x:v>本阶段决策</x:v>
      </x:c>
      <x:c r="B10" s="342"/>
      <x:c r="C10" s="342"/>
      <x:c r="D10" s="342"/>
      <x:c r="E10" s="342"/>
      <x:c r="F10" s="342"/>
      <x:c r="G10" s="342"/>
      <x:c r="H10" s="342"/>
      <x:c r="I10" s="342"/>
      <x:c r="J10" s="342"/>
      <x:c r="K10" s="342"/>
      <x:c r="L10" s="342"/>
      <x:c r="M10" s="342"/>
      <x:c r="N10" s="342"/>
    </x:row>
    <x:row r="11" ht="44" customHeight="1">
      <x:c r="A11" s="19" t="str">
        <x:v>VERSION_TREE_STATUS</x:v>
      </x:c>
      <x:c r="B11" s="19" t="str">
        <x:v>READY_WITH_PUBLIC_NOTICE_BOUNDARY</x:v>
      </x:c>
      <x:c r="C11" s="19" t="str">
        <x:v>4条候选路径均无技术硬冲突</x:v>
      </x:c>
      <x:c r="D11" s="19" t="str"/>
      <x:c r="E11" s="19" t="str"/>
      <x:c r="F11" s="19" t="str"/>
      <x:c r="G11" s="19" t="str"/>
      <x:c r="H11" s="19" t="str"/>
      <x:c r="I11" s="19" t="str"/>
      <x:c r="J11" s="19" t="str"/>
      <x:c r="K11" s="19" t="str"/>
      <x:c r="L11" s="19" t="str"/>
      <x:c r="M11" s="19" t="str"/>
      <x:c r="N11" s="19" t="str"/>
    </x:row>
    <x:row r="12" ht="44" customHeight="1">
      <x:c r="A12" s="339" t="str">
        <x:v>COMMERCIAL_LOCK_STATUS</x:v>
      </x:c>
      <x:c r="B12" s="339" t="str">
        <x:v>PROVISIONAL</x:v>
      </x:c>
      <x:c r="C12" s="339" t="str">
        <x:v>缺 E1-X 版本表与 App 原始 ID</x:v>
      </x:c>
      <x:c r="D12" s="339" t="str"/>
      <x:c r="E12" s="339" t="str"/>
      <x:c r="F12" s="339" t="str"/>
      <x:c r="G12" s="339" t="str"/>
      <x:c r="H12" s="339" t="str"/>
      <x:c r="I12" s="339" t="str"/>
      <x:c r="J12" s="339" t="str"/>
      <x:c r="K12" s="339" t="str"/>
      <x:c r="L12" s="339" t="str"/>
      <x:c r="M12" s="339" t="str"/>
      <x:c r="N12" s="339" t="str"/>
    </x:row>
    <x:row r="13" ht="44" customHeight="1">
      <x:c r="A13" s="19" t="str">
        <x:v>PRICE_BRIDGE_STATUS</x:v>
      </x:c>
      <x:c r="B13" s="19" t="str">
        <x:v>BLOCKED_APP_AND_COMMERCIAL_LOCK</x:v>
      </x:c>
      <x:c r="C13" s="19" t="str">
        <x:v>0/3 边允许进入价格计算</x:v>
      </x:c>
      <x:c r="D13" s="19" t="str"/>
      <x:c r="E13" s="19" t="str"/>
      <x:c r="F13" s="19" t="str"/>
      <x:c r="G13" s="19" t="str"/>
      <x:c r="H13" s="19" t="str"/>
      <x:c r="I13" s="19" t="str"/>
      <x:c r="J13" s="19" t="str"/>
      <x:c r="K13" s="19" t="str"/>
      <x:c r="L13" s="19" t="str"/>
      <x:c r="M13" s="19" t="str"/>
      <x:c r="N13" s="19" t="str"/>
    </x:row>
  </x:sheetData>
  <x:mergeCells>
    <x:mergeCell ref="A1:N1"/>
    <x:mergeCell ref="A2:N2"/>
    <x:mergeCell ref="A3:N3"/>
    <x:mergeCell ref="A10:N10"/>
  </x:mergeCells>
  <x:conditionalFormatting sqref="D6:I8">
    <x:cfRule type="containsText" dxfId="578" priority="1" operator="containsText" text="PASS"/>
    <x:cfRule type="containsText" dxfId="579" priority="2" operator="containsText" text="READY"/>
    <x:cfRule type="containsText" dxfId="580" priority="3" operator="containsText" text="TRUE"/>
    <x:cfRule type="containsText" dxfId="581" priority="4" operator="containsText" text="RESOLVED"/>
    <x:cfRule type="containsText" dxfId="582" priority="5" operator="containsText" text="E1-G"/>
    <x:cfRule type="containsText" dxfId="583" priority="6" operator="containsText" text="PROVISIONAL"/>
    <x:cfRule type="containsText" dxfId="584" priority="7" operator="containsText" text="PENDING"/>
    <x:cfRule type="containsText" dxfId="585" priority="8" operator="containsText" text="PUBLIC_NOTICE"/>
    <x:cfRule type="containsText" dxfId="586" priority="9" operator="containsText" text="BOUNDARY"/>
    <x:cfRule type="containsText" dxfId="587" priority="10" operator="containsText" text="TOPOLOGY"/>
    <x:cfRule type="containsText" dxfId="588" priority="11" operator="containsText" text="REFERENCE"/>
    <x:cfRule type="containsText" dxfId="589" priority="12" operator="containsText" text="BLOCKED"/>
    <x:cfRule type="containsText" dxfId="590" priority="13" operator="containsText" text="FAIL"/>
    <x:cfRule type="containsText" dxfId="591" priority="14" operator="containsText" text="FALSE"/>
    <x:cfRule type="containsText" dxfId="592" priority="15" operator="containsText" text="REJECTED"/>
    <x:cfRule type="containsText" dxfId="593" priority="16" operator="containsText" text="MISMATCH"/>
    <x:cfRule type="containsText" dxfId="594" priority="17" operator="containsText" text="OPEN"/>
  </x:conditionalFormatting>
  <x:conditionalFormatting sqref="B11:B13">
    <x:cfRule type="containsText" dxfId="595" priority="18" operator="containsText" text="PASS"/>
    <x:cfRule type="containsText" dxfId="596" priority="19" operator="containsText" text="READY"/>
    <x:cfRule type="containsText" dxfId="597" priority="20" operator="containsText" text="TRUE"/>
    <x:cfRule type="containsText" dxfId="598" priority="21" operator="containsText" text="RESOLVED"/>
    <x:cfRule type="containsText" dxfId="599" priority="22" operator="containsText" text="E1-G"/>
    <x:cfRule type="containsText" dxfId="600" priority="23" operator="containsText" text="PROVISIONAL"/>
    <x:cfRule type="containsText" dxfId="601" priority="24" operator="containsText" text="PENDING"/>
    <x:cfRule type="containsText" dxfId="602" priority="25" operator="containsText" text="PUBLIC_NOTICE"/>
    <x:cfRule type="containsText" dxfId="603" priority="26" operator="containsText" text="BOUNDARY"/>
    <x:cfRule type="containsText" dxfId="604" priority="27" operator="containsText" text="TOPOLOGY"/>
    <x:cfRule type="containsText" dxfId="605" priority="28" operator="containsText" text="REFERENCE"/>
    <x:cfRule type="containsText" dxfId="606" priority="29" operator="containsText" text="BLOCKED"/>
    <x:cfRule type="containsText" dxfId="607" priority="30" operator="containsText" text="FAIL"/>
    <x:cfRule type="containsText" dxfId="608" priority="31" operator="containsText" text="FALSE"/>
    <x:cfRule type="containsText" dxfId="609" priority="32" operator="containsText" text="REJECTED"/>
    <x:cfRule type="containsText" dxfId="610" priority="33" operator="containsText" text="MISMATCH"/>
    <x:cfRule type="containsText" dxfId="611" priority="34" operator="containsText" text="OPEN"/>
  </x:conditionalFormatting>
  <x:pageMargins left="0.7" right="0.7" top="0.75" bottom="0.75" header="0.3" footer="0.3"/>
</x:worksheet>
</file>

<file path=xl/worksheets/sheet4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24" hidden="0" customWidth="1"/>
    <x:col min="3" max="3" width="27" hidden="0" customWidth="1"/>
    <x:col min="4" max="4" width="38" hidden="0" customWidth="1"/>
    <x:col min="5" max="5" width="38" hidden="0" customWidth="1"/>
    <x:col min="6" max="6" width="36" hidden="0" customWidth="1"/>
    <x:col min="7" max="7" width="24" hidden="0" customWidth="1"/>
    <x:col min="8" max="8" width="34" hidden="0" customWidth="1"/>
    <x:col min="9" max="9" width="22" hidden="0" customWidth="1"/>
    <x:col min="10" max="10" width="38" hidden="0" customWidth="1"/>
    <x:col min="11" max="11" width="25" hidden="0" customWidth="1"/>
    <x:col min="12" max="12" width="25" hidden="0" customWidth="1"/>
    <x:col min="13" max="13" width="46" hidden="0" customWidth="1"/>
  </x:cols>
  <x:sheetData>
    <x:row r="1" ht="30" customHeight="1">
      <x:c r="A1" s="326" t="str">
        <x:v>46｜冲突、缺口与防双算登记</x:v>
      </x:c>
      <x:c r="B1" s="326"/>
      <x:c r="C1" s="326"/>
      <x:c r="D1" s="326"/>
      <x:c r="E1" s="326"/>
      <x:c r="F1" s="326"/>
      <x:c r="G1" s="326"/>
      <x:c r="H1" s="326"/>
      <x:c r="I1" s="326"/>
      <x:c r="J1" s="326"/>
      <x:c r="K1" s="326"/>
      <x:c r="L1" s="326"/>
      <x:c r="M1" s="326"/>
    </x:row>
    <x:row r="2" ht="22" customHeight="1">
      <x:c r="A2" s="329" t="str">
        <x:v>冲突不平均；边界不补零；工信部 allowed 不写成商品 standard</x:v>
      </x:c>
      <x:c r="B2" s="329"/>
      <x:c r="C2" s="329"/>
      <x:c r="D2" s="329"/>
      <x:c r="E2" s="329"/>
      <x:c r="F2" s="329"/>
      <x:c r="G2" s="329"/>
      <x:c r="H2" s="329"/>
      <x:c r="I2" s="329"/>
      <x:c r="J2" s="329"/>
      <x:c r="K2" s="329"/>
      <x:c r="L2" s="329"/>
      <x:c r="M2" s="329"/>
    </x:row>
    <x:row r="3" ht="48" customHeight="1">
      <x:c r="A3" s="333" t="str">
        <x:v>OPEN 项会强制关闭相关价格桥。RESOLVED_BY_E1 只表示监管字段由原页裁决，不代表商业 SKU 已经锁定。</x:v>
      </x:c>
      <x:c r="B3" s="333"/>
      <x:c r="C3" s="333"/>
      <x:c r="D3" s="333"/>
      <x:c r="E3" s="333"/>
      <x:c r="F3" s="333"/>
      <x:c r="G3" s="333"/>
      <x:c r="H3" s="333"/>
      <x:c r="I3" s="333"/>
      <x:c r="J3" s="333"/>
      <x:c r="K3" s="333"/>
      <x:c r="L3" s="333"/>
      <x:c r="M3" s="333"/>
    </x:row>
    <x:row r="5" ht="58" customHeight="1">
      <x:c r="A5" s="338" t="str">
        <x:v>issue_id</x:v>
      </x:c>
      <x:c r="B5" s="338" t="str">
        <x:v>对象</x:v>
      </x:c>
      <x:c r="C5" s="338" t="str">
        <x:v>字段/问题</x:v>
      </x:c>
      <x:c r="D5" s="338" t="str">
        <x:v>主张A</x:v>
      </x:c>
      <x:c r="E5" s="338" t="str">
        <x:v>主张B</x:v>
      </x:c>
      <x:c r="F5" s="338" t="str">
        <x:v>裁决值/处理</x:v>
      </x:c>
      <x:c r="G5" s="338" t="str">
        <x:v>状态</x:v>
      </x:c>
      <x:c r="H5" s="338" t="str">
        <x:v>证据</x:v>
      </x:c>
      <x:c r="I5" s="338" t="str">
        <x:v>影响节点/边</x:v>
      </x:c>
      <x:c r="J5" s="338" t="str">
        <x:v>pricing动作</x:v>
      </x:c>
      <x:c r="K5" s="338" t="str">
        <x:v>cost_driver_group</x:v>
      </x:c>
      <x:c r="L5" s="338" t="str">
        <x:v>double_count_key</x:v>
      </x:c>
      <x:c r="M5" s="338" t="str">
        <x:v>备注</x:v>
      </x:c>
    </x:row>
    <x:row r="6" ht="68" customHeight="1">
      <x:c r="A6" s="19" t="str">
        <x:v>ISS-01</x:v>
      </x:c>
      <x:c r="B6" s="19" t="str">
        <x:v>全系</x:v>
      </x:c>
      <x:c r="C6" s="19" t="str">
        <x:v>第409批状态</x:v>
      </x:c>
      <x:c r="D6" s="19" t="str">
        <x:v>新产品公示</x:v>
      </x:c>
      <x:c r="E6" s="19" t="str">
        <x:v>误写成正式公告</x:v>
      </x:c>
      <x:c r="F6" s="19" t="str">
        <x:v>PUBLIC_NOTICE_409</x:v>
      </x:c>
      <x:c r="G6" s="19" t="str">
        <x:v>BOUNDARY_ONLY</x:v>
      </x:c>
      <x:c r="H6" s="19" t="str">
        <x:v>MIIT409单车页 + MIIT408正式公告页</x:v>
      </x:c>
      <x:c r="I6" s="19" t="str">
        <x:v>全部</x:v>
      </x:c>
      <x:c r="J6" s="19" t="str">
        <x:v>价格桥关闭不因公告状态单独开启</x:v>
      </x:c>
      <x:c r="K6" s="19" t="str">
        <x:v>VALIDATION_ONLY</x:v>
      </x:c>
      <x:c r="L6" s="19" t="str">
        <x:v>REG_STAGE</x:v>
      </x:c>
      <x:c r="M6" s="19" t="str">
        <x:v>正式公告后新增有效期，不覆盖公示历史</x:v>
      </x:c>
    </x:row>
    <x:row r="7" ht="68" customHeight="1">
      <x:c r="A7" s="339" t="str">
        <x:v>ISS-02</x:v>
      </x:c>
      <x:c r="B7" s="339" t="str">
        <x:v>XMA6500KREEVA1</x:v>
      </x:c>
      <x:c r="C7" s="339" t="str">
        <x:v>车高</x:v>
      </x:c>
      <x:c r="D7" s="339" t="str">
        <x:v>官方公示1765</x:v>
      </x:c>
      <x:c r="E7" s="339" t="str">
        <x:v>媒体曾出现1755</x:v>
      </x:c>
      <x:c r="F7" s="339" t="str">
        <x:v>1765mm</x:v>
      </x:c>
      <x:c r="G7" s="339" t="str">
        <x:v>RESOLVED_BY_E1</x:v>
      </x:c>
      <x:c r="H7" s="339" t="str">
        <x:v>SRC_MIIT409_A1</x:v>
      </x:c>
      <x:c r="I7" s="339" t="str">
        <x:v>N70 Max候选</x:v>
      </x:c>
      <x:c r="J7" s="339" t="str">
        <x:v>无额外动作</x:v>
      </x:c>
      <x:c r="K7" s="339" t="str">
        <x:v>VALIDATION_ONLY</x:v>
      </x:c>
      <x:c r="L7" s="339" t="str">
        <x:v>DIM_HEIGHT_A1</x:v>
      </x:c>
      <x:c r="M7" s="339" t="str">
        <x:v>监管原页优先</x:v>
      </x:c>
    </x:row>
    <x:row r="8" ht="68" customHeight="1">
      <x:c r="A8" s="19" t="str">
        <x:v>ISS-03</x:v>
      </x:c>
      <x:c r="B8" s="19" t="str">
        <x:v>XMA6500KREEVF3</x:v>
      </x:c>
      <x:c r="C8" s="19" t="str">
        <x:v>轴距</x:v>
      </x:c>
      <x:c r="D8" s="19" t="str">
        <x:v>官方公示2950</x:v>
      </x:c>
      <x:c r="E8" s="19" t="str">
        <x:v>媒体曾出现2960</x:v>
      </x:c>
      <x:c r="F8" s="19" t="str">
        <x:v>2950mm</x:v>
      </x:c>
      <x:c r="G8" s="19" t="str">
        <x:v>RESOLVED_BY_E1</x:v>
      </x:c>
      <x:c r="H8" s="19" t="str">
        <x:v>SRC_MIIT409_F3</x:v>
      </x:c>
      <x:c r="I8" s="19" t="str">
        <x:v>N70候选</x:v>
      </x:c>
      <x:c r="J8" s="19" t="str">
        <x:v>无额外动作</x:v>
      </x:c>
      <x:c r="K8" s="19" t="str">
        <x:v>VALIDATION_ONLY</x:v>
      </x:c>
      <x:c r="L8" s="19" t="str">
        <x:v>WB_F3</x:v>
      </x:c>
      <x:c r="M8" s="19" t="str">
        <x:v>监管原页优先</x:v>
      </x:c>
    </x:row>
    <x:row r="9" ht="68" customHeight="1">
      <x:c r="A9" s="339" t="str">
        <x:v>ISS-04</x:v>
      </x:c>
      <x:c r="B9" s="339" t="str">
        <x:v>A1/N90/ROOF</x:v>
      </x:c>
      <x:c r="C9" s="339" t="str">
        <x:v>210+100kW前后次序</x:v>
      </x:c>
      <x:c r="D9" s="339" t="str">
        <x:v>部分转录一套次序</x:v>
      </x:c>
      <x:c r="E9" s="339" t="str">
        <x:v>部分转录相反</x:v>
      </x:c>
      <x:c r="F9" s="339" t="str">
        <x:v>仅保留无序集合{210,100}</x:v>
      </x:c>
      <x:c r="G9" s="339" t="str">
        <x:v>OPEN_NONBLOCKING</x:v>
      </x:c>
      <x:c r="H9" s="339" t="str">
        <x:v>监管原页当前只需峰值集合</x:v>
      </x:c>
      <x:c r="I9" s="339" t="str">
        <x:v>B1/B2/B3</x:v>
      </x:c>
      <x:c r="J9" s="339" t="str">
        <x:v>成本需确认前/后电机归属再估</x:v>
      </x:c>
      <x:c r="K9" s="339" t="str">
        <x:v>ORDINARY_HARDWARE</x:v>
      </x:c>
      <x:c r="L9" s="339" t="str">
        <x:v>MOTOR_ASSIGNMENT</x:v>
      </x:c>
      <x:c r="M9" s="339" t="str">
        <x:v>不影响四驱指纹</x:v>
      </x:c>
    </x:row>
    <x:row r="10" ht="68" customHeight="1">
      <x:c r="A10" s="19" t="str">
        <x:v>ISS-05</x:v>
      </x:c>
      <x:c r="B10" s="19" t="str">
        <x:v>XMA6500KREEVA1</x:v>
      </x:c>
      <x:c r="C10" s="19" t="str">
        <x:v>电池化学</x:v>
      </x:c>
      <x:c r="D10" s="19" t="str">
        <x:v>官方公示三元锂中创新航</x:v>
      </x:c>
      <x:c r="E10" s="19" t="str">
        <x:v>个别二级文称LFP</x:v>
      </x:c>
      <x:c r="F10" s="19" t="str">
        <x:v>NCM / 中创新航</x:v>
      </x:c>
      <x:c r="G10" s="19" t="str">
        <x:v>RESOLVED_BY_E1</x:v>
      </x:c>
      <x:c r="H10" s="19" t="str">
        <x:v>SRC_MIIT409_A1</x:v>
      </x:c>
      <x:c r="I10" s="19" t="str">
        <x:v>B1/B2</x:v>
      </x:c>
      <x:c r="J10" s="19" t="str">
        <x:v>采用官方值</x:v>
      </x:c>
      <x:c r="K10" s="19" t="str">
        <x:v>ORDINARY_HARDWARE</x:v>
      </x:c>
      <x:c r="L10" s="19" t="str">
        <x:v>BATTERY_CHEM_A1</x:v>
      </x:c>
      <x:c r="M10" s="19" t="str">
        <x:v>不得用错误LFP成本</x:v>
      </x:c>
    </x:row>
    <x:row r="11" ht="68" customHeight="1">
      <x:c r="A11" s="339" t="str">
        <x:v>ISS-06</x:v>
      </x:c>
      <x:c r="B11" s="339" t="str">
        <x:v>四型号</x:v>
      </x:c>
      <x:c r="C11" s="339" t="str">
        <x:v>目录纯电里程循环</x:v>
      </x:c>
      <x:c r="D11" s="339" t="str">
        <x:v>转载列270/265等</x:v>
      </x:c>
      <x:c r="E11" s="339" t="str">
        <x:v>官方宣传另有CLTC最长505</x:v>
      </x:c>
      <x:c r="F11" s="339" t="str">
        <x:v>循环=NOT_DISCLOSED_IN_TRACE</x:v>
      </x:c>
      <x:c r="G11" s="339" t="str">
        <x:v>OPEN</x:v>
      </x:c>
      <x:c r="H11" s="339" t="str">
        <x:v>SRC_ITHOME_ENERGY</x:v>
      </x:c>
      <x:c r="I11" s="339" t="str">
        <x:v>全部</x:v>
      </x:c>
      <x:c r="J11" s="339" t="str">
        <x:v>不混用循环、不做能耗成本桥</x:v>
      </x:c>
      <x:c r="K11" s="339" t="str">
        <x:v>VALIDATION_ONLY</x:v>
      </x:c>
      <x:c r="L11" s="339" t="str">
        <x:v>RANGE_CYCLE</x:v>
      </x:c>
      <x:c r="M11" s="339" t="str">
        <x:v>Phase3.1B补官方配置表</x:v>
      </x:c>
    </x:row>
    <x:row r="12" ht="68" customHeight="1">
      <x:c r="A12" s="19" t="str">
        <x:v>ISS-07</x:v>
      </x:c>
      <x:c r="B12" s="19" t="str">
        <x:v>XMA6530KREEVA1</x:v>
      </x:c>
      <x:c r="C12" s="19" t="str">
        <x:v>5/7座</x:v>
      </x:c>
      <x:c r="D12" s="19" t="str">
        <x:v>同一监管型号允许5座</x:v>
      </x:c>
      <x:c r="E12" s="19" t="str">
        <x:v>同一监管型号允许7座</x:v>
      </x:c>
      <x:c r="F12" s="19" t="str">
        <x:v>一个监管型号下两个准入变体</x:v>
      </x:c>
      <x:c r="G12" s="19" t="str">
        <x:v>BOUNDARY_ONLY</x:v>
      </x:c>
      <x:c r="H12" s="19" t="str">
        <x:v>SRC_MIIT409_N90</x:v>
      </x:c>
      <x:c r="I12" s="19" t="str">
        <x:v>N90 Max/B2/B3</x:v>
      </x:c>
      <x:c r="J12" s="19" t="str">
        <x:v>App基础座位未锁前价格桥关闭</x:v>
      </x:c>
      <x:c r="K12" s="19" t="str">
        <x:v>BODY_SEAT</x:v>
      </x:c>
      <x:c r="L12" s="19" t="str">
        <x:v>N90_SEAT_BASE</x:v>
      </x:c>
      <x:c r="M12" s="19" t="str">
        <x:v>不得自动生成两个售价节点</x:v>
      </x:c>
    </x:row>
    <x:row r="13" ht="68" customHeight="1">
      <x:c r="A13" s="339" t="str">
        <x:v>ISS-08</x:v>
      </x:c>
      <x:c r="B13" s="339" t="str">
        <x:v>升顶车</x:v>
      </x:c>
      <x:c r="C13" s="339" t="str">
        <x:v>生活设施</x:v>
      </x:c>
      <x:c r="D13" s="339" t="str">
        <x:v>升降顶/床板/边柜/侧帐接口</x:v>
      </x:c>
      <x:c r="E13" s="339" t="str">
        <x:v>投影/桌板为准入选装</x:v>
      </x:c>
      <x:c r="F13" s="339" t="str">
        <x:v>分为结构标记与准入选装</x:v>
      </x:c>
      <x:c r="G13" s="339" t="str">
        <x:v>BOUNDARY_ONLY</x:v>
      </x:c>
      <x:c r="H13" s="339" t="str">
        <x:v>SRC_MIIT409_ROOF</x:v>
      </x:c>
      <x:c r="I13" s="339" t="str">
        <x:v>B3</x:v>
      </x:c>
      <x:c r="J13" s="339" t="str">
        <x:v>逐项商品化后再估成本</x:v>
      </x:c>
      <x:c r="K13" s="339" t="str">
        <x:v>SPECIAL_ROOF</x:v>
      </x:c>
      <x:c r="L13" s="339" t="str">
        <x:v>ROOF_EQUIPMENT_SCOPE</x:v>
      </x:c>
      <x:c r="M13" s="339" t="str">
        <x:v>allowed≠standard</x:v>
      </x:c>
    </x:row>
    <x:row r="14" ht="68" customHeight="1">
      <x:c r="A14" s="19" t="str">
        <x:v>ISS-09</x:v>
      </x:c>
      <x:c r="B14" s="19" t="str">
        <x:v>N70 Max/N90 Max</x:v>
      </x:c>
      <x:c r="C14" s="19" t="str">
        <x:v>25.99/29.99万元</x:v>
      </x:c>
      <x:c r="D14" s="19" t="str">
        <x:v>项目研究锚</x:v>
      </x:c>
      <x:c r="E14" s="19" t="str">
        <x:v>小米官网预售价/预约咨询</x:v>
      </x:c>
      <x:c r="F14" s="19" t="str">
        <x:v>OFFICIAL_WEBSITE_PRESALE</x:v>
      </x:c>
      <x:c r="G14" s="19" t="str">
        <x:v>RESOLVED_BY_E1_X</x:v>
      </x:c>
      <x:c r="H14" s="19" t="str">
        <x:v>SRC_XIAOMI_HOME</x:v>
      </x:c>
      <x:c r="I14" s="19" t="str">
        <x:v>B1/B2</x:v>
      </x:c>
      <x:c r="J14" s="19" t="str">
        <x:v>预售价已确证；仍不是App可下单SKU或正式指导价</x:v>
      </x:c>
      <x:c r="K14" s="19" t="str">
        <x:v>VALIDATION_ONLY</x:v>
      </x:c>
      <x:c r="L14" s="19" t="str">
        <x:v>PRICE_BASIS</x:v>
      </x:c>
      <x:c r="M14" s="19" t="str">
        <x:v>Phase3.1B补逐版配置</x:v>
      </x:c>
    </x:row>
    <x:row r="15" ht="68" customHeight="1">
      <x:c r="A15" s="339" t="str">
        <x:v>ISS-10</x:v>
      </x:c>
      <x:c r="B15" s="339" t="str">
        <x:v>四商业节点</x:v>
      </x:c>
      <x:c r="C15" s="339" t="str">
        <x:v>App SKU身份</x:v>
      </x:c>
      <x:c r="D15" s="339" t="str">
        <x:v>展示/研究名称存在</x:v>
      </x:c>
      <x:c r="E15" s="339" t="str">
        <x:v>goods/version/revision缺失</x:v>
      </x:c>
      <x:c r="F15" s="339" t="str">
        <x:v>NOT_EVIDENCED</x:v>
      </x:c>
      <x:c r="G15" s="339" t="str">
        <x:v>OPEN</x:v>
      </x:c>
      <x:c r="H15" s="339" t="str">
        <x:v>42_App销售SKU</x:v>
      </x:c>
      <x:c r="I15" s="339" t="str">
        <x:v>B1/B2/B3</x:v>
      </x:c>
      <x:c r="J15" s="339" t="str">
        <x:v>pricing_enabled=FALSE</x:v>
      </x:c>
      <x:c r="K15" s="339" t="str">
        <x:v>VALIDATION_ONLY</x:v>
      </x:c>
      <x:c r="L15" s="339" t="str">
        <x:v>APP_IDENTITY</x:v>
      </x:c>
      <x:c r="M15" s="339" t="str">
        <x:v>不能用名称代替ID</x:v>
      </x:c>
    </x:row>
    <x:row r="16" ht="68" customHeight="1">
      <x:c r="A16" s="19" t="str">
        <x:v>ISS-11</x:v>
      </x:c>
      <x:c r="B16" s="19" t="str">
        <x:v>升顶车</x:v>
      </x:c>
      <x:c r="C16" s="19" t="str">
        <x:v>独立商品化</x:v>
      </x:c>
      <x:c r="D16" s="19" t="str">
        <x:v>工信部存在独立文化生活服务车型号</x:v>
      </x:c>
      <x:c r="E16" s="19" t="str">
        <x:v>App独立版本/售价未见原件</x:v>
      </x:c>
      <x:c r="F16" s="19" t="str">
        <x:v>HOMOLOGATED_NOT_COMMERCIALIZED</x:v>
      </x:c>
      <x:c r="G16" s="19" t="str">
        <x:v>OPEN</x:v>
      </x:c>
      <x:c r="H16" s="19" t="str">
        <x:v>SRC_MIIT409_ROOF</x:v>
      </x:c>
      <x:c r="I16" s="19" t="str">
        <x:v>B3</x:v>
      </x:c>
      <x:c r="J16" s="19" t="str">
        <x:v>仅拓扑候选</x:v>
      </x:c>
      <x:c r="K16" s="19" t="str">
        <x:v>SPECIAL_ROOF</x:v>
      </x:c>
      <x:c r="L16" s="19" t="str">
        <x:v>ROOF_COMMERCIAL</x:v>
      </x:c>
      <x:c r="M16" s="19" t="str">
        <x:v>申报不等于开售</x:v>
      </x:c>
    </x:row>
    <x:row r="17" ht="68" customHeight="1">
      <x:c r="A17" s="339" t="str">
        <x:v>ISS-12</x:v>
      </x:c>
      <x:c r="B17" s="339" t="str">
        <x:v>B1</x:v>
      </x:c>
      <x:c r="C17" s="339" t="str">
        <x:v>Max/Pro门槛</x:v>
      </x:c>
      <x:c r="D17" s="339" t="str">
        <x:v>目标名含Max</x:v>
      </x:c>
      <x:c r="E17" s="339" t="str">
        <x:v>电池化学和平台跨档</x:v>
      </x:c>
      <x:c r="F17" s="339" t="str">
        <x:v>G_ladder=FALSE</x:v>
      </x:c>
      <x:c r="G17" s="339" t="str">
        <x:v>RESOLVED_RULE</x:v>
      </x:c>
      <x:c r="H17" s="339" t="str">
        <x:v>Phase2.3C规则</x:v>
      </x:c>
      <x:c r="I17" s="339" t="str">
        <x:v>B1</x:v>
      </x:c>
      <x:c r="J17" s="339" t="str">
        <x:v>只用普通硬件κ，门槛待功能触发测试</x:v>
      </x:c>
      <x:c r="K17" s="339" t="str">
        <x:v>ORDINARY_HARDWARE</x:v>
      </x:c>
      <x:c r="L17" s="339" t="str">
        <x:v>LADDER_GATE</x:v>
      </x:c>
      <x:c r="M17" s="339" t="str">
        <x:v>名称不能触发门槛</x:v>
      </x:c>
    </x:row>
    <x:row r="18" ht="68" customHeight="1">
      <x:c r="A18" s="19" t="str">
        <x:v>ISS-13</x:v>
      </x:c>
      <x:c r="B18" s="19" t="str">
        <x:v>XMA6500KREEVF3</x:v>
      </x:c>
      <x:c r="C18" s="19" t="str">
        <x:v>单电机轴位</x:v>
      </x:c>
      <x:c r="D18" s="19" t="str">
        <x:v>工信部只写峰值210kW</x:v>
      </x:c>
      <x:c r="E18" s="19" t="str">
        <x:v>二级解读称后驱</x:v>
      </x:c>
      <x:c r="F18" s="19" t="str">
        <x:v>SINGLE_MOTOR_AXIS_PENDING</x:v>
      </x:c>
      <x:c r="G18" s="19" t="str">
        <x:v>OPEN_NONBLOCKING</x:v>
      </x:c>
      <x:c r="H18" s="19" t="str">
        <x:v>SRC_MIIT409_F3</x:v>
      </x:c>
      <x:c r="I18" s="19" t="str">
        <x:v>N70低阶候选/B1</x:v>
      </x:c>
      <x:c r="J18" s="19" t="str">
        <x:v>轴位确认前电机成本按单电机总成估算</x:v>
      </x:c>
      <x:c r="K18" s="19" t="str">
        <x:v>ORDINARY_HARDWARE</x:v>
      </x:c>
      <x:c r="L18" s="19" t="str">
        <x:v>F3_MOTOR_AXLE</x:v>
      </x:c>
      <x:c r="M18" s="19" t="str">
        <x:v>不把媒体轴位升级为E1</x:v>
      </x:c>
    </x:row>
    <x:row r="19" ht="68" customHeight="1">
      <x:c r="A19" s="339" t="str">
        <x:v>ISS-14</x:v>
      </x:c>
      <x:c r="B19" s="339" t="str">
        <x:v>XMA6500KREEVF3</x:v>
      </x:c>
      <x:c r="C19" s="339" t="str">
        <x:v>真实商业后缀</x:v>
      </x:c>
      <x:c r="D19" s="339" t="str">
        <x:v>研究中曾写N70标准</x:v>
      </x:c>
      <x:c r="E19" s="339" t="str">
        <x:v>非官方现场观察疑见N70 Pro</x:v>
      </x:c>
      <x:c r="F19" s="339" t="str">
        <x:v>N70_LOW_TRIM_SUFFIX_PENDING</x:v>
      </x:c>
      <x:c r="G19" s="339" t="str">
        <x:v>OPEN</x:v>
      </x:c>
      <x:c r="H19" s="339" t="str">
        <x:v>官网当前仅预售N70 Max</x:v>
      </x:c>
      <x:c r="I19" s="339" t="str">
        <x:v>N70低阶候选/B1</x:v>
      </x:c>
      <x:c r="J19" s="339" t="str">
        <x:v>不得建立已售标准版或Pro版价格节点</x:v>
      </x:c>
      <x:c r="K19" s="339" t="str">
        <x:v>VALIDATION_ONLY</x:v>
      </x:c>
      <x:c r="L19" s="339" t="str">
        <x:v>N70_LOW_TRIM_NAME</x:v>
      </x:c>
      <x:c r="M19" s="339" t="str">
        <x:v>等待上市版本卡/App SKU</x:v>
      </x:c>
    </x:row>
  </x:sheetData>
  <x:mergeCells>
    <x:mergeCell ref="A1:M1"/>
    <x:mergeCell ref="A2:M2"/>
    <x:mergeCell ref="A3:M3"/>
  </x:mergeCells>
  <x:conditionalFormatting sqref="G6:J19">
    <x:cfRule type="containsText" dxfId="612" priority="1" operator="containsText" text="PASS"/>
    <x:cfRule type="containsText" dxfId="613" priority="2" operator="containsText" text="READY"/>
    <x:cfRule type="containsText" dxfId="614" priority="3" operator="containsText" text="TRUE"/>
    <x:cfRule type="containsText" dxfId="615" priority="4" operator="containsText" text="RESOLVED"/>
    <x:cfRule type="containsText" dxfId="616" priority="5" operator="containsText" text="E1-G"/>
    <x:cfRule type="containsText" dxfId="617" priority="6" operator="containsText" text="PROVISIONAL"/>
    <x:cfRule type="containsText" dxfId="618" priority="7" operator="containsText" text="PENDING"/>
    <x:cfRule type="containsText" dxfId="619" priority="8" operator="containsText" text="PUBLIC_NOTICE"/>
    <x:cfRule type="containsText" dxfId="620" priority="9" operator="containsText" text="BOUNDARY"/>
    <x:cfRule type="containsText" dxfId="621" priority="10" operator="containsText" text="TOPOLOGY"/>
    <x:cfRule type="containsText" dxfId="622" priority="11" operator="containsText" text="REFERENCE"/>
    <x:cfRule type="containsText" dxfId="623" priority="12" operator="containsText" text="BLOCKED"/>
    <x:cfRule type="containsText" dxfId="624" priority="13" operator="containsText" text="FAIL"/>
    <x:cfRule type="containsText" dxfId="625" priority="14" operator="containsText" text="FALSE"/>
    <x:cfRule type="containsText" dxfId="626" priority="15" operator="containsText" text="REJECTED"/>
    <x:cfRule type="containsText" dxfId="627" priority="16" operator="containsText" text="MISMATCH"/>
    <x:cfRule type="containsText" dxfId="628" priority="17" operator="containsText" text="OPEN"/>
  </x:conditionalFormatting>
  <x:pageMargins left="0.7" right="0.7" top="0.75" bottom="0.75" header="0.3" footer="0.3"/>
</x:worksheet>
</file>

<file path=xl/worksheets/sheet4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43" hidden="0" customWidth="1"/>
    <x:col min="3" max="3" width="16" hidden="0" customWidth="1"/>
    <x:col min="4" max="4" width="23" hidden="0" customWidth="1"/>
    <x:col min="5" max="5" width="12" hidden="0" customWidth="1"/>
    <x:col min="6" max="6" width="14" hidden="0" customWidth="1"/>
    <x:col min="7" max="7" width="48" hidden="0" customWidth="1"/>
  </x:cols>
  <x:sheetData>
    <x:row r="1" ht="30" customHeight="1">
      <x:c r="A1" s="326" t="str">
        <x:v>47｜Phase 3.1A 机器校验</x:v>
      </x:c>
      <x:c r="B1" s="326"/>
      <x:c r="C1" s="326"/>
      <x:c r="D1" s="326"/>
      <x:c r="E1" s="326"/>
      <x:c r="F1" s="326"/>
      <x:c r="G1" s="326"/>
    </x:row>
    <x:row r="2" ht="22" customHeight="1">
      <x:c r="A2" s="329" t="str">
        <x:v>结构完整性、证据边界、映射硬门槛、选装/升顶与价格桥开关</x:v>
      </x:c>
      <x:c r="B2" s="329"/>
      <x:c r="C2" s="329"/>
      <x:c r="D2" s="329"/>
      <x:c r="E2" s="329"/>
      <x:c r="F2" s="329"/>
      <x:c r="G2" s="329"/>
    </x:row>
    <x:row r="3" ht="48" customHeight="1">
      <x:c r="A3" s="333" t="str">
        <x:v>PASS 表示本阶段的“版本树与边界”自洽，不表示销售 SKU 或正式售价已经锁定。PRICE_BRIDGE_STATUS 应保持 BLOCKED，直到 App 原始 ID 和同口径价格齐全。</x:v>
      </x:c>
      <x:c r="B3" s="333"/>
      <x:c r="C3" s="333"/>
      <x:c r="D3" s="333"/>
      <x:c r="E3" s="333"/>
      <x:c r="F3" s="333"/>
      <x:c r="G3" s="333"/>
    </x:row>
    <x:row r="5" ht="48" customHeight="1">
      <x:c r="A5" s="338" t="str">
        <x:v>check_id</x:v>
      </x:c>
      <x:c r="B5" s="338" t="str">
        <x:v>检查</x:v>
      </x:c>
      <x:c r="C5" s="338" t="str">
        <x:v>期望</x:v>
      </x:c>
      <x:c r="D5" s="338" t="str">
        <x:v>实际</x:v>
      </x:c>
      <x:c r="E5" s="338" t="str">
        <x:v>容差</x:v>
      </x:c>
      <x:c r="F5" s="338" t="str">
        <x:v>状态</x:v>
      </x:c>
      <x:c r="G5" s="338" t="str">
        <x:v>修复提示</x:v>
      </x:c>
    </x:row>
    <x:row r="6" ht="32" customHeight="1">
      <x:c r="A6" s="19" t="str">
        <x:v>C01</x:v>
      </x:c>
      <x:c r="B6" s="19" t="str">
        <x:v>工信部完整型号数</x:v>
      </x:c>
      <x:c r="C6" s="152" t="n">
        <x:v>4</x:v>
      </x:c>
      <x:c r="D6" s="152" t="n">
        <x:f>COUNTA('39_工信部车型'!B6:B9)</x:f>
        <x:v>4</x:v>
      </x:c>
      <x:c r="E6" s="152" t="n">
        <x:v>0</x:v>
      </x:c>
      <x:c r="F6" s="19" t="str">
        <x:f>IF(ABS(C6-D6)&lt;=E6,"PASS","FAIL")</x:f>
        <x:v>PASS</x:v>
      </x:c>
      <x:c r="G6" s="19" t="str">
        <x:v>应为4</x:v>
      </x:c>
    </x:row>
    <x:row r="7" ht="32" customHeight="1">
      <x:c r="A7" s="339" t="str">
        <x:v>C02</x:v>
      </x:c>
      <x:c r="B7" s="339" t="str">
        <x:v>F3型号出现次数</x:v>
      </x:c>
      <x:c r="C7" s="344" t="n">
        <x:v>1</x:v>
      </x:c>
      <x:c r="D7" s="344" t="n">
        <x:f>COUNTIF('39_工信部车型'!B6:B9,"XMA6500KREEVF3")</x:f>
        <x:v>1</x:v>
      </x:c>
      <x:c r="E7" s="344" t="n">
        <x:v>0</x:v>
      </x:c>
      <x:c r="F7" s="339" t="str">
        <x:f>IF(ABS(C7-D7)&lt;=E7,"PASS","FAIL")</x:f>
        <x:v>PASS</x:v>
      </x:c>
      <x:c r="G7" s="339" t="str">
        <x:v>型号唯一</x:v>
      </x:c>
    </x:row>
    <x:row r="8" ht="32" customHeight="1">
      <x:c r="A8" s="19" t="str">
        <x:v>C03</x:v>
      </x:c>
      <x:c r="B8" s="19" t="str">
        <x:v>A1型号出现次数</x:v>
      </x:c>
      <x:c r="C8" s="152" t="n">
        <x:v>1</x:v>
      </x:c>
      <x:c r="D8" s="152" t="n">
        <x:f>COUNTIF('39_工信部车型'!B6:B9,"XMA6500KREEVA1")</x:f>
        <x:v>1</x:v>
      </x:c>
      <x:c r="E8" s="152" t="n">
        <x:v>0</x:v>
      </x:c>
      <x:c r="F8" s="19" t="str">
        <x:f>IF(ABS(C8-D8)&lt;=E8,"PASS","FAIL")</x:f>
        <x:v>PASS</x:v>
      </x:c>
      <x:c r="G8" s="19" t="str">
        <x:v>型号唯一</x:v>
      </x:c>
    </x:row>
    <x:row r="9" ht="32" customHeight="1">
      <x:c r="A9" s="339" t="str">
        <x:v>C04</x:v>
      </x:c>
      <x:c r="B9" s="339" t="str">
        <x:v>N90型号出现次数</x:v>
      </x:c>
      <x:c r="C9" s="344" t="n">
        <x:v>1</x:v>
      </x:c>
      <x:c r="D9" s="344" t="n">
        <x:f>COUNTIF('39_工信部车型'!B6:B9,"XMA6530KREEVA1")</x:f>
        <x:v>1</x:v>
      </x:c>
      <x:c r="E9" s="344" t="n">
        <x:v>0</x:v>
      </x:c>
      <x:c r="F9" s="339" t="str">
        <x:f>IF(ABS(C9-D9)&lt;=E9,"PASS","FAIL")</x:f>
        <x:v>PASS</x:v>
      </x:c>
      <x:c r="G9" s="339" t="str">
        <x:v>型号唯一</x:v>
      </x:c>
    </x:row>
    <x:row r="10" ht="32" customHeight="1">
      <x:c r="A10" s="19" t="str">
        <x:v>C05</x:v>
      </x:c>
      <x:c r="B10" s="19" t="str">
        <x:v>升顶型号出现次数</x:v>
      </x:c>
      <x:c r="C10" s="152" t="n">
        <x:v>1</x:v>
      </x:c>
      <x:c r="D10" s="152" t="n">
        <x:f>COUNTIF('39_工信部车型'!B6:B9,"XMA5030XWHKREEVA3")</x:f>
        <x:v>1</x:v>
      </x:c>
      <x:c r="E10" s="152" t="n">
        <x:v>0</x:v>
      </x:c>
      <x:c r="F10" s="19" t="str">
        <x:f>IF(ABS(C10-D10)&lt;=E10,"PASS","FAIL")</x:f>
        <x:v>PASS</x:v>
      </x:c>
      <x:c r="G10" s="19" t="str">
        <x:v>型号唯一</x:v>
      </x:c>
    </x:row>
    <x:row r="11" ht="32" customHeight="1">
      <x:c r="A11" s="339" t="str">
        <x:v>C06</x:v>
      </x:c>
      <x:c r="B11" s="339" t="str">
        <x:v>第409批公示型号数</x:v>
      </x:c>
      <x:c r="C11" s="344" t="n">
        <x:v>4</x:v>
      </x:c>
      <x:c r="D11" s="344" t="n">
        <x:f>COUNTIF('39_工信部车型'!C6:C9,"PUBLIC_NOTICE_409")</x:f>
        <x:v>4</x:v>
      </x:c>
      <x:c r="E11" s="344" t="n">
        <x:v>0</x:v>
      </x:c>
      <x:c r="F11" s="339" t="str">
        <x:f>IF(ABS(C11-D11)&lt;=E11,"PASS","FAIL")</x:f>
        <x:v>PASS</x:v>
      </x:c>
      <x:c r="G11" s="339" t="str">
        <x:v>不得误标正式公告</x:v>
      </x:c>
    </x:row>
    <x:row r="12" ht="32" customHeight="1">
      <x:c r="A12" s="19" t="str">
        <x:v>C07</x:v>
      </x:c>
      <x:c r="B12" s="19" t="str">
        <x:v>误标正式公告数</x:v>
      </x:c>
      <x:c r="C12" s="152" t="n">
        <x:v>0</x:v>
      </x:c>
      <x:c r="D12" s="152" t="n">
        <x:f>COUNTIF('39_工信部车型'!C6:C9,"FORMAL_ANNOUNCEMENT")</x:f>
        <x:v>0</x:v>
      </x:c>
      <x:c r="E12" s="152" t="n">
        <x:v>0</x:v>
      </x:c>
      <x:c r="F12" s="19" t="str">
        <x:f>IF(ABS(C12-D12)&lt;=E12,"PASS","FAIL")</x:f>
        <x:v>PASS</x:v>
      </x:c>
      <x:c r="G12" s="19" t="str">
        <x:v>当前应为0</x:v>
      </x:c>
    </x:row>
    <x:row r="13" ht="32" customHeight="1">
      <x:c r="A13" s="339" t="str">
        <x:v>C08</x:v>
      </x:c>
      <x:c r="B13" s="339" t="str">
        <x:v>E1-G监管原页数</x:v>
      </x:c>
      <x:c r="C13" s="344" t="n">
        <x:v>4</x:v>
      </x:c>
      <x:c r="D13" s="344" t="n">
        <x:f>COUNTIF('38_来源与主张'!C6:C14,"E1-G_PUBLIC")</x:f>
        <x:v>4</x:v>
      </x:c>
      <x:c r="E13" s="344" t="n">
        <x:v>0</x:v>
      </x:c>
      <x:c r="F13" s="339" t="str">
        <x:f>IF(ABS(C13-D13)&lt;=E13,"PASS","FAIL")</x:f>
        <x:v>PASS</x:v>
      </x:c>
      <x:c r="G13" s="339" t="str">
        <x:v>四个单车原页</x:v>
      </x:c>
    </x:row>
    <x:row r="14" ht="32" customHeight="1">
      <x:c r="A14" s="19" t="str">
        <x:v>C09</x:v>
      </x:c>
      <x:c r="B14" s="19" t="str">
        <x:v>正式批次边界来源数</x:v>
      </x:c>
      <x:c r="C14" s="152" t="n">
        <x:v>1</x:v>
      </x:c>
      <x:c r="D14" s="152" t="n">
        <x:f>COUNTIF('38_来源与主张'!C6:C14,"E1-G_FORMAL")</x:f>
        <x:v>1</x:v>
      </x:c>
      <x:c r="E14" s="152" t="n">
        <x:v>0</x:v>
      </x:c>
      <x:c r="F14" s="19" t="str">
        <x:f>IF(ABS(C14-D14)&lt;=E14,"PASS","FAIL")</x:f>
        <x:v>PASS</x:v>
      </x:c>
      <x:c r="G14" s="19" t="str">
        <x:v>第408批边界</x:v>
      </x:c>
    </x:row>
    <x:row r="15" ht="32" customHeight="1">
      <x:c r="A15" s="339" t="str">
        <x:v>C10</x:v>
      </x:c>
      <x:c r="B15" s="339" t="str">
        <x:v>准入变体数</x:v>
      </x:c>
      <x:c r="C15" s="344" t="n">
        <x:v>7</x:v>
      </x:c>
      <x:c r="D15" s="344" t="n">
        <x:f>COUNTA('40_准入变体'!A6:A12)</x:f>
        <x:v>7</x:v>
      </x:c>
      <x:c r="E15" s="344" t="n">
        <x:v>0</x:v>
      </x:c>
      <x:c r="F15" s="339" t="str">
        <x:f>IF(ABS(C15-D15)&lt;=E15,"PASS","FAIL")</x:f>
        <x:v>PASS</x:v>
      </x:c>
      <x:c r="G15" s="339" t="str">
        <x:v>2+2+2+1</x:v>
      </x:c>
    </x:row>
    <x:row r="16" ht="32" customHeight="1">
      <x:c r="A16" s="19" t="str">
        <x:v>C11</x:v>
      </x:c>
      <x:c r="B16" s="19" t="str">
        <x:v>F3变体数</x:v>
      </x:c>
      <x:c r="C16" s="152" t="n">
        <x:v>2</x:v>
      </x:c>
      <x:c r="D16" s="152" t="n">
        <x:f>COUNTIF('40_准入变体'!B6:B12,"MIIT409-F3")</x:f>
        <x:v>2</x:v>
      </x:c>
      <x:c r="E16" s="152" t="n">
        <x:v>0</x:v>
      </x:c>
      <x:c r="F16" s="19" t="str">
        <x:f>IF(ABS(C16-D16)&lt;=E16,"PASS","FAIL")</x:f>
        <x:v>PASS</x:v>
      </x:c>
      <x:c r="G16" s="19" t="str">
        <x:v>两质量行</x:v>
      </x:c>
    </x:row>
    <x:row r="17" ht="32" customHeight="1">
      <x:c r="A17" s="339" t="str">
        <x:v>C12</x:v>
      </x:c>
      <x:c r="B17" s="339" t="str">
        <x:v>A1变体数</x:v>
      </x:c>
      <x:c r="C17" s="344" t="n">
        <x:v>2</x:v>
      </x:c>
      <x:c r="D17" s="344" t="n">
        <x:f>COUNTIF('40_准入变体'!B6:B12,"MIIT409-A1")</x:f>
        <x:v>2</x:v>
      </x:c>
      <x:c r="E17" s="344" t="n">
        <x:v>0</x:v>
      </x:c>
      <x:c r="F17" s="339" t="str">
        <x:f>IF(ABS(C17-D17)&lt;=E17,"PASS","FAIL")</x:f>
        <x:v>PASS</x:v>
      </x:c>
      <x:c r="G17" s="339" t="str">
        <x:v>两质量行</x:v>
      </x:c>
    </x:row>
    <x:row r="18" ht="32" customHeight="1">
      <x:c r="A18" s="19" t="str">
        <x:v>C13</x:v>
      </x:c>
      <x:c r="B18" s="19" t="str">
        <x:v>N90普通变体数</x:v>
      </x:c>
      <x:c r="C18" s="152" t="n">
        <x:v>2</x:v>
      </x:c>
      <x:c r="D18" s="152" t="n">
        <x:f>COUNTIF('40_准入变体'!B6:B12,"MIIT409-N90")</x:f>
        <x:v>2</x:v>
      </x:c>
      <x:c r="E18" s="152" t="n">
        <x:v>0</x:v>
      </x:c>
      <x:c r="F18" s="19" t="str">
        <x:f>IF(ABS(C18-D18)&lt;=E18,"PASS","FAIL")</x:f>
        <x:v>PASS</x:v>
      </x:c>
      <x:c r="G18" s="19" t="str">
        <x:v>5/7座两行</x:v>
      </x:c>
    </x:row>
    <x:row r="19" ht="32" customHeight="1">
      <x:c r="A19" s="339" t="str">
        <x:v>C14</x:v>
      </x:c>
      <x:c r="B19" s="339" t="str">
        <x:v>升顶变体数</x:v>
      </x:c>
      <x:c r="C19" s="344" t="n">
        <x:v>1</x:v>
      </x:c>
      <x:c r="D19" s="344" t="n">
        <x:f>COUNTIF('40_准入变体'!B6:B12,"MIIT409-ROOF")</x:f>
        <x:v>1</x:v>
      </x:c>
      <x:c r="E19" s="344" t="n">
        <x:v>0</x:v>
      </x:c>
      <x:c r="F19" s="339" t="str">
        <x:f>IF(ABS(C19-D19)&lt;=E19,"PASS","FAIL")</x:f>
        <x:v>PASS</x:v>
      </x:c>
      <x:c r="G19" s="339" t="str">
        <x:v>仅5座</x:v>
      </x:c>
    </x:row>
    <x:row r="20" ht="32" customHeight="1">
      <x:c r="A20" s="19" t="str">
        <x:v>C15</x:v>
      </x:c>
      <x:c r="B20" s="19" t="str">
        <x:v>未绑定集合行数</x:v>
      </x:c>
      <x:c r="C20" s="152" t="n">
        <x:v>4</x:v>
      </x:c>
      <x:c r="D20" s="152" t="n">
        <x:f>COUNTIF('40_准入变体'!D6:D12,"UNBOUND_SET")</x:f>
        <x:v>4</x:v>
      </x:c>
      <x:c r="E20" s="152" t="n">
        <x:v>0</x:v>
      </x:c>
      <x:c r="F20" s="19" t="str">
        <x:f>IF(ABS(C20-D20)&lt;=E20,"PASS","FAIL")</x:f>
        <x:v>PASS</x:v>
      </x:c>
      <x:c r="G20" s="19" t="str">
        <x:v>禁止笛卡尔积</x:v>
      </x:c>
    </x:row>
    <x:row r="21" ht="32" customHeight="1">
      <x:c r="A21" s="339" t="str">
        <x:v>C16</x:v>
      </x:c>
      <x:c r="B21" s="339" t="str">
        <x:v>升顶TRUE行数</x:v>
      </x:c>
      <x:c r="C21" s="344" t="n">
        <x:v>1</x:v>
      </x:c>
      <x:c r="D21" s="344" t="n">
        <x:f>COUNTIF('40_准入变体'!N6:N12,"TRUE")</x:f>
        <x:v>1</x:v>
      </x:c>
      <x:c r="E21" s="344" t="n">
        <x:v>0</x:v>
      </x:c>
      <x:c r="F21" s="339" t="str">
        <x:f>IF(ABS(C21-D21)&lt;=E21,"PASS","FAIL")</x:f>
        <x:v>PASS</x:v>
      </x:c>
      <x:c r="G21" s="339" t="str">
        <x:v>只有文化生活服务车</x:v>
      </x:c>
    </x:row>
    <x:row r="22" ht="32" customHeight="1">
      <x:c r="A22" s="19" t="str">
        <x:v>C17</x:v>
      </x:c>
      <x:c r="B22" s="19" t="str">
        <x:v>普通固定顶行数</x:v>
      </x:c>
      <x:c r="C22" s="152" t="n">
        <x:v>6</x:v>
      </x:c>
      <x:c r="D22" s="152" t="n">
        <x:f>COUNTIF('40_准入变体'!M6:M12,"NORMAL_FIXED")</x:f>
        <x:v>6</x:v>
      </x:c>
      <x:c r="E22" s="152" t="n">
        <x:v>0</x:v>
      </x:c>
      <x:c r="F22" s="19" t="str">
        <x:f>IF(ABS(C22-D22)&lt;=E22,"PASS","FAIL")</x:f>
        <x:v>PASS</x:v>
      </x:c>
      <x:c r="G22" s="19" t="str">
        <x:v>其余六行</x:v>
      </x:c>
    </x:row>
    <x:row r="23" ht="32" customHeight="1">
      <x:c r="A23" s="339" t="str">
        <x:v>C18</x:v>
      </x:c>
      <x:c r="B23" s="339" t="str">
        <x:v>商业候选节点数</x:v>
      </x:c>
      <x:c r="C23" s="344" t="n">
        <x:v>4</x:v>
      </x:c>
      <x:c r="D23" s="344" t="n">
        <x:f>COUNTA('41_商业节点'!A6:A9)</x:f>
        <x:v>4</x:v>
      </x:c>
      <x:c r="E23" s="344" t="n">
        <x:v>0</x:v>
      </x:c>
      <x:c r="F23" s="339" t="str">
        <x:f>IF(ABS(C23-D23)&lt;=E23,"PASS","FAIL")</x:f>
        <x:v>PASS</x:v>
      </x:c>
      <x:c r="G23" s="339" t="str">
        <x:v>四个预测节点</x:v>
      </x:c>
    </x:row>
    <x:row r="24" ht="32" customHeight="1">
      <x:c r="A24" s="19" t="str">
        <x:v>C19</x:v>
      </x:c>
      <x:c r="B24" s="19" t="str">
        <x:v>监管-only商业候选数</x:v>
      </x:c>
      <x:c r="C24" s="152" t="n">
        <x:v>1</x:v>
      </x:c>
      <x:c r="D24" s="152" t="n">
        <x:f>COUNTIF('41_商业节点'!H6:H9,"REGULATORY_ONLY_CANDIDATE")</x:f>
        <x:v>1</x:v>
      </x:c>
      <x:c r="E24" s="152" t="n">
        <x:v>0</x:v>
      </x:c>
      <x:c r="F24" s="19" t="str">
        <x:f>IF(ABS(C24-D24)&lt;=E24,"PASS","FAIL")</x:f>
        <x:v>PASS</x:v>
      </x:c>
      <x:c r="G24" s="19" t="str">
        <x:v>N70基础</x:v>
      </x:c>
    </x:row>
    <x:row r="25" ht="32" customHeight="1">
      <x:c r="A25" s="339" t="str">
        <x:v>C20</x:v>
      </x:c>
      <x:c r="B25" s="339" t="str">
        <x:v>升顶未商品化节点数</x:v>
      </x:c>
      <x:c r="C25" s="344" t="n">
        <x:v>1</x:v>
      </x:c>
      <x:c r="D25" s="344" t="n">
        <x:f>COUNTIF('41_商业节点'!H6:H9,"HOMOLOGATED_NOT_COMMERCIALIZED")</x:f>
        <x:v>1</x:v>
      </x:c>
      <x:c r="E25" s="344" t="n">
        <x:v>0</x:v>
      </x:c>
      <x:c r="F25" s="339" t="str">
        <x:f>IF(ABS(C25-D25)&lt;=E25,"PASS","FAIL")</x:f>
        <x:v>PASS</x:v>
      </x:c>
      <x:c r="G25" s="339" t="str">
        <x:v>升顶节点</x:v>
      </x:c>
    </x:row>
    <x:row r="26" ht="32" customHeight="1">
      <x:c r="A26" s="19" t="str">
        <x:v>C21</x:v>
      </x:c>
      <x:c r="B26" s="19" t="str">
        <x:v>官网预售小订节点数</x:v>
      </x:c>
      <x:c r="C26" s="152" t="n">
        <x:v>2</x:v>
      </x:c>
      <x:c r="D26" s="152" t="n">
        <x:f>COUNTIF('41_商业节点'!H6:H9,"OFFICIAL_PRESALE_SMALL_ORDER")</x:f>
        <x:v>2</x:v>
      </x:c>
      <x:c r="E26" s="152" t="n">
        <x:v>0</x:v>
      </x:c>
      <x:c r="F26" s="19" t="str">
        <x:f>IF(ABS(C26-D26)&lt;=E26,"PASS","FAIL")</x:f>
        <x:v>PASS</x:v>
      </x:c>
      <x:c r="G26" s="19" t="str">
        <x:v>N70 Max/N90 Max</x:v>
      </x:c>
    </x:row>
    <x:row r="27" ht="32" customHeight="1">
      <x:c r="A27" s="339" t="str">
        <x:v>C22</x:v>
      </x:c>
      <x:c r="B27" s="339" t="str">
        <x:v>价格桥资格TRUE数</x:v>
      </x:c>
      <x:c r="C27" s="344" t="n">
        <x:v>0</x:v>
      </x:c>
      <x:c r="D27" s="344" t="n">
        <x:f>COUNTIF('41_商业节点'!M6:M9,"TRUE")</x:f>
        <x:v>0</x:v>
      </x:c>
      <x:c r="E27" s="344" t="n">
        <x:v>0</x:v>
      </x:c>
      <x:c r="F27" s="339" t="str">
        <x:f>IF(ABS(C27-D27)&lt;=E27,"PASS","FAIL")</x:f>
        <x:v>PASS</x:v>
      </x:c>
      <x:c r="G27" s="339" t="str">
        <x:v>当前必须为0</x:v>
      </x:c>
    </x:row>
    <x:row r="28" ht="32" customHeight="1">
      <x:c r="A28" s="19" t="str">
        <x:v>C23</x:v>
      </x:c>
      <x:c r="B28" s="19" t="str">
        <x:v>App记录占位数</x:v>
      </x:c>
      <x:c r="C28" s="152" t="n">
        <x:v>4</x:v>
      </x:c>
      <x:c r="D28" s="152" t="n">
        <x:f>COUNTA('42_App销售SKU'!A6:A9)</x:f>
        <x:v>4</x:v>
      </x:c>
      <x:c r="E28" s="152" t="n">
        <x:v>0</x:v>
      </x:c>
      <x:c r="F28" s="19" t="str">
        <x:f>IF(ABS(C28-D28)&lt;=E28,"PASS","FAIL")</x:f>
        <x:v>PASS</x:v>
      </x:c>
      <x:c r="G28" s="19" t="str">
        <x:v>四节点均有待锁记录</x:v>
      </x:c>
    </x:row>
    <x:row r="29" ht="32" customHeight="1">
      <x:c r="A29" s="339" t="str">
        <x:v>C24</x:v>
      </x:c>
      <x:c r="B29" s="339" t="str">
        <x:v>App goods_id已取数</x:v>
      </x:c>
      <x:c r="C29" s="344" t="n">
        <x:v>0</x:v>
      </x:c>
      <x:c r="D29" s="344" t="n">
        <x:f>IF('42_App销售SKU'!C6="",0,1)+IF('42_App销售SKU'!C7="",0,1)+IF('42_App销售SKU'!C8="",0,1)+IF('42_App销售SKU'!C9="",0,1)</x:f>
        <x:v>0</x:v>
      </x:c>
      <x:c r="E29" s="344" t="n">
        <x:v>0</x:v>
      </x:c>
      <x:c r="F29" s="339" t="str">
        <x:f>IF(ABS(C29-D29)&lt;=E29,"PASS","FAIL")</x:f>
        <x:v>PASS</x:v>
      </x:c>
      <x:c r="G29" s="339" t="str">
        <x:v>当前无原始ID</x:v>
      </x:c>
    </x:row>
    <x:row r="30" ht="32" customHeight="1">
      <x:c r="A30" s="19" t="str">
        <x:v>C25</x:v>
      </x:c>
      <x:c r="B30" s="19" t="str">
        <x:v>App version_id已取数</x:v>
      </x:c>
      <x:c r="C30" s="152" t="n">
        <x:v>0</x:v>
      </x:c>
      <x:c r="D30" s="152" t="n">
        <x:f>IF('42_App销售SKU'!D6="",0,1)+IF('42_App销售SKU'!D7="",0,1)+IF('42_App销售SKU'!D8="",0,1)+IF('42_App销售SKU'!D9="",0,1)</x:f>
        <x:v>0</x:v>
      </x:c>
      <x:c r="E30" s="152" t="n">
        <x:v>0</x:v>
      </x:c>
      <x:c r="F30" s="19" t="str">
        <x:f>IF(ABS(C30-D30)&lt;=E30,"PASS","FAIL")</x:f>
        <x:v>PASS</x:v>
      </x:c>
      <x:c r="G30" s="19" t="str">
        <x:v>当前无原始ID</x:v>
      </x:c>
    </x:row>
    <x:row r="31" ht="32" customHeight="1">
      <x:c r="A31" s="339" t="str">
        <x:v>C26</x:v>
      </x:c>
      <x:c r="B31" s="339" t="str">
        <x:v>App可下单记录数</x:v>
      </x:c>
      <x:c r="C31" s="344" t="n">
        <x:v>0</x:v>
      </x:c>
      <x:c r="D31" s="344" t="n">
        <x:f>COUNTIF('42_App销售SKU'!I6:I9,"ORDERABLE")</x:f>
        <x:v>0</x:v>
      </x:c>
      <x:c r="E31" s="344" t="n">
        <x:v>0</x:v>
      </x:c>
      <x:c r="F31" s="339" t="str">
        <x:f>IF(ABS(C31-D31)&lt;=E31,"PASS","FAIL")</x:f>
        <x:v>PASS</x:v>
      </x:c>
      <x:c r="G31" s="339" t="str">
        <x:v>当前无可下单证据</x:v>
      </x:c>
    </x:row>
    <x:row r="32" ht="32" customHeight="1">
      <x:c r="A32" s="19" t="str">
        <x:v>C27</x:v>
      </x:c>
      <x:c r="B32" s="19" t="str">
        <x:v>App价格桥资格TRUE数</x:v>
      </x:c>
      <x:c r="C32" s="152" t="n">
        <x:v>0</x:v>
      </x:c>
      <x:c r="D32" s="152" t="n">
        <x:f>COUNTIF('42_App销售SKU'!P6:P9,"TRUE")</x:f>
        <x:v>0</x:v>
      </x:c>
      <x:c r="E32" s="152" t="n">
        <x:v>0</x:v>
      </x:c>
      <x:c r="F32" s="19" t="str">
        <x:f>IF(ABS(C32-D32)&lt;=E32,"PASS","FAIL")</x:f>
        <x:v>PASS</x:v>
      </x:c>
      <x:c r="G32" s="19" t="str">
        <x:v>当前必须为0</x:v>
      </x:c>
    </x:row>
    <x:row r="33" ht="32" customHeight="1">
      <x:c r="A33" s="339" t="str">
        <x:v>C28</x:v>
      </x:c>
      <x:c r="B33" s="339" t="str">
        <x:v>映射候选总数</x:v>
      </x:c>
      <x:c r="C33" s="344" t="n">
        <x:v>8</x:v>
      </x:c>
      <x:c r="D33" s="344" t="n">
        <x:f>COUNTA('43_映射候选评分'!A6:A13)</x:f>
        <x:v>8</x:v>
      </x:c>
      <x:c r="E33" s="344" t="n">
        <x:v>0</x:v>
      </x:c>
      <x:c r="F33" s="339" t="str">
        <x:f>IF(ABS(C33-D33)&lt;=E33,"PASS","FAIL")</x:f>
        <x:v>PASS</x:v>
      </x:c>
      <x:c r="G33" s="339" t="str">
        <x:v>四正选四反例</x:v>
      </x:c>
    </x:row>
    <x:row r="34" ht="32" customHeight="1">
      <x:c r="A34" s="19" t="str">
        <x:v>C29</x:v>
      </x:c>
      <x:c r="B34" s="19" t="str">
        <x:v>正选映射行数</x:v>
      </x:c>
      <x:c r="C34" s="152" t="n">
        <x:v>4</x:v>
      </x:c>
      <x:c r="D34" s="152" t="n">
        <x:f>COUNTIF('43_映射候选评分'!T6:T13,"PROVISIONAL")+COUNTIF('43_映射候选评分'!T6:T13,"ACCEPTED_MEDIUM")</x:f>
        <x:v>4</x:v>
      </x:c>
      <x:c r="E34" s="152" t="n">
        <x:v>0</x:v>
      </x:c>
      <x:c r="F34" s="19" t="str">
        <x:f>IF(ABS(C34-D34)&lt;=E34,"PASS","FAIL")</x:f>
        <x:v>PASS</x:v>
      </x:c>
      <x:c r="G34" s="19" t="str">
        <x:v>四条正选</x:v>
      </x:c>
    </x:row>
    <x:row r="35" ht="32" customHeight="1">
      <x:c r="A35" s="339" t="str">
        <x:v>C30</x:v>
      </x:c>
      <x:c r="B35" s="339" t="str">
        <x:v>反例映射行数</x:v>
      </x:c>
      <x:c r="C35" s="344" t="n">
        <x:v>4</x:v>
      </x:c>
      <x:c r="D35" s="344" t="n">
        <x:f>COUNTIF('43_映射候选评分'!T6:T13,"REJECTED")</x:f>
        <x:v>4</x:v>
      </x:c>
      <x:c r="E35" s="344" t="n">
        <x:v>0</x:v>
      </x:c>
      <x:c r="F35" s="339" t="str">
        <x:f>IF(ABS(C35-D35)&lt;=E35,"PASS","FAIL")</x:f>
        <x:v>PASS</x:v>
      </x:c>
      <x:c r="G35" s="339" t="str">
        <x:v>四条反例</x:v>
      </x:c>
    </x:row>
    <x:row r="36" ht="32" customHeight="1">
      <x:c r="A36" s="19" t="str">
        <x:v>C31</x:v>
      </x:c>
      <x:c r="B36" s="19" t="str">
        <x:v>技术硬门槛FAIL数</x:v>
      </x:c>
      <x:c r="C36" s="152" t="n">
        <x:v>4</x:v>
      </x:c>
      <x:c r="D36" s="152" t="n">
        <x:f>COUNTIF('43_映射候选评分'!O6:O13,"FAIL")</x:f>
        <x:v>4</x:v>
      </x:c>
      <x:c r="E36" s="152" t="n">
        <x:v>0</x:v>
      </x:c>
      <x:c r="F36" s="19" t="str">
        <x:f>IF(ABS(C36-D36)&lt;=E36,"PASS","FAIL")</x:f>
        <x:v>PASS</x:v>
      </x:c>
      <x:c r="G36" s="19" t="str">
        <x:v>四条反例应否决</x:v>
      </x:c>
    </x:row>
    <x:row r="37" ht="32" customHeight="1">
      <x:c r="A37" s="339" t="str">
        <x:v>C32</x:v>
      </x:c>
      <x:c r="B37" s="339" t="str">
        <x:v>PROVISIONAL映射数</x:v>
      </x:c>
      <x:c r="C37" s="344" t="n">
        <x:v>2</x:v>
      </x:c>
      <x:c r="D37" s="344" t="n">
        <x:f>COUNTIF('43_映射候选评分'!T6:T13,"PROVISIONAL")</x:f>
        <x:v>2</x:v>
      </x:c>
      <x:c r="E37" s="344" t="n">
        <x:v>0</x:v>
      </x:c>
      <x:c r="F37" s="339" t="str">
        <x:f>IF(ABS(C37-D37)&lt;=E37,"PASS","FAIL")</x:f>
        <x:v>PASS</x:v>
      </x:c>
      <x:c r="G37" s="339" t="str">
        <x:v>N70基础与升顶仍仅监管候选</x:v>
      </x:c>
    </x:row>
    <x:row r="38" ht="32" customHeight="1">
      <x:c r="A38" s="19" t="str">
        <x:v>C33</x:v>
      </x:c>
      <x:c r="B38" s="19" t="str">
        <x:v>ACCEPTED_MEDIUM映射数</x:v>
      </x:c>
      <x:c r="C38" s="152" t="n">
        <x:v>2</x:v>
      </x:c>
      <x:c r="D38" s="152" t="n">
        <x:f>COUNTIF('43_映射候选评分'!T6:T13,"ACCEPTED_MEDIUM")</x:f>
        <x:v>2</x:v>
      </x:c>
      <x:c r="E38" s="152" t="n">
        <x:v>0</x:v>
      </x:c>
      <x:c r="F38" s="19" t="str">
        <x:f>IF(ABS(C38-D38)&lt;=E38,"PASS","FAIL")</x:f>
        <x:v>PASS</x:v>
      </x:c>
      <x:c r="G38" s="19" t="str">
        <x:v>两款官网Max双域闭环但App未锁</x:v>
      </x:c>
    </x:row>
    <x:row r="39" ht="32" customHeight="1">
      <x:c r="A39" s="339" t="str">
        <x:v>C34</x:v>
      </x:c>
      <x:c r="B39" s="339" t="str">
        <x:v>版本树签核行数</x:v>
      </x:c>
      <x:c r="C39" s="344" t="n">
        <x:v>4</x:v>
      </x:c>
      <x:c r="D39" s="344" t="n">
        <x:f>COUNTA('44_版本树签核'!A6:A9)</x:f>
        <x:v>4</x:v>
      </x:c>
      <x:c r="E39" s="344" t="n">
        <x:v>0</x:v>
      </x:c>
      <x:c r="F39" s="339" t="str">
        <x:f>IF(ABS(C39-D39)&lt;=E39,"PASS","FAIL")</x:f>
        <x:v>PASS</x:v>
      </x:c>
      <x:c r="G39" s="339" t="str">
        <x:v>四节点</x:v>
      </x:c>
    </x:row>
    <x:row r="40" ht="32" customHeight="1">
      <x:c r="A40" s="19" t="str">
        <x:v>C35</x:v>
      </x:c>
      <x:c r="B40" s="19" t="str">
        <x:v>版本树可用TRUE数</x:v>
      </x:c>
      <x:c r="C40" s="152" t="n">
        <x:v>4</x:v>
      </x:c>
      <x:c r="D40" s="152" t="n">
        <x:f>COUNTIF('44_版本树签核'!I6:I9,"TRUE")</x:f>
        <x:v>4</x:v>
      </x:c>
      <x:c r="E40" s="152" t="n">
        <x:v>0</x:v>
      </x:c>
      <x:c r="F40" s="19" t="str">
        <x:f>IF(ABS(C40-D40)&lt;=E40,"PASS","FAIL")</x:f>
        <x:v>PASS</x:v>
      </x:c>
      <x:c r="G40" s="19" t="str">
        <x:v>可进3.1B</x:v>
      </x:c>
    </x:row>
    <x:row r="41" ht="32" customHeight="1">
      <x:c r="A41" s="339" t="str">
        <x:v>C36</x:v>
      </x:c>
      <x:c r="B41" s="339" t="str">
        <x:v>版本树价格桥TRUE数</x:v>
      </x:c>
      <x:c r="C41" s="344" t="n">
        <x:v>0</x:v>
      </x:c>
      <x:c r="D41" s="344" t="n">
        <x:f>COUNTIF('44_版本树签核'!J6:J9,"TRUE")</x:f>
        <x:v>0</x:v>
      </x:c>
      <x:c r="E41" s="344" t="n">
        <x:v>0</x:v>
      </x:c>
      <x:c r="F41" s="339" t="str">
        <x:f>IF(ABS(C41-D41)&lt;=E41,"PASS","FAIL")</x:f>
        <x:v>PASS</x:v>
      </x:c>
      <x:c r="G41" s="339" t="str">
        <x:v>当前必须为0</x:v>
      </x:c>
    </x:row>
    <x:row r="42" ht="32" customHeight="1">
      <x:c r="A42" s="19" t="str">
        <x:v>C37</x:v>
      </x:c>
      <x:c r="B42" s="19" t="str">
        <x:v>签核PROVISIONAL数</x:v>
      </x:c>
      <x:c r="C42" s="152" t="n">
        <x:v>2</x:v>
      </x:c>
      <x:c r="D42" s="152" t="n">
        <x:f>COUNTIF('44_版本树签核'!K6:K9,"PROVISIONAL")</x:f>
        <x:v>2</x:v>
      </x:c>
      <x:c r="E42" s="152" t="n">
        <x:v>0</x:v>
      </x:c>
      <x:c r="F42" s="19" t="str">
        <x:f>IF(ABS(C42-D42)&lt;=E42,"PASS","FAIL")</x:f>
        <x:v>PASS</x:v>
      </x:c>
      <x:c r="G42" s="19" t="str">
        <x:v>两款监管候选</x:v>
      </x:c>
    </x:row>
    <x:row r="43" ht="32" customHeight="1">
      <x:c r="A43" s="339" t="str">
        <x:v>C38</x:v>
      </x:c>
      <x:c r="B43" s="339" t="str">
        <x:v>桥接拓扑边数</x:v>
      </x:c>
      <x:c r="C43" s="344" t="n">
        <x:v>3</x:v>
      </x:c>
      <x:c r="D43" s="344" t="n">
        <x:f>COUNTA('45_桥接拓扑'!A6:A8)</x:f>
        <x:v>3</x:v>
      </x:c>
      <x:c r="E43" s="344" t="n">
        <x:v>0</x:v>
      </x:c>
      <x:c r="F43" s="339" t="str">
        <x:f>IF(ABS(C43-D43)&lt;=E43,"PASS","FAIL")</x:f>
        <x:v>PASS</x:v>
      </x:c>
      <x:c r="G43" s="339" t="str">
        <x:v>B1/B2/B3</x:v>
      </x:c>
    </x:row>
    <x:row r="44" ht="32" customHeight="1">
      <x:c r="A44" s="19" t="str">
        <x:v>C39</x:v>
      </x:c>
      <x:c r="B44" s="19" t="str">
        <x:v>pricing_enabled TRUE边数</x:v>
      </x:c>
      <x:c r="C44" s="152" t="n">
        <x:v>0</x:v>
      </x:c>
      <x:c r="D44" s="152" t="n">
        <x:f>COUNTIF('45_桥接拓扑'!I6:I8,"TRUE")</x:f>
        <x:v>0</x:v>
      </x:c>
      <x:c r="E44" s="152" t="n">
        <x:v>0</x:v>
      </x:c>
      <x:c r="F44" s="19" t="str">
        <x:f>IF(ABS(C44-D44)&lt;=E44,"PASS","FAIL")</x:f>
        <x:v>PASS</x:v>
      </x:c>
      <x:c r="G44" s="19" t="str">
        <x:v>必须为0</x:v>
      </x:c>
    </x:row>
    <x:row r="45" ht="32" customHeight="1">
      <x:c r="A45" s="339" t="str">
        <x:v>C40</x:v>
      </x:c>
      <x:c r="B45" s="339" t="str">
        <x:v>topology provisional边数</x:v>
      </x:c>
      <x:c r="C45" s="344" t="n">
        <x:v>3</x:v>
      </x:c>
      <x:c r="D45" s="344" t="n">
        <x:f>COUNTIF('45_桥接拓扑'!H6:H8,"PROVISIONAL")</x:f>
        <x:v>3</x:v>
      </x:c>
      <x:c r="E45" s="344" t="n">
        <x:v>0</x:v>
      </x:c>
      <x:c r="F45" s="339" t="str">
        <x:f>IF(ABS(C45-D45)&lt;=E45,"PASS","FAIL")</x:f>
        <x:v>PASS</x:v>
      </x:c>
      <x:c r="G45" s="339" t="str">
        <x:v>拓扑先建</x:v>
      </x:c>
    </x:row>
    <x:row r="46" ht="32" customHeight="1">
      <x:c r="A46" s="19" t="str">
        <x:v>C41</x:v>
      </x:c>
      <x:c r="B46" s="19" t="str">
        <x:v>B1门槛错误触发数</x:v>
      </x:c>
      <x:c r="C46" s="152" t="n">
        <x:v>0</x:v>
      </x:c>
      <x:c r="D46" s="152" t="n">
        <x:f>COUNTIF('45_桥接拓扑'!K6,"*G_ladder=TRUE*")</x:f>
        <x:v>0</x:v>
      </x:c>
      <x:c r="E46" s="152" t="n">
        <x:v>0</x:v>
      </x:c>
      <x:c r="F46" s="19" t="str">
        <x:f>IF(ABS(C46-D46)&lt;=E46,"PASS","FAIL")</x:f>
        <x:v>PASS</x:v>
      </x:c>
      <x:c r="G46" s="19" t="str">
        <x:v>Max名称不能触发</x:v>
      </x:c>
    </x:row>
    <x:row r="47" ht="32" customHeight="1">
      <x:c r="A47" s="339" t="str">
        <x:v>C42</x:v>
      </x:c>
      <x:c r="B47" s="339" t="str">
        <x:v>B2固定跨车系常数引用数</x:v>
      </x:c>
      <x:c r="C47" s="344" t="n">
        <x:v>0</x:v>
      </x:c>
      <x:c r="D47" s="344" t="n">
        <x:f>COUNTIF('45_桥接拓扑'!G7:N7,"*固定跨车系常数*")</x:f>
        <x:v>0</x:v>
      </x:c>
      <x:c r="E47" s="344" t="n">
        <x:v>0</x:v>
      </x:c>
      <x:c r="F47" s="339" t="str">
        <x:f>IF(ABS(C47-D47)&lt;=E47,"PASS","FAIL")</x:f>
        <x:v>PASS</x:v>
      </x:c>
      <x:c r="G47" s="339" t="str">
        <x:v>不得引用</x:v>
      </x:c>
    </x:row>
    <x:row r="48" ht="32" customHeight="1">
      <x:c r="A48" s="19" t="str">
        <x:v>C43</x:v>
      </x:c>
      <x:c r="B48" s="19" t="str">
        <x:v>B3特殊bottom-up标记数</x:v>
      </x:c>
      <x:c r="C48" s="152" t="n">
        <x:v>1</x:v>
      </x:c>
      <x:c r="D48" s="152" t="n">
        <x:f>IF('45_桥接拓扑'!G8="κ×普通硬件 + SPECIAL_BOTTOM_UP",1,0)</x:f>
        <x:v>1</x:v>
      </x:c>
      <x:c r="E48" s="152" t="n">
        <x:v>0</x:v>
      </x:c>
      <x:c r="F48" s="19" t="str">
        <x:f>IF(ABS(C48-D48)&lt;=E48,"PASS","FAIL")</x:f>
        <x:v>PASS</x:v>
      </x:c>
      <x:c r="G48" s="19" t="str">
        <x:v>必须单列</x:v>
      </x:c>
    </x:row>
    <x:row r="49" ht="32" customHeight="1">
      <x:c r="A49" s="339" t="str">
        <x:v>C44</x:v>
      </x:c>
      <x:c r="B49" s="339" t="str">
        <x:v>OPEN类问题数</x:v>
      </x:c>
      <x:c r="C49" s="344" t="n">
        <x:v>6</x:v>
      </x:c>
      <x:c r="D49" s="344" t="n">
        <x:f>COUNTIF('46_冲突与防重'!G6:G19,"OPEN")+COUNTIF('46_冲突与防重'!G6:G19,"OPEN_NONBLOCKING")</x:f>
        <x:v>6</x:v>
      </x:c>
      <x:c r="E49" s="344" t="n">
        <x:v>0</x:v>
      </x:c>
      <x:c r="F49" s="339" t="str">
        <x:f>IF(ABS(C49-D49)&lt;=E49,"PASS","FAIL")</x:f>
        <x:v>PASS</x:v>
      </x:c>
      <x:c r="G49" s="339" t="str">
        <x:v>保持显式缺口</x:v>
      </x:c>
    </x:row>
    <x:row r="50" ht="32" customHeight="1">
      <x:c r="A50" s="19" t="str">
        <x:v>C45</x:v>
      </x:c>
      <x:c r="B50" s="19" t="str">
        <x:v>已按E1裁决问题数</x:v>
      </x:c>
      <x:c r="C50" s="152" t="n">
        <x:v>3</x:v>
      </x:c>
      <x:c r="D50" s="152" t="n">
        <x:f>COUNTIF('46_冲突与防重'!G6:G19,"RESOLVED_BY_E1")</x:f>
        <x:v>3</x:v>
      </x:c>
      <x:c r="E50" s="152" t="n">
        <x:v>0</x:v>
      </x:c>
      <x:c r="F50" s="19" t="str">
        <x:f>IF(ABS(C50-D50)&lt;=E50,"PASS","FAIL")</x:f>
        <x:v>PASS</x:v>
      </x:c>
      <x:c r="G50" s="19" t="str">
        <x:v>车高/轴距/化学</x:v>
      </x:c>
    </x:row>
    <x:row r="51" ht="32" customHeight="1">
      <x:c r="A51" s="339" t="str">
        <x:v>C46</x:v>
      </x:c>
      <x:c r="B51" s="339" t="str">
        <x:v>座位double_count_key数</x:v>
      </x:c>
      <x:c r="C51" s="344" t="n">
        <x:v>1</x:v>
      </x:c>
      <x:c r="D51" s="344" t="n">
        <x:f>COUNTIF('46_冲突与防重'!L6:L19,"N90_SEAT_BASE")</x:f>
        <x:v>1</x:v>
      </x:c>
      <x:c r="E51" s="344" t="n">
        <x:v>0</x:v>
      </x:c>
      <x:c r="F51" s="339" t="str">
        <x:f>IF(ABS(C51-D51)&lt;=E51,"PASS","FAIL")</x:f>
        <x:v>PASS</x:v>
      </x:c>
      <x:c r="G51" s="339" t="str">
        <x:v>座位只归一处</x:v>
      </x:c>
    </x:row>
    <x:row r="52" ht="32" customHeight="1">
      <x:c r="A52" s="19" t="str">
        <x:v>C47</x:v>
      </x:c>
      <x:c r="B52" s="19" t="str">
        <x:v>升顶商品化OPEN数</x:v>
      </x:c>
      <x:c r="C52" s="152" t="n">
        <x:v>1</x:v>
      </x:c>
      <x:c r="D52" s="152" t="n">
        <x:f>COUNTIF('46_冲突与防重'!L6:L19,"ROOF_COMMERCIAL")</x:f>
        <x:v>1</x:v>
      </x:c>
      <x:c r="E52" s="152" t="n">
        <x:v>0</x:v>
      </x:c>
      <x:c r="F52" s="19" t="str">
        <x:f>IF(ABS(C52-D52)&lt;=E52,"PASS","FAIL")</x:f>
        <x:v>PASS</x:v>
      </x:c>
      <x:c r="G52" s="19" t="str">
        <x:v>B3应被阻断</x:v>
      </x:c>
    </x:row>
    <x:row r="53" ht="32" customHeight="1">
      <x:c r="A53" s="339" t="str">
        <x:v>C48</x:v>
      </x:c>
      <x:c r="B53" s="339" t="str">
        <x:v>价格口径OPEN数</x:v>
      </x:c>
      <x:c r="C53" s="344" t="n">
        <x:v>1</x:v>
      </x:c>
      <x:c r="D53" s="344" t="n">
        <x:f>COUNTIF('46_冲突与防重'!L6:L19,"PRICE_BASIS")</x:f>
        <x:v>1</x:v>
      </x:c>
      <x:c r="E53" s="344" t="n">
        <x:v>0</x:v>
      </x:c>
      <x:c r="F53" s="339" t="str">
        <x:f>IF(ABS(C53-D53)&lt;=E53,"PASS","FAIL")</x:f>
        <x:v>PASS</x:v>
      </x:c>
      <x:c r="G53" s="339" t="str">
        <x:v>预售锚未闭环</x:v>
      </x:c>
    </x:row>
    <x:row r="54" ht="32" customHeight="1">
      <x:c r="A54" s="19" t="str">
        <x:v>C49</x:v>
      </x:c>
      <x:c r="B54" s="19" t="str">
        <x:v>App身份OPEN数</x:v>
      </x:c>
      <x:c r="C54" s="152" t="n">
        <x:v>1</x:v>
      </x:c>
      <x:c r="D54" s="152" t="n">
        <x:f>COUNTIF('46_冲突与防重'!L6:L19,"APP_IDENTITY")</x:f>
        <x:v>1</x:v>
      </x:c>
      <x:c r="E54" s="152" t="n">
        <x:v>0</x:v>
      </x:c>
      <x:c r="F54" s="19" t="str">
        <x:f>IF(ABS(C54-D54)&lt;=E54,"PASS","FAIL")</x:f>
        <x:v>PASS</x:v>
      </x:c>
      <x:c r="G54" s="19" t="str">
        <x:v>四节点共用一个阻断组</x:v>
      </x:c>
    </x:row>
    <x:row r="55" ht="32" customHeight="1">
      <x:c r="A55" s="339" t="str">
        <x:v>C50</x:v>
      </x:c>
      <x:c r="B55" s="339" t="str">
        <x:v>Phase2.3C通用Max中心</x:v>
      </x:c>
      <x:c r="C55" s="344" t="n">
        <x:v>0</x:v>
      </x:c>
      <x:c r="D55" s="344" t="n">
        <x:f>'35_澎程规则'!C9</x:f>
        <x:v>0</x:v>
      </x:c>
      <x:c r="E55" s="344" t="n">
        <x:v>0.01</x:v>
      </x:c>
      <x:c r="F55" s="339" t="str">
        <x:f>IF(ABS(C55-D55)&lt;=E55,"PASS","FAIL")</x:f>
        <x:v>PASS</x:v>
      </x:c>
      <x:c r="G55" s="339" t="str">
        <x:v>必须保持0</x:v>
      </x:c>
    </x:row>
    <x:row r="56" ht="32" customHeight="1">
      <x:c r="A56" s="19" t="str">
        <x:v>C51</x:v>
      </x:c>
      <x:c r="B56" s="19" t="str">
        <x:v>Phase2.3C Max交互默认权重</x:v>
      </x:c>
      <x:c r="C56" s="152" t="n">
        <x:v>0</x:v>
      </x:c>
      <x:c r="D56" s="152" t="n">
        <x:f>'35_澎程规则'!F10</x:f>
        <x:v>0</x:v>
      </x:c>
      <x:c r="E56" s="152" t="n">
        <x:v>0</x:v>
      </x:c>
      <x:c r="F56" s="19" t="str">
        <x:f>IF(ABS(C56-D56)&lt;=E56,"PASS","FAIL")</x:f>
        <x:v>PASS</x:v>
      </x:c>
      <x:c r="G56" s="19" t="str">
        <x:v>只作诊断</x:v>
      </x:c>
    </x:row>
    <x:row r="57" ht="32" customHeight="1">
      <x:c r="A57" s="339" t="str">
        <x:v>C52</x:v>
      </x:c>
      <x:c r="B57" s="339" t="str">
        <x:v>Phase2.3C共同跨车身默认权重</x:v>
      </x:c>
      <x:c r="C57" s="344" t="n">
        <x:v>0</x:v>
      </x:c>
      <x:c r="D57" s="344" t="n">
        <x:f>'35_澎程规则'!F11</x:f>
        <x:v>0</x:v>
      </x:c>
      <x:c r="E57" s="344" t="n">
        <x:v>0</x:v>
      </x:c>
      <x:c r="F57" s="339" t="str">
        <x:f>IF(ABS(C57-D57)&lt;=E57,"PASS","FAIL")</x:f>
        <x:v>PASS</x:v>
      </x:c>
      <x:c r="G57" s="339" t="str">
        <x:v>不得固定转移</x:v>
      </x:c>
    </x:row>
    <x:row r="58" ht="32" customHeight="1">
      <x:c r="A58" s="19" t="str">
        <x:v>C53</x:v>
      </x:c>
      <x:c r="B58" s="19" t="str">
        <x:v>Phase2.3C特殊机制默认权重</x:v>
      </x:c>
      <x:c r="C58" s="152" t="n">
        <x:v>0</x:v>
      </x:c>
      <x:c r="D58" s="152" t="n">
        <x:f>'35_澎程规则'!F12</x:f>
        <x:v>0</x:v>
      </x:c>
      <x:c r="E58" s="152" t="n">
        <x:v>0</x:v>
      </x:c>
      <x:c r="F58" s="19" t="str">
        <x:f>IF(ABS(C58-D58)&lt;=E58,"PASS","FAIL")</x:f>
        <x:v>PASS</x:v>
      </x:c>
      <x:c r="G58" s="19" t="str">
        <x:v>Phase3另建</x:v>
      </x:c>
    </x:row>
    <x:row r="59" ht="32" customHeight="1">
      <x:c r="A59" s="339" t="str">
        <x:v>C54</x:v>
      </x:c>
      <x:c r="B59" s="339" t="str">
        <x:v>官网预售价节点数</x:v>
      </x:c>
      <x:c r="C59" s="344" t="n">
        <x:v>2</x:v>
      </x:c>
      <x:c r="D59" s="344" t="n">
        <x:f>COUNTIF('41_商业节点'!J6:J9,"OFFICIAL_WEBSITE_PRESALE")</x:f>
        <x:v>2</x:v>
      </x:c>
      <x:c r="E59" s="344" t="n">
        <x:v>0</x:v>
      </x:c>
      <x:c r="F59" s="339" t="str">
        <x:f>IF(ABS(C59-D59)&lt;=E59,"PASS","FAIL")</x:f>
        <x:v>PASS</x:v>
      </x:c>
      <x:c r="G59" s="339" t="str">
        <x:v>官方预售价已确认</x:v>
      </x:c>
    </x:row>
    <x:row r="60" ht="32" customHeight="1">
      <x:c r="A60" s="19" t="str">
        <x:v>C55</x:v>
      </x:c>
      <x:c r="B60" s="19" t="str">
        <x:v>正式指导价节点数</x:v>
      </x:c>
      <x:c r="C60" s="152" t="n">
        <x:v>0</x:v>
      </x:c>
      <x:c r="D60" s="152" t="n">
        <x:f>COUNTIF('41_商业节点'!J6:J9,"LIST_PRICE")</x:f>
        <x:v>0</x:v>
      </x:c>
      <x:c r="E60" s="152" t="n">
        <x:v>0</x:v>
      </x:c>
      <x:c r="F60" s="19" t="str">
        <x:f>IF(ABS(C60-D60)&lt;=E60,"PASS","FAIL")</x:f>
        <x:v>PASS</x:v>
      </x:c>
      <x:c r="G60" s="19" t="str">
        <x:v>尚未形成</x:v>
      </x:c>
    </x:row>
    <x:row r="61" ht="32" customHeight="1">
      <x:c r="A61" s="339" t="str">
        <x:v>C56</x:v>
      </x:c>
      <x:c r="B61" s="339" t="str">
        <x:v>错误ACCEPTED_HIGH数</x:v>
      </x:c>
      <x:c r="C61" s="344" t="n">
        <x:v>0</x:v>
      </x:c>
      <x:c r="D61" s="344" t="n">
        <x:f>COUNTIF('43_映射候选评分'!T6:T13,"ACCEPTED_HIGH")</x:f>
        <x:v>0</x:v>
      </x:c>
      <x:c r="E61" s="344" t="n">
        <x:v>0</x:v>
      </x:c>
      <x:c r="F61" s="339" t="str">
        <x:f>IF(ABS(C61-D61)&lt;=E61,"PASS","FAIL")</x:f>
        <x:v>PASS</x:v>
      </x:c>
      <x:c r="G61" s="339" t="str">
        <x:v>已闭环两款仍缺足够覆盖与App锁</x:v>
      </x:c>
    </x:row>
    <x:row r="62" ht="32" customHeight="1">
      <x:c r="A62" s="19" t="str">
        <x:v>C57</x:v>
      </x:c>
      <x:c r="B62" s="19" t="str">
        <x:v>签核ACCEPTED_MEDIUM数</x:v>
      </x:c>
      <x:c r="C62" s="152" t="n">
        <x:v>2</x:v>
      </x:c>
      <x:c r="D62" s="152" t="n">
        <x:f>COUNTIF('44_版本树签核'!K6:K9,"ACCEPTED_MEDIUM")</x:f>
        <x:v>2</x:v>
      </x:c>
      <x:c r="E62" s="152" t="n">
        <x:v>0</x:v>
      </x:c>
      <x:c r="F62" s="19" t="str">
        <x:f>IF(ABS(C62-D62)&lt;=E62,"PASS","FAIL")</x:f>
        <x:v>PASS</x:v>
      </x:c>
      <x:c r="G62" s="19" t="str">
        <x:v>两款官网Max</x:v>
      </x:c>
    </x:row>
    <x:row r="63" ht="32" customHeight="1">
      <x:c r="A63" s="339" t="str">
        <x:v>C58</x:v>
      </x:c>
      <x:c r="B63" s="339" t="str">
        <x:v>E1-X官网来源数</x:v>
      </x:c>
      <x:c r="C63" s="344" t="n">
        <x:v>1</x:v>
      </x:c>
      <x:c r="D63" s="344" t="n">
        <x:f>COUNTIF('38_来源与主张'!C6:C14,"E1-X_WEB")</x:f>
        <x:v>1</x:v>
      </x:c>
      <x:c r="E63" s="344" t="n">
        <x:v>0</x:v>
      </x:c>
      <x:c r="F63" s="339" t="str">
        <x:f>IF(ABS(C63-D63)&lt;=E63,"PASS","FAIL")</x:f>
        <x:v>PASS</x:v>
      </x:c>
      <x:c r="G63" s="339" t="str">
        <x:v>官网首页商业端证据</x:v>
      </x:c>
    </x:row>
    <x:row r="65" ht="24" customHeight="1">
      <x:c r="A65" s="342" t="str">
        <x:v>阶段状态</x:v>
      </x:c>
      <x:c r="B65" s="342"/>
      <x:c r="C65" s="342"/>
      <x:c r="D65" s="342"/>
      <x:c r="E65" s="342"/>
      <x:c r="F65" s="342"/>
      <x:c r="G65" s="342"/>
    </x:row>
    <x:row r="66" ht="42" customHeight="1">
      <x:c r="A66" s="19" t="str">
        <x:v>失败检查数</x:v>
      </x:c>
      <x:c r="B66" s="19" t="n">
        <x:f>COUNTIF(F6:F63,"FAIL")</x:f>
        <x:v>0</x:v>
      </x:c>
      <x:c r="C66" s="19" t="str">
        <x:v>VERSION_TREE_STATUS</x:v>
      </x:c>
      <x:c r="D66" s="19" t="str">
        <x:f>IF(B66=0,"READY_FOR_PHASE_3.1B_WITH_PROVISIONAL_TREE","REVIEW_REQUIRED")</x:f>
        <x:v>READY_FOR_PHASE_3.1B_WITH_PROVISIONAL_TREE</x:v>
      </x:c>
      <x:c r="E66" s="19" t="str"/>
      <x:c r="F66" s="19" t="str"/>
      <x:c r="G66" s="19" t="str"/>
    </x:row>
    <x:row r="67" ht="42" customHeight="1">
      <x:c r="A67" s="339" t="str">
        <x:v>商业节点锁定数</x:v>
      </x:c>
      <x:c r="B67" s="339" t="n">
        <x:f>COUNTIF('42_App销售SKU'!P6:P9,"TRUE")</x:f>
        <x:v>0</x:v>
      </x:c>
      <x:c r="C67" s="339" t="str">
        <x:v>COMMERCIAL_LOCK_STATUS</x:v>
      </x:c>
      <x:c r="D67" s="339" t="str">
        <x:f>IF(B67=4,"LOCKED","PROVISIONAL")</x:f>
        <x:v>PROVISIONAL</x:v>
      </x:c>
      <x:c r="E67" s="339" t="str"/>
      <x:c r="F67" s="339" t="str"/>
      <x:c r="G67" s="339" t="str"/>
    </x:row>
    <x:row r="68" ht="42" customHeight="1">
      <x:c r="A68" s="19" t="str">
        <x:v>价格桥启用边数</x:v>
      </x:c>
      <x:c r="B68" s="19" t="n">
        <x:f>COUNTIF('45_桥接拓扑'!I6:I8,"TRUE")</x:f>
        <x:v>0</x:v>
      </x:c>
      <x:c r="C68" s="19" t="str">
        <x:v>PRICE_BRIDGE_STATUS</x:v>
      </x:c>
      <x:c r="D68" s="19" t="str">
        <x:f>IF(B68=3,"READY","BLOCKED_APP_AND_COMMERCIAL_LOCK")</x:f>
        <x:v>BLOCKED_APP_AND_COMMERCIAL_LOCK</x:v>
      </x:c>
      <x:c r="E68" s="19" t="str"/>
      <x:c r="F68" s="19" t="str"/>
      <x:c r="G68" s="19" t="str"/>
    </x:row>
  </x:sheetData>
  <x:mergeCells>
    <x:mergeCell ref="A1:G1"/>
    <x:mergeCell ref="A2:G2"/>
    <x:mergeCell ref="A3:G3"/>
    <x:mergeCell ref="A65:G65"/>
  </x:mergeCells>
  <x:conditionalFormatting sqref="F6:F63">
    <x:cfRule type="containsText" dxfId="629" priority="1" operator="containsText" text="PASS"/>
    <x:cfRule type="containsText" dxfId="630" priority="2" operator="containsText" text="READY"/>
    <x:cfRule type="containsText" dxfId="631" priority="3" operator="containsText" text="TRUE"/>
    <x:cfRule type="containsText" dxfId="632" priority="4" operator="containsText" text="RESOLVED"/>
    <x:cfRule type="containsText" dxfId="633" priority="5" operator="containsText" text="E1-G"/>
    <x:cfRule type="containsText" dxfId="634" priority="6" operator="containsText" text="PROVISIONAL"/>
    <x:cfRule type="containsText" dxfId="635" priority="7" operator="containsText" text="PENDING"/>
    <x:cfRule type="containsText" dxfId="636" priority="8" operator="containsText" text="PUBLIC_NOTICE"/>
    <x:cfRule type="containsText" dxfId="637" priority="9" operator="containsText" text="BOUNDARY"/>
    <x:cfRule type="containsText" dxfId="638" priority="10" operator="containsText" text="TOPOLOGY"/>
    <x:cfRule type="containsText" dxfId="639" priority="11" operator="containsText" text="REFERENCE"/>
    <x:cfRule type="containsText" dxfId="640" priority="12" operator="containsText" text="BLOCKED"/>
    <x:cfRule type="containsText" dxfId="641" priority="13" operator="containsText" text="FAIL"/>
    <x:cfRule type="containsText" dxfId="642" priority="14" operator="containsText" text="FALSE"/>
    <x:cfRule type="containsText" dxfId="643" priority="15" operator="containsText" text="REJECTED"/>
    <x:cfRule type="containsText" dxfId="644" priority="16" operator="containsText" text="MISMATCH"/>
    <x:cfRule type="containsText" dxfId="645" priority="17" operator="containsText" text="OPEN"/>
  </x:conditionalFormatting>
  <x:conditionalFormatting sqref="D66:D68">
    <x:cfRule type="containsText" dxfId="646" priority="18" operator="containsText" text="PASS"/>
    <x:cfRule type="containsText" dxfId="647" priority="19" operator="containsText" text="READY"/>
    <x:cfRule type="containsText" dxfId="648" priority="20" operator="containsText" text="TRUE"/>
    <x:cfRule type="containsText" dxfId="649" priority="21" operator="containsText" text="RESOLVED"/>
    <x:cfRule type="containsText" dxfId="650" priority="22" operator="containsText" text="E1-G"/>
    <x:cfRule type="containsText" dxfId="651" priority="23" operator="containsText" text="PROVISIONAL"/>
    <x:cfRule type="containsText" dxfId="652" priority="24" operator="containsText" text="PENDING"/>
    <x:cfRule type="containsText" dxfId="653" priority="25" operator="containsText" text="PUBLIC_NOTICE"/>
    <x:cfRule type="containsText" dxfId="654" priority="26" operator="containsText" text="BOUNDARY"/>
    <x:cfRule type="containsText" dxfId="655" priority="27" operator="containsText" text="TOPOLOGY"/>
    <x:cfRule type="containsText" dxfId="656" priority="28" operator="containsText" text="REFERENCE"/>
    <x:cfRule type="containsText" dxfId="657" priority="29" operator="containsText" text="BLOCKED"/>
    <x:cfRule type="containsText" dxfId="658" priority="30" operator="containsText" text="FAIL"/>
    <x:cfRule type="containsText" dxfId="659" priority="31" operator="containsText" text="FALSE"/>
    <x:cfRule type="containsText" dxfId="660" priority="32" operator="containsText" text="REJECTED"/>
    <x:cfRule type="containsText" dxfId="661" priority="33" operator="containsText" text="MISMATCH"/>
    <x:cfRule type="containsText" dxfId="662" priority="34" operator="containsText" text="OPEN"/>
  </x:conditionalFormatting>
  <x:pageMargins left="0.7" right="0.7" top="0.75" bottom="0.75" header="0.3" footer="0.3"/>
</x:worksheet>
</file>

<file path=xl/worksheets/sheet4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48" hidden="0" customWidth="1"/>
    <x:col min="4" max="4" width="32" hidden="0" customWidth="1"/>
    <x:col min="5" max="5" width="34" hidden="0" customWidth="1"/>
    <x:col min="6" max="6" width="24" hidden="0" customWidth="1"/>
    <x:col min="7" max="7" width="34" hidden="0" customWidth="1"/>
    <x:col min="8" max="8" width="48" hidden="0" customWidth="1"/>
  </x:cols>
  <x:sheetData>
    <x:row r="1" ht="30" customHeight="1">
      <x:c r="A1" s="356" t="str">
        <x:v>48｜Phase 3.1B 发布会配置映射口径</x:v>
      </x:c>
      <x:c r="B1" s="356"/>
      <x:c r="C1" s="356"/>
      <x:c r="D1" s="356"/>
      <x:c r="E1" s="356"/>
      <x:c r="F1" s="356"/>
      <x:c r="G1" s="356"/>
      <x:c r="H1" s="356"/>
    </x:row>
    <x:row r="2" ht="22" customHeight="1">
      <x:c r="A2" s="359" t="str">
        <x:v>发布会/官方产品页事实 → 版本配置状态 → 工信部回勾 → App身份隔离</x:v>
      </x:c>
      <x:c r="B2" s="359"/>
      <x:c r="C2" s="359"/>
      <x:c r="D2" s="359"/>
      <x:c r="E2" s="359"/>
      <x:c r="F2" s="359"/>
      <x:c r="G2" s="359"/>
      <x:c r="H2" s="359"/>
    </x:row>
    <x:row r="3" ht="54" customHeight="1">
      <x:c r="A3" s="363" t="str">
        <x:v>本阶段锁定的是“技术发布后、正式上市前”的公开配置边界。官网产品页或发布会写“搭载/配备”只能证明该功能被展示或可取得；只有明确“标配/全系标配”才进入发布时点临时BOM。App当前标配仍须车辆SKU与配置修订原件。</x:v>
      </x:c>
      <x:c r="B3" s="363"/>
      <x:c r="C3" s="363"/>
      <x:c r="D3" s="363"/>
      <x:c r="E3" s="363"/>
      <x:c r="F3" s="363"/>
      <x:c r="G3" s="363"/>
      <x:c r="H3" s="363"/>
    </x:row>
    <x:row r="5" ht="48" customHeight="1">
      <x:c r="A5" s="368" t="str">
        <x:v>状态轴</x:v>
      </x:c>
      <x:c r="B5" s="368" t="str">
        <x:v>允许值</x:v>
      </x:c>
      <x:c r="C5" s="368" t="str">
        <x:v>证据含义</x:v>
      </x:c>
      <x:c r="D5" s="368" t="str">
        <x:v>是否进发布时点临时BOM</x:v>
      </x:c>
      <x:c r="E5" s="368" t="str">
        <x:v>是否进App当前BOM</x:v>
      </x:c>
      <x:c r="F5" s="368" t="str">
        <x:v>能否定价</x:v>
      </x:c>
      <x:c r="G5" s="368" t="str">
        <x:v>本阶段结果</x:v>
      </x:c>
      <x:c r="H5" s="368" t="str">
        <x:v>关键边界</x:v>
      </x:c>
    </x:row>
    <x:row r="6" ht="54" customHeight="1">
      <x:c r="A6" s="19" t="str">
        <x:v>release_availability</x:v>
      </x:c>
      <x:c r="B6" s="19" t="str">
        <x:v>STANDARD_AT_RELEASE</x:v>
      </x:c>
      <x:c r="C6" s="19" t="str">
        <x:v>原文明确“标配/全系标配”</x:v>
      </x:c>
      <x:c r="D6" s="19" t="str">
        <x:v>是</x:v>
      </x:c>
      <x:c r="E6" s="19" t="str">
        <x:v>否</x:v>
      </x:c>
      <x:c r="F6" s="19" t="str">
        <x:v>仅可做临时成本拆项</x:v>
      </x:c>
      <x:c r="G6" s="19" t="str">
        <x:v>已识别</x:v>
      </x:c>
      <x:c r="H6" s="19" t="str">
        <x:v>不自动等于App当前标配</x:v>
      </x:c>
    </x:row>
    <x:row r="7" ht="54" customHeight="1">
      <x:c r="A7" s="369" t="str">
        <x:v>release_availability</x:v>
      </x:c>
      <x:c r="B7" s="369" t="str">
        <x:v>OPTIONAL_AT_RELEASE</x:v>
      </x:c>
      <x:c r="C7" s="369" t="str">
        <x:v>原文明确“可选/可选装”</x:v>
      </x:c>
      <x:c r="D7" s="369" t="str">
        <x:v>否</x:v>
      </x:c>
      <x:c r="E7" s="369" t="str">
        <x:v>否</x:v>
      </x:c>
      <x:c r="F7" s="369" t="str">
        <x:v>只进入选装候选</x:v>
      </x:c>
      <x:c r="G7" s="369" t="str">
        <x:v>N90已识别多项</x:v>
      </x:c>
      <x:c r="H7" s="369" t="str">
        <x:v>没有选装价时不得估价为官方价</x:v>
      </x:c>
    </x:row>
    <x:row r="8" ht="54" customHeight="1">
      <x:c r="A8" s="19" t="str">
        <x:v>release_availability</x:v>
      </x:c>
      <x:c r="B8" s="19" t="str">
        <x:v>SEPARATE_PURCHASE</x:v>
      </x:c>
      <x:c r="C8" s="19" t="str">
        <x:v>原文明确需单独/自行购买</x:v>
      </x:c>
      <x:c r="D8" s="19" t="str">
        <x:v>否</x:v>
      </x:c>
      <x:c r="E8" s="19" t="str">
        <x:v>否</x:v>
      </x:c>
      <x:c r="F8" s="19" t="str">
        <x:v>只进入附件候选</x:v>
      </x:c>
      <x:c r="G8" s="19" t="str">
        <x:v>N90已识别多项</x:v>
      </x:c>
      <x:c r="H8" s="19" t="str">
        <x:v>附件不并入整车基础BOM</x:v>
      </x:c>
    </x:row>
    <x:row r="9" ht="54" customHeight="1">
      <x:c r="A9" s="369" t="str">
        <x:v>release_availability</x:v>
      </x:c>
      <x:c r="B9" s="369" t="str">
        <x:v>EQUIPPED_STANDARD_UNCONFIRMED</x:v>
      </x:c>
      <x:c r="C9" s="369" t="str">
        <x:v>单车产品页明确展示，但未逐项写标配</x:v>
      </x:c>
      <x:c r="D9" s="369" t="str">
        <x:v>否</x:v>
      </x:c>
      <x:c r="E9" s="369" t="str">
        <x:v>否</x:v>
      </x:c>
      <x:c r="F9" s="369" t="str">
        <x:v>仅作配置事实与后续核验</x:v>
      </x:c>
      <x:c r="G9" s="369" t="str">
        <x:v>N90覆盖高、N70覆盖中</x:v>
      </x:c>
      <x:c r="H9" s="369" t="str">
        <x:v>Phase3.1C再裁定标配/选装</x:v>
      </x:c>
    </x:row>
    <x:row r="10" ht="54" customHeight="1">
      <x:c r="A10" s="19" t="str">
        <x:v>release_availability</x:v>
      </x:c>
      <x:c r="B10" s="19" t="str">
        <x:v>SERIES_CAPABILITY</x:v>
      </x:c>
      <x:c r="C10" s="19" t="str">
        <x:v>平台/系列级“支持/搭载”</x:v>
      </x:c>
      <x:c r="D10" s="19" t="str">
        <x:v>否</x:v>
      </x:c>
      <x:c r="E10" s="19" t="str">
        <x:v>否</x:v>
      </x:c>
      <x:c r="F10" s="19" t="str">
        <x:v>不能直接下放成本</x:v>
      </x:c>
      <x:c r="G10" s="19" t="str">
        <x:v>仅传播到已发布Max并保留父主张</x:v>
      </x:c>
      <x:c r="H10" s="19" t="str">
        <x:v>不得传播到监管候选节点</x:v>
      </x:c>
    </x:row>
    <x:row r="11" ht="54" customHeight="1">
      <x:c r="A11" s="369" t="str">
        <x:v>app_availability</x:v>
      </x:c>
      <x:c r="B11" s="369" t="str">
        <x:v>NOT_EVIDENCED</x:v>
      </x:c>
      <x:c r="C11" s="369" t="str">
        <x:v>没有车辆SKU+配置修订原件</x:v>
      </x:c>
      <x:c r="D11" s="369" t="str">
        <x:v>不适用</x:v>
      </x:c>
      <x:c r="E11" s="369" t="str">
        <x:v>否</x:v>
      </x:c>
      <x:c r="F11" s="369" t="str">
        <x:v>否</x:v>
      </x:c>
      <x:c r="G11" s="369" t="str">
        <x:v>全部保持NOT_EVIDENCED</x:v>
      </x:c>
      <x:c r="H11" s="369" t="str">
        <x:v>意向金商品≠车辆SKU</x:v>
      </x:c>
    </x:row>
    <x:row r="12" ht="54" customHeight="1">
      <x:c r="A12" s="19" t="str">
        <x:v>homologation_status</x:v>
      </x:c>
      <x:c r="B12" s="19" t="str">
        <x:v>MATCH / NOT_COMPARABLE / OUT_OF_SCOPE</x:v>
      </x:c>
      <x:c r="C12" s="19" t="str">
        <x:v>监管事实与发布事实逐项回勾</x:v>
      </x:c>
      <x:c r="D12" s="19" t="str">
        <x:v>不适用</x:v>
      </x:c>
      <x:c r="E12" s="19" t="str">
        <x:v>不适用</x:v>
      </x:c>
      <x:c r="F12" s="19" t="str">
        <x:v>只决定映射可信度</x:v>
      </x:c>
      <x:c r="G12" s="19" t="str">
        <x:v>无硬冲突</x:v>
      </x:c>
      <x:c r="H12" s="19" t="str">
        <x:v>循环不同的续航不得判冲突</x:v>
      </x:c>
    </x:row>
    <x:row r="13" ht="54" customHeight="1">
      <x:c r="A13" s="369" t="str">
        <x:v>price_bridge</x:v>
      </x:c>
      <x:c r="B13" s="369" t="str">
        <x:v>BLOCKED_APP_SKU_AND_PRICE_BASIS</x:v>
      </x:c>
      <x:c r="C13" s="369" t="str">
        <x:v>B1/B2/B3两端均未锁App车辆SKU</x:v>
      </x:c>
      <x:c r="D13" s="369" t="str">
        <x:v>不适用</x:v>
      </x:c>
      <x:c r="E13" s="369" t="str">
        <x:v>不适用</x:v>
      </x:c>
      <x:c r="F13" s="369" t="str">
        <x:v>否</x:v>
      </x:c>
      <x:c r="G13" s="369" t="str">
        <x:v>0/3启用</x:v>
      </x:c>
      <x:c r="H13" s="369" t="str">
        <x:v>预售价不等于正式指导价</x:v>
      </x:c>
    </x:row>
    <x:row r="15" ht="24" customHeight="1">
      <x:c r="A15" s="372" t="str">
        <x:v>本阶段的四个关键判断</x:v>
      </x:c>
      <x:c r="B15" s="372"/>
      <x:c r="C15" s="372"/>
      <x:c r="D15" s="372"/>
      <x:c r="E15" s="372"/>
      <x:c r="F15" s="372"/>
      <x:c r="G15" s="372"/>
      <x:c r="H15" s="372"/>
    </x:row>
    <x:row r="16" ht="42" customHeight="1">
      <x:c r="A16" s="368" t="str">
        <x:v>判断ID</x:v>
      </x:c>
      <x:c r="B16" s="368" t="str">
        <x:v>对象</x:v>
      </x:c>
      <x:c r="C16" s="368" t="str">
        <x:v>结论</x:v>
      </x:c>
      <x:c r="D16" s="368" t="str">
        <x:v>证据覆盖</x:v>
      </x:c>
      <x:c r="E16" s="368" t="str">
        <x:v>版本状态</x:v>
      </x:c>
      <x:c r="F16" s="368" t="str">
        <x:v>App状态</x:v>
      </x:c>
      <x:c r="G16" s="368" t="str">
        <x:v>下一步</x:v>
      </x:c>
      <x:c r="H16" s="368" t="str">
        <x:v>反向约束</x:v>
      </x:c>
    </x:row>
    <x:row r="17" ht="58" customHeight="1">
      <x:c r="A17" s="19" t="str">
        <x:v>D01</x:v>
      </x:c>
      <x:c r="B17" s="19" t="str">
        <x:v>N70 Max</x:v>
      </x:c>
      <x:c r="C17" s="19" t="str">
        <x:v>505km是N70 Max单车CLTC纯电值；空气弹簧+连续阻尼减振器明确标配</x:v>
      </x:c>
      <x:c r="D17" s="19" t="str">
        <x:v>官方账号/雷军发布内容</x:v>
      </x:c>
      <x:c r="E17" s="19" t="str">
        <x:v>PARTIAL_RELEASE_MAPPING</x:v>
      </x:c>
      <x:c r="F17" s="19" t="str">
        <x:v>NOT_EVIDENCED</x:v>
      </x:c>
      <x:c r="G17" s="19" t="str">
        <x:v>3.1C补全座舱/选装边界</x:v>
      </x:c>
      <x:c r="H17" s="19" t="str">
        <x:v>76kWh仍未获N70单车E1-X配置表绑定</x:v>
      </x:c>
    </x:row>
    <x:row r="18" ht="58" customHeight="1">
      <x:c r="A18" s="369" t="str">
        <x:v>D02</x:v>
      </x:c>
      <x:c r="B18" s="369" t="str">
        <x:v>N90 Max</x:v>
      </x:c>
      <x:c r="C18" s="369" t="str">
        <x:v>官网单车口径为76kWh、CLTC纯电464km、综合1705km，并披露大量选装/另购边界</x:v>
      </x:c>
      <x:c r="D18" s="369" t="str">
        <x:v>小米汽车独立产品页</x:v>
      </x:c>
      <x:c r="E18" s="369" t="str">
        <x:v>READY_FOR_3.1C_WITH_RELEASE_BOUNDARY</x:v>
      </x:c>
      <x:c r="F18" s="369" t="str">
        <x:v>NOT_EVIDENCED</x:v>
      </x:c>
      <x:c r="G18" s="369" t="str">
        <x:v>3.1C逐项裁定标配</x:v>
      </x:c>
      <x:c r="H18" s="369" t="str">
        <x:v>“全系最长505km”不得下放给N90</x:v>
      </x:c>
    </x:row>
    <x:row r="19" ht="58" customHeight="1">
      <x:c r="A19" s="19" t="str">
        <x:v>D03</x:v>
      </x:c>
      <x:c r="B19" s="19" t="str">
        <x:v>N70低阶候选</x:v>
      </x:c>
      <x:c r="C19" s="19" t="str">
        <x:v>工信部完整型号存在，但商业后缀、轴位与商品入口仍未锁</x:v>
      </x:c>
      <x:c r="D19" s="19" t="str">
        <x:v>监管E1-G</x:v>
      </x:c>
      <x:c r="E19" s="19" t="str">
        <x:v>REGULATORY_ONLY_CANDIDATE</x:v>
      </x:c>
      <x:c r="F19" s="19" t="str">
        <x:v>NOT_EVIDENCED</x:v>
      </x:c>
      <x:c r="G19" s="19" t="str">
        <x:v>等待官方版本卡/App SKU</x:v>
      </x:c>
      <x:c r="H19" s="19" t="str">
        <x:v>不得从N70 Max反向下放</x:v>
      </x:c>
    </x:row>
    <x:row r="20" ht="58" customHeight="1">
      <x:c r="A20" s="369" t="str">
        <x:v>D04</x:v>
      </x:c>
      <x:c r="B20" s="369" t="str">
        <x:v>N90升顶候选</x:v>
      </x:c>
      <x:c r="C20" s="369" t="str">
        <x:v>升顶结构已准入，仍无独立商品化证据</x:v>
      </x:c>
      <x:c r="D20" s="369" t="str">
        <x:v>监管E1-G</x:v>
      </x:c>
      <x:c r="E20" s="369" t="str">
        <x:v>HOMOLOGATED_NOT_COMMERCIALIZED</x:v>
      </x:c>
      <x:c r="F20" s="369" t="str">
        <x:v>NOT_EVIDENCED</x:v>
      </x:c>
      <x:c r="G20" s="369" t="str">
        <x:v>等待商品入口/价格</x:v>
      </x:c>
      <x:c r="H20" s="369" t="str">
        <x:v>不得从普通N90 Max下放</x:v>
      </x:c>
    </x:row>
  </x:sheetData>
  <x:mergeCells>
    <x:mergeCell ref="A1:H1"/>
    <x:mergeCell ref="A2:H2"/>
    <x:mergeCell ref="A3:H3"/>
    <x:mergeCell ref="A15:H15"/>
  </x:mergeCells>
  <x:conditionalFormatting sqref="B6:G13">
    <x:cfRule type="containsText" dxfId="680" priority="1" operator="containsText" text="PASS"/>
    <x:cfRule type="containsText" dxfId="681" priority="2" operator="containsText" text="READY"/>
    <x:cfRule type="containsText" dxfId="682" priority="3" operator="containsText" text="TRUE"/>
    <x:cfRule type="containsText" dxfId="683" priority="4" operator="containsText" text="MATCH"/>
    <x:cfRule type="containsText" dxfId="684" priority="5" operator="containsText" text="STANDARD"/>
    <x:cfRule type="containsText" dxfId="685" priority="6" operator="containsText" text="ACCEPTED"/>
    <x:cfRule type="containsText" dxfId="686" priority="7" operator="containsText" text="OPTIONAL"/>
    <x:cfRule type="containsText" dxfId="687" priority="8" operator="containsText" text="SEPARATE_PURCHASE"/>
    <x:cfRule type="containsText" dxfId="688" priority="9" operator="containsText" text="EQUIPPED"/>
    <x:cfRule type="containsText" dxfId="689" priority="10" operator="containsText" text="PARTIAL"/>
    <x:cfRule type="containsText" dxfId="690" priority="11" operator="containsText" text="PENDING"/>
    <x:cfRule type="containsText" dxfId="691" priority="12" operator="containsText" text="NOT_DISCLOSED"/>
    <x:cfRule type="containsText" dxfId="692" priority="13" operator="containsText" text="NOT_EVIDENCED"/>
    <x:cfRule type="containsText" dxfId="693" priority="14" operator="containsText" text="NOT_COMPARABLE"/>
    <x:cfRule type="containsText" dxfId="694" priority="15" operator="containsText" text="PROVISIONAL"/>
    <x:cfRule type="containsText" dxfId="695" priority="16" operator="containsText" text="BLOCKED"/>
    <x:cfRule type="containsText" dxfId="696" priority="17" operator="containsText" text="FAIL"/>
    <x:cfRule type="containsText" dxfId="697" priority="18" operator="containsText" text="FALSE"/>
    <x:cfRule type="containsText" dxfId="698" priority="19" operator="containsText" text="CONFLICT"/>
    <x:cfRule type="containsText" dxfId="699" priority="20" operator="containsText" text="MISMATCH_HARD"/>
    <x:cfRule type="containsText" dxfId="700" priority="21" operator="containsText" text="REJECTED"/>
  </x:conditionalFormatting>
  <x:conditionalFormatting sqref="C17:G20">
    <x:cfRule type="containsText" dxfId="701" priority="22" operator="containsText" text="PASS"/>
    <x:cfRule type="containsText" dxfId="702" priority="23" operator="containsText" text="READY"/>
    <x:cfRule type="containsText" dxfId="703" priority="24" operator="containsText" text="TRUE"/>
    <x:cfRule type="containsText" dxfId="704" priority="25" operator="containsText" text="MATCH"/>
    <x:cfRule type="containsText" dxfId="705" priority="26" operator="containsText" text="STANDARD"/>
    <x:cfRule type="containsText" dxfId="706" priority="27" operator="containsText" text="ACCEPTED"/>
    <x:cfRule type="containsText" dxfId="707" priority="28" operator="containsText" text="OPTIONAL"/>
    <x:cfRule type="containsText" dxfId="708" priority="29" operator="containsText" text="SEPARATE_PURCHASE"/>
    <x:cfRule type="containsText" dxfId="709" priority="30" operator="containsText" text="EQUIPPED"/>
    <x:cfRule type="containsText" dxfId="710" priority="31" operator="containsText" text="PARTIAL"/>
    <x:cfRule type="containsText" dxfId="711" priority="32" operator="containsText" text="PENDING"/>
    <x:cfRule type="containsText" dxfId="712" priority="33" operator="containsText" text="NOT_DISCLOSED"/>
    <x:cfRule type="containsText" dxfId="713" priority="34" operator="containsText" text="NOT_EVIDENCED"/>
    <x:cfRule type="containsText" dxfId="714" priority="35" operator="containsText" text="NOT_COMPARABLE"/>
    <x:cfRule type="containsText" dxfId="715" priority="36" operator="containsText" text="PROVISIONAL"/>
    <x:cfRule type="containsText" dxfId="716" priority="37" operator="containsText" text="BLOCKED"/>
    <x:cfRule type="containsText" dxfId="717" priority="38" operator="containsText" text="FAIL"/>
    <x:cfRule type="containsText" dxfId="718" priority="39" operator="containsText" text="FALSE"/>
    <x:cfRule type="containsText" dxfId="719" priority="40" operator="containsText" text="CONFLICT"/>
    <x:cfRule type="containsText" dxfId="720" priority="41" operator="containsText" text="MISMATCH_HARD"/>
    <x:cfRule type="containsText" dxfId="721" priority="42" operator="containsText" text="REJECTED"/>
  </x:conditionalFormatting>
  <x:pageMargins left="0.7" right="0.7" top="0.75" bottom="0.75" header="0.3" footer="0.3"/>
</x:worksheet>
</file>

<file path=xl/worksheets/sheet5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3" hidden="0" customWidth="1"/>
    <x:col min="2" max="2" width="22" hidden="0" customWidth="1"/>
    <x:col min="3" max="3" width="16" hidden="0" customWidth="1"/>
    <x:col min="4" max="4" width="16" hidden="0" customWidth="1"/>
    <x:col min="5" max="5" width="16" hidden="0" customWidth="1"/>
    <x:col min="6" max="6" width="30" hidden="0" customWidth="1"/>
    <x:col min="7" max="7" width="16" hidden="0" customWidth="1"/>
    <x:col min="8" max="8" width="18" hidden="0" customWidth="1"/>
    <x:col min="9" max="9" width="66" hidden="0" customWidth="1"/>
    <x:col min="10" max="10" width="38" hidden="0" customWidth="1"/>
    <x:col min="11" max="11" width="56" hidden="0" customWidth="1"/>
    <x:col min="12" max="12" width="56" hidden="0" customWidth="1"/>
    <x:col min="13" max="13" width="28" hidden="0" customWidth="1"/>
    <x:col min="14" max="14" width="24" hidden="0" customWidth="1"/>
  </x:cols>
  <x:sheetData>
    <x:row r="1" ht="30" customHeight="1">
      <x:c r="A1" s="356" t="str">
        <x:v>49｜Phase 3.1B 新增来源</x:v>
      </x:c>
      <x:c r="B1" s="356"/>
      <x:c r="C1" s="356"/>
      <x:c r="D1" s="356"/>
      <x:c r="E1" s="356"/>
      <x:c r="F1" s="356"/>
      <x:c r="G1" s="356"/>
      <x:c r="H1" s="356"/>
      <x:c r="I1" s="356"/>
      <x:c r="J1" s="356"/>
      <x:c r="K1" s="356"/>
      <x:c r="L1" s="356"/>
      <x:c r="M1" s="356"/>
      <x:c r="N1" s="356"/>
    </x:row>
    <x:row r="2" ht="22" customHeight="1">
      <x:c r="A2" s="359" t="str">
        <x:v>只登记本阶段新增页面与官方内容镜像；监管原页通过 parent_source_id 回链38表</x:v>
      </x:c>
      <x:c r="B2" s="359"/>
      <x:c r="C2" s="359"/>
      <x:c r="D2" s="359"/>
      <x:c r="E2" s="359"/>
      <x:c r="F2" s="359"/>
      <x:c r="G2" s="359"/>
      <x:c r="H2" s="359"/>
      <x:c r="I2" s="359"/>
      <x:c r="J2" s="359"/>
      <x:c r="K2" s="359"/>
      <x:c r="L2" s="359"/>
      <x:c r="M2" s="359"/>
      <x:c r="N2" s="359"/>
    </x:row>
    <x:row r="3" ht="54" customHeight="1">
      <x:c r="A3" s="363" t="str">
        <x:v>动态网页均记录真实读取时点。没有本地原始响应与SHA-256的网页，不标记为“完整App配置原件”；官方社交内容镜像可追溯官方发布者，但载体仍不是小米官网。</x:v>
      </x:c>
      <x:c r="B3" s="363"/>
      <x:c r="C3" s="363"/>
      <x:c r="D3" s="363"/>
      <x:c r="E3" s="363"/>
      <x:c r="F3" s="363"/>
      <x:c r="G3" s="363"/>
      <x:c r="H3" s="363"/>
      <x:c r="I3" s="363"/>
      <x:c r="J3" s="363"/>
      <x:c r="K3" s="363"/>
      <x:c r="L3" s="363"/>
      <x:c r="M3" s="363"/>
      <x:c r="N3" s="363"/>
    </x:row>
    <x:row r="5" ht="54" customHeight="1">
      <x:c r="A5" s="368" t="str">
        <x:v>source_id</x:v>
      </x:c>
      <x:c r="B5" s="368" t="str">
        <x:v>parent_source_id</x:v>
      </x:c>
      <x:c r="C5" s="368" t="str">
        <x:v>来源域</x:v>
      </x:c>
      <x:c r="D5" s="368" t="str">
        <x:v>证据等级</x:v>
      </x:c>
      <x:c r="E5" s="368" t="str">
        <x:v>发布者</x:v>
      </x:c>
      <x:c r="F5" s="368" t="str">
        <x:v>标题/对象</x:v>
      </x:c>
      <x:c r="G5" s="368" t="str">
        <x:v>发布时间</x:v>
      </x:c>
      <x:c r="H5" s="368" t="str">
        <x:v>读取时点</x:v>
      </x:c>
      <x:c r="I5" s="368" t="str">
        <x:v>URL/路径</x:v>
      </x:c>
      <x:c r="J5" s="368" t="str">
        <x:v>页面定位</x:v>
      </x:c>
      <x:c r="K5" s="368" t="str">
        <x:v>支持主张</x:v>
      </x:c>
      <x:c r="L5" s="368" t="str">
        <x:v>不支持/限制</x:v>
      </x:c>
      <x:c r="M5" s="368" t="str">
        <x:v>原件完整性</x:v>
      </x:c>
      <x:c r="N5" s="368" t="str">
        <x:v>冲突组</x:v>
      </x:c>
    </x:row>
    <x:row r="6" ht="68" customHeight="1">
      <x:c r="A6" s="19" t="str">
        <x:v>B31_SRC_N90_WEB</x:v>
      </x:c>
      <x:c r="B6" s="19" t="str"/>
      <x:c r="C6" s="19" t="str">
        <x:v>官方产品页</x:v>
      </x:c>
      <x:c r="D6" s="19" t="str">
        <x:v>E1-X_WEB</x:v>
      </x:c>
      <x:c r="E6" s="19" t="str">
        <x:v>小米汽车</x:v>
      </x:c>
      <x:c r="F6" s="19" t="str">
        <x:v>小米澎程N90 Max独立产品页</x:v>
      </x:c>
      <x:c r="G6" s="19" t="str">
        <x:v>2026-07-30后</x:v>
      </x:c>
      <x:c r="H6" s="19" t="str">
        <x:v>2026-08-04</x:v>
      </x:c>
      <x:c r="I6" s="19" t="str">
        <x:v>https://www.xiaomiev.com/skynomad/n90</x:v>
      </x:c>
      <x:c r="J6" s="19" t="str">
        <x:v>页面全文；重点62-72、192-280、349-651、663-667</x:v>
      </x:c>
      <x:c r="K6" s="19" t="str">
        <x:v>N90 Max单车价格、空间、动力、能耗、底盘、安全、智能、选装与另购</x:v>
      </x:c>
      <x:c r="L6" s="19" t="str">
        <x:v>页面不是App车辆SKU/当前配置修订；多数功能未逐项写“标配”</x:v>
      </x:c>
      <x:c r="M6" s="19" t="str">
        <x:v>CURRENT_OFFICIAL_PAGE_READABLE</x:v>
      </x:c>
      <x:c r="N6" s="19" t="str">
        <x:v>CG_N90_RELEASE</x:v>
      </x:c>
    </x:row>
    <x:row r="7" ht="68" customHeight="1">
      <x:c r="A7" s="369" t="str">
        <x:v>B31_SRC_HOME</x:v>
      </x:c>
      <x:c r="B7" s="369" t="str">
        <x:v>SRC_XIAOMI_HOME</x:v>
      </x:c>
      <x:c r="C7" s="369" t="str">
        <x:v>官方网站</x:v>
      </x:c>
      <x:c r="D7" s="369" t="str">
        <x:v>E1-X_WEB</x:v>
      </x:c>
      <x:c r="E7" s="369" t="str">
        <x:v>小米汽车</x:v>
      </x:c>
      <x:c r="F7" s="369" t="str">
        <x:v>小米汽车官网澎程入口</x:v>
      </x:c>
      <x:c r="G7" s="369" t="str">
        <x:v>动态页</x:v>
      </x:c>
      <x:c r="H7" s="369" t="str">
        <x:v>2026-08-04</x:v>
      </x:c>
      <x:c r="I7" s="369" t="str">
        <x:v>https://www.xiaomiev.com/</x:v>
      </x:c>
      <x:c r="J7" s="369" t="str">
        <x:v>澎程车型入口/预约咨询</x:v>
      </x:c>
      <x:c r="K7" s="369" t="str">
        <x:v>N70 Max 25.99万、N90 Max 29.99万预售节点与车型定位</x:v>
      </x:c>
      <x:c r="L7" s="369" t="str">
        <x:v>官网入口不提供goods/version/config_revision</x:v>
      </x:c>
      <x:c r="M7" s="369" t="str">
        <x:v>LIVE_PAGE_NO_APP_IDS</x:v>
      </x:c>
      <x:c r="N7" s="369" t="str">
        <x:v>CG_COMMERCIAL_ID</x:v>
      </x:c>
    </x:row>
    <x:row r="8" ht="68" customHeight="1">
      <x:c r="A8" s="19" t="str">
        <x:v>B31_SRC_SMALL_ORDER</x:v>
      </x:c>
      <x:c r="B8" s="19" t="str">
        <x:v>SRC_LEIJUN_PRESALE</x:v>
      </x:c>
      <x:c r="C8" s="19" t="str">
        <x:v>官方账号镜像</x:v>
      </x:c>
      <x:c r="D8" s="19" t="str">
        <x:v>E1-X_TRACE</x:v>
      </x:c>
      <x:c r="E8" s="19" t="str">
        <x:v>小米汽车</x:v>
      </x:c>
      <x:c r="F8" s="19" t="str">
        <x:v>两款Max小订与限时权益</x:v>
      </x:c>
      <x:c r="G8" s="19" t="str">
        <x:v>2026-07-30</x:v>
      </x:c>
      <x:c r="H8" s="19" t="str">
        <x:v>2026-08-04</x:v>
      </x:c>
      <x:c r="I8" s="19" t="str">
        <x:v>https://www.sina.cn/news/detail/5326794338078821.html</x:v>
      </x:c>
      <x:c r="J8" s="19" t="str">
        <x:v>小米汽车官方账号内容镜像</x:v>
      </x:c>
      <x:c r="K8" s="19" t="str">
        <x:v>1000元意向金、发布后随时可退、锁单优先排产、提车赠999元桌板</x:v>
      </x:c>
      <x:c r="L8" s="19" t="str">
        <x:v>权益具有时效性；镜像不含App商品ID</x:v>
      </x:c>
      <x:c r="M8" s="19" t="str">
        <x:v>OFFICIAL_CONTENT_TRACE</x:v>
      </x:c>
      <x:c r="N8" s="19" t="str">
        <x:v>CG_SMALL_ORDER</x:v>
      </x:c>
    </x:row>
    <x:row r="9" ht="68" customHeight="1">
      <x:c r="A9" s="369" t="str">
        <x:v>B31_SRC_N70_POWER</x:v>
      </x:c>
      <x:c r="B9" s="369" t="str">
        <x:v>SRC_LEIJUN_N70MAX</x:v>
      </x:c>
      <x:c r="C9" s="369" t="str">
        <x:v>官方账号镜像</x:v>
      </x:c>
      <x:c r="D9" s="369" t="str">
        <x:v>E1-X_TRACE</x:v>
      </x:c>
      <x:c r="E9" s="369" t="str">
        <x:v>小米汽车</x:v>
      </x:c>
      <x:c r="F9" s="369" t="str">
        <x:v>N70 Max动力与续航</x:v>
      </x:c>
      <x:c r="G9" s="369" t="str">
        <x:v>2026-07-30</x:v>
      </x:c>
      <x:c r="H9" s="369" t="str">
        <x:v>2026-08-04</x:v>
      </x:c>
      <x:c r="I9" s="369" t="str">
        <x:v>https://www.sina.cn/news/detail/5326483935199539.html</x:v>
      </x:c>
      <x:c r="J9" s="369" t="str">
        <x:v>小米汽车官方账号内容镜像</x:v>
      </x:c>
      <x:c r="K9" s="369" t="str">
        <x:v>双电机四驱、310kW、190km/h、CLTC505/1461km、亏电6.1</x:v>
      </x:c>
      <x:c r="L9" s="369" t="str">
        <x:v>亏电油耗同句未标测试循环；不提供完整配置表</x:v>
      </x:c>
      <x:c r="M9" s="369" t="str">
        <x:v>OFFICIAL_CONTENT_TRACE</x:v>
      </x:c>
      <x:c r="N9" s="369" t="str">
        <x:v>CG_N70_RELEASE</x:v>
      </x:c>
    </x:row>
    <x:row r="10" ht="68" customHeight="1">
      <x:c r="A10" s="19" t="str">
        <x:v>B31_SRC_N70_ENERGY</x:v>
      </x:c>
      <x:c r="B10" s="19" t="str"/>
      <x:c r="C10" s="19" t="str">
        <x:v>官方账号镜像</x:v>
      </x:c>
      <x:c r="D10" s="19" t="str">
        <x:v>E1-X_TRACE</x:v>
      </x:c>
      <x:c r="E10" s="19" t="str">
        <x:v>小米汽车</x:v>
      </x:c>
      <x:c r="F10" s="19" t="str">
        <x:v>N70 Max最低电耗</x:v>
      </x:c>
      <x:c r="G10" s="19" t="str">
        <x:v>2026-07-30</x:v>
      </x:c>
      <x:c r="H10" s="19" t="str">
        <x:v>2026-08-04</x:v>
      </x:c>
      <x:c r="I10" s="19" t="str">
        <x:v>https://www.sina.cn/news/detail/5326469707338078.html</x:v>
      </x:c>
      <x:c r="J10" s="19" t="str">
        <x:v>小米汽车官方账号内容镜像</x:v>
      </x:c>
      <x:c r="K10" s="19" t="str">
        <x:v>百公里CLTC最低电耗15.85kWh</x:v>
      </x:c>
      <x:c r="L10" s="19" t="str">
        <x:v>“最低”不是所有工况固定值</x:v>
      </x:c>
      <x:c r="M10" s="19" t="str">
        <x:v>OFFICIAL_CONTENT_TRACE</x:v>
      </x:c>
      <x:c r="N10" s="19" t="str">
        <x:v>CG_N70_RELEASE</x:v>
      </x:c>
    </x:row>
    <x:row r="11" ht="68" customHeight="1">
      <x:c r="A11" s="369" t="str">
        <x:v>B31_SRC_N70_CHASSIS</x:v>
      </x:c>
      <x:c r="B11" s="369" t="str">
        <x:v>SRC_LEIJUN_N70MAX</x:v>
      </x:c>
      <x:c r="C11" s="369" t="str">
        <x:v>官方账号镜像</x:v>
      </x:c>
      <x:c r="D11" s="369" t="str">
        <x:v>E1-X_TRACE</x:v>
      </x:c>
      <x:c r="E11" s="369" t="str">
        <x:v>雷军</x:v>
      </x:c>
      <x:c r="F11" s="369" t="str">
        <x:v>N70 Max底盘配置</x:v>
      </x:c>
      <x:c r="G11" s="369" t="str">
        <x:v>2026-07-30</x:v>
      </x:c>
      <x:c r="H11" s="369" t="str">
        <x:v>2026-08-04</x:v>
      </x:c>
      <x:c r="I11" s="369" t="str">
        <x:v>https://www.sina.cn/news/detail/5326663374082884.html</x:v>
      </x:c>
      <x:c r="J11" s="369" t="str">
        <x:v>雷军官方内容镜像</x:v>
      </x:c>
      <x:c r="K11" s="369" t="str">
        <x:v>标配空气弹簧、连续阻尼减振器</x:v>
      </x:c>
      <x:c r="L11" s="369" t="str">
        <x:v>不支持扩写腔数、品牌或完整悬架结构</x:v>
      </x:c>
      <x:c r="M11" s="369" t="str">
        <x:v>OFFICIAL_CONTENT_TRACE</x:v>
      </x:c>
      <x:c r="N11" s="369" t="str">
        <x:v>CG_N70_RELEASE</x:v>
      </x:c>
    </x:row>
    <x:row r="12" ht="68" customHeight="1">
      <x:c r="A12" s="19" t="str">
        <x:v>B31_SRC_HAD</x:v>
      </x:c>
      <x:c r="B12" s="19" t="str"/>
      <x:c r="C12" s="19" t="str">
        <x:v>官方账号镜像</x:v>
      </x:c>
      <x:c r="D12" s="19" t="str">
        <x:v>E1-X_TRACE</x:v>
      </x:c>
      <x:c r="E12" s="19" t="str">
        <x:v>小米汽车</x:v>
      </x:c>
      <x:c r="F12" s="19" t="str">
        <x:v>澎程全系辅助驾驶</x:v>
      </x:c>
      <x:c r="G12" s="19" t="str">
        <x:v>2026-07-30前后</x:v>
      </x:c>
      <x:c r="H12" s="19" t="str">
        <x:v>2026-08-04</x:v>
      </x:c>
      <x:c r="I12" s="19" t="str">
        <x:v>https://www.sina.cn/news/detail/5326482286841133.html</x:v>
      </x:c>
      <x:c r="J12" s="19" t="str">
        <x:v>小米汽车官方账号内容镜像</x:v>
      </x:c>
      <x:c r="K12" s="19" t="str">
        <x:v>澎程全系标配小米HAD/满配辅助驾驶</x:v>
      </x:c>
      <x:c r="L12" s="19" t="str">
        <x:v>不证明N70 Max具有N90专属后向固态激光雷达</x:v>
      </x:c>
      <x:c r="M12" s="19" t="str">
        <x:v>OFFICIAL_CONTENT_TRACE</x:v>
      </x:c>
      <x:c r="N12" s="19" t="str">
        <x:v>CG_SERIES_INTELLIGENCE</x:v>
      </x:c>
    </x:row>
    <x:row r="13" ht="68" customHeight="1">
      <x:c r="A13" s="369" t="str">
        <x:v>B31_SRC_XIAOAI</x:v>
      </x:c>
      <x:c r="B13" s="369" t="str"/>
      <x:c r="C13" s="369" t="str">
        <x:v>官方账号镜像</x:v>
      </x:c>
      <x:c r="D13" s="369" t="str">
        <x:v>E1-X_TRACE</x:v>
      </x:c>
      <x:c r="E13" s="369" t="str">
        <x:v>小米汽车</x:v>
      </x:c>
      <x:c r="F13" s="369" t="str">
        <x:v>澎程全系超级小爱</x:v>
      </x:c>
      <x:c r="G13" s="369" t="str">
        <x:v>2026-07-29前后</x:v>
      </x:c>
      <x:c r="H13" s="369" t="str">
        <x:v>2026-08-04</x:v>
      </x:c>
      <x:c r="I13" s="369" t="str">
        <x:v>https://www.sina.cn/news/detail/5326018436927645.html</x:v>
      </x:c>
      <x:c r="J13" s="369" t="str">
        <x:v>小米汽车官方账号内容镜像</x:v>
      </x:c>
      <x:c r="K13" s="369" t="str">
        <x:v>全系标配超级小爱</x:v>
      </x:c>
      <x:c r="L13" s="369" t="str">
        <x:v>不等于逐项屏幕/芯片均标配</x:v>
      </x:c>
      <x:c r="M13" s="369" t="str">
        <x:v>OFFICIAL_CONTENT_TRACE</x:v>
      </x:c>
      <x:c r="N13" s="369" t="str">
        <x:v>CG_SERIES_INTELLIGENCE</x:v>
      </x:c>
    </x:row>
    <x:row r="14" ht="68" customHeight="1">
      <x:c r="A14" s="19" t="str">
        <x:v>B31_SRC_WADING267</x:v>
      </x:c>
      <x:c r="B14" s="19" t="str"/>
      <x:c r="C14" s="19" t="str">
        <x:v>官方长文</x:v>
      </x:c>
      <x:c r="D14" s="19" t="str">
        <x:v>E1-X_WEB</x:v>
      </x:c>
      <x:c r="E14" s="19" t="str">
        <x:v>小米汽车</x:v>
      </x:c>
      <x:c r="F14" s="19" t="str">
        <x:v>答网友问第267集</x:v>
      </x:c>
      <x:c r="G14" s="19" t="str">
        <x:v>2026-08-03前后</x:v>
      </x:c>
      <x:c r="H14" s="19" t="str">
        <x:v>2026-08-04</x:v>
      </x:c>
      <x:c r="I14" s="19" t="str">
        <x:v>https://weibo.com/ttarticle/p/show?id=2309405327987989151790</x:v>
      </x:c>
      <x:c r="J14" s="19" t="str">
        <x:v>官方账号原始长文</x:v>
      </x:c>
      <x:c r="K14" s="19" t="str">
        <x:v>全系涉水模式；N70 Max 650mm、2雷达、24处防水、IPX8/IPX9K、应急浮水；两Max一体门环</x:v>
      </x:c>
      <x:c r="L14" s="19" t="str">
        <x:v>N90的13合1/ABCD柱/16处2200MPa等不可下放N70</x:v>
      </x:c>
      <x:c r="M14" s="19" t="str">
        <x:v>OFFICIAL_LONGFORM_READABLE</x:v>
      </x:c>
      <x:c r="N14" s="19" t="str">
        <x:v>CG_WADING</x:v>
      </x:c>
    </x:row>
    <x:row r="15" ht="68" customHeight="1">
      <x:c r="A15" s="369" t="str">
        <x:v>B31_SRC_SERIES_CABIN</x:v>
      </x:c>
      <x:c r="B15" s="369" t="str"/>
      <x:c r="C15" s="369" t="str">
        <x:v>官方账号镜像</x:v>
      </x:c>
      <x:c r="D15" s="369" t="str">
        <x:v>E1-X_TRACE</x:v>
      </x:c>
      <x:c r="E15" s="369" t="str">
        <x:v>小米汽车</x:v>
      </x:c>
      <x:c r="F15" s="369" t="str">
        <x:v>澎程系列智能座舱</x:v>
      </x:c>
      <x:c r="G15" s="369" t="str">
        <x:v>2026-07-30前后</x:v>
      </x:c>
      <x:c r="H15" s="369" t="str">
        <x:v>2026-08-04</x:v>
      </x:c>
      <x:c r="I15" s="369" t="str">
        <x:v>https://www.sina.cn/news/detail/5326481749188668.html</x:v>
      </x:c>
      <x:c r="J15" s="369" t="str">
        <x:v>小米汽车官方账号内容镜像</x:v>
      </x:c>
      <x:c r="K15" s="369" t="str">
        <x:v>系列搭载小米澎湃智能座舱；第三代骁龙8/Thor/双5G+WiFi7/Flyback为系列级宣称</x:v>
      </x:c>
      <x:c r="L15" s="369" t="str">
        <x:v>未逐车绑定；不自动进入N70标配BOM</x:v>
      </x:c>
      <x:c r="M15" s="369" t="str">
        <x:v>OFFICIAL_CONTENT_TRACE</x:v>
      </x:c>
      <x:c r="N15" s="369" t="str">
        <x:v>CG_SERIES_CABIN</x:v>
      </x:c>
    </x:row>
    <x:row r="16" ht="68" customHeight="1">
      <x:c r="A16" s="19" t="str">
        <x:v>B31_SRC_PLATFORM</x:v>
      </x:c>
      <x:c r="B16" s="19" t="str"/>
      <x:c r="C16" s="19" t="str">
        <x:v>官方账号镜像</x:v>
      </x:c>
      <x:c r="D16" s="19" t="str">
        <x:v>E1-X_TRACE</x:v>
      </x:c>
      <x:c r="E16" s="19" t="str">
        <x:v>小米汽车</x:v>
      </x:c>
      <x:c r="F16" s="19" t="str">
        <x:v>小米昆仑平台空间设计</x:v>
      </x:c>
      <x:c r="G16" s="19" t="str">
        <x:v>2026-07-30</x:v>
      </x:c>
      <x:c r="H16" s="19" t="str">
        <x:v>2026-08-04</x:v>
      </x:c>
      <x:c r="I16" s="19" t="str">
        <x:v>https://www.sina.cn/news/detail/5326478184813682.html</x:v>
      </x:c>
      <x:c r="J16" s="19" t="str">
        <x:v>小米汽车官方账号内容镜像</x:v>
      </x:c>
      <x:c r="K16" s="19" t="str">
        <x:v>平台级贯穿纯平地板、方正格局、超长滑轨</x:v>
      </x:c>
      <x:c r="L16" s="19" t="str">
        <x:v>不能推断N70/N90逐车滑轨数量、长度或标配状态</x:v>
      </x:c>
      <x:c r="M16" s="19" t="str">
        <x:v>OFFICIAL_CONTENT_TRACE</x:v>
      </x:c>
      <x:c r="N16" s="19" t="str">
        <x:v>CG_PLATFORM</x:v>
      </x:c>
    </x:row>
    <x:row r="17" ht="68" customHeight="1">
      <x:c r="A17" s="369" t="str">
        <x:v>B31_SRC_SERIES_BATT</x:v>
      </x:c>
      <x:c r="B17" s="369" t="str"/>
      <x:c r="C17" s="369" t="str">
        <x:v>官方账号镜像</x:v>
      </x:c>
      <x:c r="D17" s="369" t="str">
        <x:v>E1-X_TRACE</x:v>
      </x:c>
      <x:c r="E17" s="369" t="str">
        <x:v>小米澎程</x:v>
      </x:c>
      <x:c r="F17" s="369" t="str">
        <x:v>系列最大电池容量与最长续航</x:v>
      </x:c>
      <x:c r="G17" s="369" t="str">
        <x:v>2026-07-16</x:v>
      </x:c>
      <x:c r="H17" s="369" t="str">
        <x:v>2026-08-04</x:v>
      </x:c>
      <x:c r="I17" s="369" t="str">
        <x:v>https://www.sina.cn/news/detail/5321246168057909.html</x:v>
      </x:c>
      <x:c r="J17" s="369" t="str">
        <x:v>官方内容镜像</x:v>
      </x:c>
      <x:c r="K17" s="369" t="str">
        <x:v>系列最大电池76kWh、最长CLTC纯电505km</x:v>
      </x:c>
      <x:c r="L17" s="369" t="str">
        <x:v>最高/最大值不能下放每个版本；N90单车官网已明确464km</x:v>
      </x:c>
      <x:c r="M17" s="369" t="str">
        <x:v>OFFICIAL_CONTENT_TRACE</x:v>
      </x:c>
      <x:c r="N17" s="369" t="str">
        <x:v>CG_RANGE_SCOPE</x:v>
      </x:c>
    </x:row>
    <x:row r="18" ht="68" customHeight="1">
      <x:c r="A18" s="19" t="str">
        <x:v>B31_SRC_MIIT_N70</x:v>
      </x:c>
      <x:c r="B18" s="19" t="str">
        <x:v>SRC_MIIT409_A1</x:v>
      </x:c>
      <x:c r="C18" s="19" t="str">
        <x:v>监管</x:v>
      </x:c>
      <x:c r="D18" s="19" t="str">
        <x:v>E1-G_PUBLIC</x:v>
      </x:c>
      <x:c r="E18" s="19" t="str">
        <x:v>工信部</x:v>
      </x:c>
      <x:c r="F18" s="19" t="str">
        <x:v>XMA6500KREEVA1第409批公示</x:v>
      </x:c>
      <x:c r="G18" s="19" t="str">
        <x:v>2026-07-07</x:v>
      </x:c>
      <x:c r="H18" s="19" t="str">
        <x:v>2026-08-04</x:v>
      </x:c>
      <x:c r="I18" s="19" t="str">
        <x:v>https://www.miit.gov.cn/datainfo/dljdclscqyjcpgg/xcpgs409dwdwe233/art/2026/art_06448fd67cac42949e5a798e18b215f4.html</x:v>
      </x:c>
      <x:c r="J18" s="19" t="str">
        <x:v>完整型号原页</x:v>
      </x:c>
      <x:c r="K18" s="19" t="str">
        <x:v>N70 Max映射所需尺寸、5座、210+100kW、NCM/中创新航、整备质量</x:v>
      </x:c>
      <x:c r="L18" s="19" t="str">
        <x:v>公示不是正式公告；不证明商业标配或价格</x:v>
      </x:c>
      <x:c r="M18" s="19" t="str">
        <x:v>PUBLIC_NOTICE_409</x:v>
      </x:c>
      <x:c r="N18" s="19" t="str">
        <x:v>CG_REG_STAGE</x:v>
      </x:c>
    </x:row>
    <x:row r="19" ht="68" customHeight="1">
      <x:c r="A19" s="369" t="str">
        <x:v>B31_SRC_MIIT_N90</x:v>
      </x:c>
      <x:c r="B19" s="369" t="str">
        <x:v>SRC_MIIT409_N90</x:v>
      </x:c>
      <x:c r="C19" s="369" t="str">
        <x:v>监管</x:v>
      </x:c>
      <x:c r="D19" s="369" t="str">
        <x:v>E1-G_PUBLIC</x:v>
      </x:c>
      <x:c r="E19" s="369" t="str">
        <x:v>工信部</x:v>
      </x:c>
      <x:c r="F19" s="369" t="str">
        <x:v>XMA6530KREEVA1第409批公示</x:v>
      </x:c>
      <x:c r="G19" s="369" t="str">
        <x:v>2026-07-07</x:v>
      </x:c>
      <x:c r="H19" s="369" t="str">
        <x:v>2026-08-04</x:v>
      </x:c>
      <x:c r="I19" s="369" t="str">
        <x:v>https://www.miit.gov.cn/datainfo/dljdclscqyjcpgg/xcpgs409dwdwe233/art/2026/art_ea7179cedb09467a9b7d2ce917685c49.html</x:v>
      </x:c>
      <x:c r="J19" s="369" t="str">
        <x:v>完整型号原页</x:v>
      </x:c>
      <x:c r="K19" s="369" t="str">
        <x:v>N90 Max映射所需尺寸、5/7座、210+100kW、NCM/中创新航</x:v>
      </x:c>
      <x:c r="L19" s="369" t="str">
        <x:v>5/7座是准入允许集，不等于两个销售SKU</x:v>
      </x:c>
      <x:c r="M19" s="369" t="str">
        <x:v>PUBLIC_NOTICE_409</x:v>
      </x:c>
      <x:c r="N19" s="369" t="str">
        <x:v>CG_SEAT_BINDING</x:v>
      </x:c>
    </x:row>
  </x:sheetData>
  <x:mergeCells>
    <x:mergeCell ref="A1:N1"/>
    <x:mergeCell ref="A2:N2"/>
    <x:mergeCell ref="A3:N3"/>
  </x:mergeCells>
  <x:conditionalFormatting sqref="D6:N19">
    <x:cfRule type="containsText" dxfId="722" priority="1" operator="containsText" text="PASS"/>
    <x:cfRule type="containsText" dxfId="723" priority="2" operator="containsText" text="READY"/>
    <x:cfRule type="containsText" dxfId="724" priority="3" operator="containsText" text="TRUE"/>
    <x:cfRule type="containsText" dxfId="725" priority="4" operator="containsText" text="MATCH"/>
    <x:cfRule type="containsText" dxfId="726" priority="5" operator="containsText" text="STANDARD"/>
    <x:cfRule type="containsText" dxfId="727" priority="6" operator="containsText" text="ACCEPTED"/>
    <x:cfRule type="containsText" dxfId="728" priority="7" operator="containsText" text="OPTIONAL"/>
    <x:cfRule type="containsText" dxfId="729" priority="8" operator="containsText" text="SEPARATE_PURCHASE"/>
    <x:cfRule type="containsText" dxfId="730" priority="9" operator="containsText" text="EQUIPPED"/>
    <x:cfRule type="containsText" dxfId="731" priority="10" operator="containsText" text="PARTIAL"/>
    <x:cfRule type="containsText" dxfId="732" priority="11" operator="containsText" text="PENDING"/>
    <x:cfRule type="containsText" dxfId="733" priority="12" operator="containsText" text="NOT_DISCLOSED"/>
    <x:cfRule type="containsText" dxfId="734" priority="13" operator="containsText" text="NOT_EVIDENCED"/>
    <x:cfRule type="containsText" dxfId="735" priority="14" operator="containsText" text="NOT_COMPARABLE"/>
    <x:cfRule type="containsText" dxfId="736" priority="15" operator="containsText" text="PROVISIONAL"/>
    <x:cfRule type="containsText" dxfId="737" priority="16" operator="containsText" text="BLOCKED"/>
    <x:cfRule type="containsText" dxfId="738" priority="17" operator="containsText" text="FAIL"/>
    <x:cfRule type="containsText" dxfId="739" priority="18" operator="containsText" text="FALSE"/>
    <x:cfRule type="containsText" dxfId="740" priority="19" operator="containsText" text="CONFLICT"/>
    <x:cfRule type="containsText" dxfId="741" priority="20" operator="containsText" text="MISMATCH_HARD"/>
    <x:cfRule type="containsText" dxfId="742" priority="21" operator="containsText" text="REJECTED"/>
  </x:conditionalFormatting>
  <x:pageMargins left="0.7" right="0.7" top="0.75" bottom="0.75" header="0.3" footer="0.3"/>
</x:worksheet>
</file>

<file path=xl/worksheets/sheet5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23" hidden="0" customWidth="1"/>
    <x:col min="3" max="3" width="22" hidden="0" customWidth="1"/>
    <x:col min="4" max="4" width="34" hidden="0" customWidth="1"/>
    <x:col min="5" max="5" width="54" hidden="0" customWidth="1"/>
    <x:col min="6" max="6" width="22" hidden="0" customWidth="1"/>
    <x:col min="7" max="7" width="24" hidden="0" customWidth="1"/>
    <x:col min="8" max="8" width="28" hidden="0" customWidth="1"/>
    <x:col min="9" max="9" width="16" hidden="0" customWidth="1"/>
    <x:col min="10" max="10" width="18" hidden="0" customWidth="1"/>
    <x:col min="11" max="11" width="15" hidden="0" customWidth="1"/>
    <x:col min="12" max="12" width="14" hidden="0" customWidth="1"/>
    <x:col min="13" max="13" width="34" hidden="0" customWidth="1"/>
    <x:col min="14" max="14" width="16" hidden="0" customWidth="1"/>
    <x:col min="15" max="15" width="22" hidden="0" customWidth="1"/>
    <x:col min="16" max="16" width="26" hidden="0" customWidth="1"/>
    <x:col min="17" max="17" width="24" hidden="0" customWidth="1"/>
    <x:col min="18" max="18" width="34" hidden="0" customWidth="1"/>
    <x:col min="19" max="19" width="30" hidden="0" customWidth="1"/>
    <x:col min="20" max="20" width="14" hidden="0" customWidth="1"/>
    <x:col min="21" max="21" width="30" hidden="0" customWidth="1"/>
    <x:col min="22" max="22" width="28" hidden="0" customWidth="1"/>
    <x:col min="23" max="23" width="24" hidden="0" customWidth="1"/>
    <x:col min="24" max="24" width="18" hidden="0" customWidth="1"/>
    <x:col min="25" max="25" width="48" hidden="0" customWidth="1"/>
  </x:cols>
  <x:sheetData>
    <x:row r="1" ht="30" customHeight="1">
      <x:c r="A1" s="356" t="str">
        <x:v>50｜发布会与官方产品页逐项主张</x:v>
      </x:c>
      <x:c r="B1" s="356"/>
      <x:c r="C1" s="356"/>
      <x:c r="D1" s="356"/>
      <x:c r="E1" s="356"/>
      <x:c r="F1" s="356"/>
      <x:c r="G1" s="356"/>
      <x:c r="H1" s="356"/>
      <x:c r="I1" s="356"/>
      <x:c r="J1" s="356"/>
      <x:c r="K1" s="356"/>
      <x:c r="L1" s="356"/>
      <x:c r="M1" s="356"/>
      <x:c r="N1" s="356"/>
      <x:c r="O1" s="356"/>
      <x:c r="P1" s="356"/>
      <x:c r="Q1" s="356"/>
      <x:c r="R1" s="356"/>
      <x:c r="S1" s="356"/>
      <x:c r="T1" s="356"/>
      <x:c r="U1" s="356"/>
      <x:c r="V1" s="356"/>
      <x:c r="W1" s="356"/>
      <x:c r="X1" s="356"/>
      <x:c r="Y1" s="356"/>
    </x:row>
    <x:row r="2" ht="22" customHeight="1">
      <x:c r="A2" s="359" t="str">
        <x:v>一行一个原子命题｜原文作用域、措辞强度、可取得状态和模型纳入状态全部分列</x:v>
      </x:c>
      <x:c r="B2" s="359"/>
      <x:c r="C2" s="359"/>
      <x:c r="D2" s="359"/>
      <x:c r="E2" s="359"/>
      <x:c r="F2" s="359"/>
      <x:c r="G2" s="359"/>
      <x:c r="H2" s="359"/>
      <x:c r="I2" s="359"/>
      <x:c r="J2" s="359"/>
      <x:c r="K2" s="359"/>
      <x:c r="L2" s="359"/>
      <x:c r="M2" s="359"/>
      <x:c r="N2" s="359"/>
      <x:c r="O2" s="359"/>
      <x:c r="P2" s="359"/>
      <x:c r="Q2" s="359"/>
      <x:c r="R2" s="359"/>
      <x:c r="S2" s="359"/>
      <x:c r="T2" s="359"/>
      <x:c r="U2" s="359"/>
      <x:c r="V2" s="359"/>
      <x:c r="W2" s="359"/>
      <x:c r="X2" s="359"/>
      <x:c r="Y2" s="359"/>
    </x:row>
    <x:row r="3" ht="54" customHeight="1">
      <x:c r="A3" s="363" t="str">
        <x:v>“搭载/配备/页面展示”统一归为EQUIPPED_STANDARD_UNCONFIRMED；“可选/另购”按原文明示；只有明确“标配/全系标配”生成STANDARD_AT_RELEASE。N90官网464km覆盖系列“最长505km”的错误下放。</x:v>
      </x:c>
      <x:c r="B3" s="363"/>
      <x:c r="C3" s="363"/>
      <x:c r="D3" s="363"/>
      <x:c r="E3" s="363"/>
      <x:c r="F3" s="363"/>
      <x:c r="G3" s="363"/>
      <x:c r="H3" s="363"/>
      <x:c r="I3" s="363"/>
      <x:c r="J3" s="363"/>
      <x:c r="K3" s="363"/>
      <x:c r="L3" s="363"/>
      <x:c r="M3" s="363"/>
      <x:c r="N3" s="363"/>
      <x:c r="O3" s="363"/>
      <x:c r="P3" s="363"/>
      <x:c r="Q3" s="363"/>
      <x:c r="R3" s="363"/>
      <x:c r="S3" s="363"/>
      <x:c r="T3" s="363"/>
      <x:c r="U3" s="363"/>
      <x:c r="V3" s="363"/>
      <x:c r="W3" s="363"/>
      <x:c r="X3" s="363"/>
      <x:c r="Y3" s="363"/>
    </x:row>
    <x:row r="5" ht="62" customHeight="1">
      <x:c r="A5" s="368" t="str">
        <x:v>claim_id</x:v>
      </x:c>
      <x:c r="B5" s="368" t="str">
        <x:v>source_id</x:v>
      </x:c>
      <x:c r="C5" s="368" t="str">
        <x:v>event_id</x:v>
      </x:c>
      <x:c r="D5" s="368" t="str">
        <x:v>claim_locator</x:v>
      </x:c>
      <x:c r="E5" s="368" t="str">
        <x:v>claim_text_raw</x:v>
      </x:c>
      <x:c r="F5" s="368" t="str">
        <x:v>subject_text_raw</x:v>
      </x:c>
      <x:c r="G5" s="368" t="str">
        <x:v>commercial_node_id</x:v>
      </x:c>
      <x:c r="H5" s="368" t="str">
        <x:v>feature_code</x:v>
      </x:c>
      <x:c r="I5" s="368" t="str">
        <x:v>module</x:v>
      </x:c>
      <x:c r="J5" s="368" t="str">
        <x:v>claim_attribute</x:v>
      </x:c>
      <x:c r="K5" s="368" t="str">
        <x:v>value_type</x:v>
      </x:c>
      <x:c r="L5" s="368" t="str">
        <x:v>value_numeric</x:v>
      </x:c>
      <x:c r="M5" s="368" t="str">
        <x:v>value_text</x:v>
      </x:c>
      <x:c r="N5" s="368" t="str">
        <x:v>unit_code</x:v>
      </x:c>
      <x:c r="O5" s="368" t="str">
        <x:v>target_scope</x:v>
      </x:c>
      <x:c r="P5" s="368" t="str">
        <x:v>statement_strength</x:v>
      </x:c>
      <x:c r="Q5" s="368" t="str">
        <x:v>availability_wording_raw</x:v>
      </x:c>
      <x:c r="R5" s="368" t="str">
        <x:v>release_availability</x:v>
      </x:c>
      <x:c r="S5" s="368" t="str">
        <x:v>temporal_scope</x:v>
      </x:c>
      <x:c r="T5" s="368" t="str">
        <x:v>polarity</x:v>
      </x:c>
      <x:c r="U5" s="368" t="str">
        <x:v>value_status</x:v>
      </x:c>
      <x:c r="V5" s="368" t="str">
        <x:v>model_inclusion_status</x:v>
      </x:c>
      <x:c r="W5" s="368" t="str">
        <x:v>conflict_group_id</x:v>
      </x:c>
      <x:c r="X5" s="368" t="str">
        <x:v>conflict_status</x:v>
      </x:c>
      <x:c r="Y5" s="368" t="str">
        <x:v>analyst_note</x:v>
      </x:c>
    </x:row>
    <x:row r="6" ht="62" customHeight="1">
      <x:c r="A6" s="19" t="str">
        <x:v>B31-C001</x:v>
      </x:c>
      <x:c r="B6" s="19" t="str">
        <x:v>B31_SRC_HOME</x:v>
      </x:c>
      <x:c r="C6" s="19" t="str">
        <x:v>TECH_RELEASE_20260730</x:v>
      </x:c>
      <x:c r="D6" s="19" t="str">
        <x:v>首页澎程N70 Max车型入口</x:v>
      </x:c>
      <x:c r="E6" s="19" t="str">
        <x:v>小米澎程 N70 Max｜大五座四驱增程SUV</x:v>
      </x:c>
      <x:c r="F6" s="19" t="str"/>
      <x:c r="G6" s="19" t="str">
        <x:v>PC-N70-MAX-CAND</x:v>
      </x:c>
      <x:c r="H6" s="19" t="str">
        <x:v>commercial_name</x:v>
      </x:c>
      <x:c r="I6" s="19" t="str">
        <x:v>COMMERCIAL</x:v>
      </x:c>
      <x:c r="J6" s="19" t="str">
        <x:v>VALUE</x:v>
      </x:c>
      <x:c r="K6" s="19" t="str">
        <x:v>TEXT</x:v>
      </x:c>
      <x:c r="L6" s="152" t="str"/>
      <x:c r="M6" s="19" t="str">
        <x:v>小米澎程 N70 Max</x:v>
      </x:c>
      <x:c r="N6" s="19" t="str"/>
      <x:c r="O6" s="19" t="str">
        <x:v>N70_MAX</x:v>
      </x:c>
      <x:c r="P6" s="19" t="str">
        <x:v>COMMERCIAL_FACT</x:v>
      </x:c>
      <x:c r="Q6" s="19" t="str">
        <x:v>官网车型名</x:v>
      </x:c>
      <x:c r="R6" s="19" t="str">
        <x:v>COMMERCIAL_FACT</x:v>
      </x:c>
      <x:c r="S6" s="19" t="str">
        <x:v>AS_OF_2026-08-04_PRELAUNCH</x:v>
      </x:c>
      <x:c r="T6" s="19" t="str">
        <x:v>POSITIVE</x:v>
      </x:c>
      <x:c r="U6" s="19" t="str">
        <x:v>CONFIRMED</x:v>
      </x:c>
      <x:c r="V6" s="19" t="str">
        <x:v>MODEL_EXCLUDED</x:v>
      </x:c>
      <x:c r="W6" s="19" t="str"/>
      <x:c r="X6" s="19" t="str">
        <x:v>NONE</x:v>
      </x:c>
      <x:c r="Y6" s="19" t="str"/>
    </x:row>
    <x:row r="7" ht="62" customHeight="1">
      <x:c r="A7" s="369" t="str">
        <x:v>B31-C002</x:v>
      </x:c>
      <x:c r="B7" s="369" t="str">
        <x:v>B31_SRC_HOME</x:v>
      </x:c>
      <x:c r="C7" s="369" t="str">
        <x:v>TECH_RELEASE_20260730</x:v>
      </x:c>
      <x:c r="D7" s="369" t="str">
        <x:v>首页车型定位</x:v>
      </x:c>
      <x:c r="E7" s="369" t="str">
        <x:v>大五座四驱增程SUV</x:v>
      </x:c>
      <x:c r="F7" s="369" t="str"/>
      <x:c r="G7" s="369" t="str">
        <x:v>PC-N70-MAX-CAND</x:v>
      </x:c>
      <x:c r="H7" s="369" t="str">
        <x:v>positioning</x:v>
      </x:c>
      <x:c r="I7" s="369" t="str">
        <x:v>COMMERCIAL</x:v>
      </x:c>
      <x:c r="J7" s="369" t="str">
        <x:v>VALUE</x:v>
      </x:c>
      <x:c r="K7" s="369" t="str">
        <x:v>TEXT</x:v>
      </x:c>
      <x:c r="L7" s="373" t="str"/>
      <x:c r="M7" s="369" t="str">
        <x:v>大五座四驱增程SUV</x:v>
      </x:c>
      <x:c r="N7" s="369" t="str"/>
      <x:c r="O7" s="369" t="str">
        <x:v>N70_MAX</x:v>
      </x:c>
      <x:c r="P7" s="369" t="str">
        <x:v>POSITIONING_CLAIM</x:v>
      </x:c>
      <x:c r="Q7" s="369" t="str">
        <x:v>官网明确定位</x:v>
      </x:c>
      <x:c r="R7" s="369" t="str">
        <x:v>COMMERCIAL_FACT</x:v>
      </x:c>
      <x:c r="S7" s="369" t="str">
        <x:v>AS_OF_2026-08-04_PRELAUNCH</x:v>
      </x:c>
      <x:c r="T7" s="369" t="str">
        <x:v>POSITIVE</x:v>
      </x:c>
      <x:c r="U7" s="369" t="str">
        <x:v>CONFIRMED</x:v>
      </x:c>
      <x:c r="V7" s="369" t="str">
        <x:v>MODEL_EXCLUDED</x:v>
      </x:c>
      <x:c r="W7" s="369" t="str"/>
      <x:c r="X7" s="369" t="str">
        <x:v>NONE</x:v>
      </x:c>
      <x:c r="Y7" s="369" t="str"/>
    </x:row>
    <x:row r="8" ht="62" customHeight="1">
      <x:c r="A8" s="19" t="str">
        <x:v>B31-C003</x:v>
      </x:c>
      <x:c r="B8" s="19" t="str">
        <x:v>B31_SRC_HOME</x:v>
      </x:c>
      <x:c r="C8" s="19" t="str">
        <x:v>TECH_RELEASE_20260730</x:v>
      </x:c>
      <x:c r="D8" s="19" t="str">
        <x:v>首页价格</x:v>
      </x:c>
      <x:c r="E8" s="19" t="str">
        <x:v>预售价25.99万</x:v>
      </x:c>
      <x:c r="F8" s="19" t="str"/>
      <x:c r="G8" s="19" t="str">
        <x:v>PC-N70-MAX-CAND</x:v>
      </x:c>
      <x:c r="H8" s="19" t="str">
        <x:v>presale_price</x:v>
      </x:c>
      <x:c r="I8" s="19" t="str">
        <x:v>COMMERCIAL</x:v>
      </x:c>
      <x:c r="J8" s="19" t="str">
        <x:v>VALUE</x:v>
      </x:c>
      <x:c r="K8" s="19" t="str">
        <x:v>NUMERIC</x:v>
      </x:c>
      <x:c r="L8" s="152" t="n">
        <x:v>259900</x:v>
      </x:c>
      <x:c r="M8" s="19" t="str"/>
      <x:c r="N8" s="19" t="str">
        <x:v>CNY</x:v>
      </x:c>
      <x:c r="O8" s="19" t="str">
        <x:v>N70_MAX</x:v>
      </x:c>
      <x:c r="P8" s="19" t="str">
        <x:v>COMMERCIAL_FACT</x:v>
      </x:c>
      <x:c r="Q8" s="19" t="str">
        <x:v>预售价</x:v>
      </x:c>
      <x:c r="R8" s="19" t="str">
        <x:v>COMMERCIAL_FACT</x:v>
      </x:c>
      <x:c r="S8" s="19" t="str">
        <x:v>AS_OF_2026-08-04_PRELAUNCH</x:v>
      </x:c>
      <x:c r="T8" s="19" t="str">
        <x:v>POSITIVE</x:v>
      </x:c>
      <x:c r="U8" s="19" t="str">
        <x:v>CONFIRMED</x:v>
      </x:c>
      <x:c r="V8" s="19" t="str">
        <x:v>MODEL_EXCLUDED</x:v>
      </x:c>
      <x:c r="W8" s="19" t="str"/>
      <x:c r="X8" s="19" t="str">
        <x:v>NONE</x:v>
      </x:c>
      <x:c r="Y8" s="19" t="str"/>
    </x:row>
    <x:row r="9" ht="62" customHeight="1">
      <x:c r="A9" s="369" t="str">
        <x:v>B31-C004</x:v>
      </x:c>
      <x:c r="B9" s="369" t="str">
        <x:v>B31_SRC_N90_WEB</x:v>
      </x:c>
      <x:c r="C9" s="369" t="str">
        <x:v>TECH_RELEASE_20260730</x:v>
      </x:c>
      <x:c r="D9" s="369" t="str">
        <x:v>L62-L72</x:v>
      </x:c>
      <x:c r="E9" s="369" t="str">
        <x:v>小米澎程N90 Max</x:v>
      </x:c>
      <x:c r="F9" s="369" t="str"/>
      <x:c r="G9" s="369" t="str">
        <x:v>PC-N90-MAX-CAND</x:v>
      </x:c>
      <x:c r="H9" s="369" t="str">
        <x:v>commercial_name</x:v>
      </x:c>
      <x:c r="I9" s="369" t="str">
        <x:v>COMMERCIAL</x:v>
      </x:c>
      <x:c r="J9" s="369" t="str">
        <x:v>VALUE</x:v>
      </x:c>
      <x:c r="K9" s="369" t="str">
        <x:v>TEXT</x:v>
      </x:c>
      <x:c r="L9" s="373" t="str"/>
      <x:c r="M9" s="369" t="str">
        <x:v>小米澎程 N90 Max</x:v>
      </x:c>
      <x:c r="N9" s="369" t="str"/>
      <x:c r="O9" s="369" t="str">
        <x:v>N90_MAX</x:v>
      </x:c>
      <x:c r="P9" s="369" t="str">
        <x:v>COMMERCIAL_FACT</x:v>
      </x:c>
      <x:c r="Q9" s="369" t="str">
        <x:v>独立产品页车型名</x:v>
      </x:c>
      <x:c r="R9" s="369" t="str">
        <x:v>COMMERCIAL_FACT</x:v>
      </x:c>
      <x:c r="S9" s="369" t="str">
        <x:v>AS_OF_2026-08-04_PRELAUNCH</x:v>
      </x:c>
      <x:c r="T9" s="369" t="str">
        <x:v>POSITIVE</x:v>
      </x:c>
      <x:c r="U9" s="369" t="str">
        <x:v>CONFIRMED</x:v>
      </x:c>
      <x:c r="V9" s="369" t="str">
        <x:v>MODEL_EXCLUDED</x:v>
      </x:c>
      <x:c r="W9" s="369" t="str"/>
      <x:c r="X9" s="369" t="str">
        <x:v>NONE</x:v>
      </x:c>
      <x:c r="Y9" s="369" t="str"/>
    </x:row>
    <x:row r="10" ht="62" customHeight="1">
      <x:c r="A10" s="19" t="str">
        <x:v>B31-C005</x:v>
      </x:c>
      <x:c r="B10" s="19" t="str">
        <x:v>B31_SRC_N90_WEB</x:v>
      </x:c>
      <x:c r="C10" s="19" t="str">
        <x:v>TECH_RELEASE_20260730</x:v>
      </x:c>
      <x:c r="D10" s="19" t="str">
        <x:v>L62-L64</x:v>
      </x:c>
      <x:c r="E10" s="19" t="str">
        <x:v>大七座旗舰增程SUV</x:v>
      </x:c>
      <x:c r="F10" s="19" t="str"/>
      <x:c r="G10" s="19" t="str">
        <x:v>PC-N90-MAX-CAND</x:v>
      </x:c>
      <x:c r="H10" s="19" t="str">
        <x:v>positioning</x:v>
      </x:c>
      <x:c r="I10" s="19" t="str">
        <x:v>COMMERCIAL</x:v>
      </x:c>
      <x:c r="J10" s="19" t="str">
        <x:v>VALUE</x:v>
      </x:c>
      <x:c r="K10" s="19" t="str">
        <x:v>TEXT</x:v>
      </x:c>
      <x:c r="L10" s="152" t="str"/>
      <x:c r="M10" s="19" t="str">
        <x:v>大七座旗舰增程SUV</x:v>
      </x:c>
      <x:c r="N10" s="19" t="str"/>
      <x:c r="O10" s="19" t="str">
        <x:v>N90_MAX</x:v>
      </x:c>
      <x:c r="P10" s="19" t="str">
        <x:v>POSITIONING_CLAIM</x:v>
      </x:c>
      <x:c r="Q10" s="19" t="str">
        <x:v>官网明确定位</x:v>
      </x:c>
      <x:c r="R10" s="19" t="str">
        <x:v>COMMERCIAL_FACT</x:v>
      </x:c>
      <x:c r="S10" s="19" t="str">
        <x:v>AS_OF_2026-08-04_PRELAUNCH</x:v>
      </x:c>
      <x:c r="T10" s="19" t="str">
        <x:v>POSITIVE</x:v>
      </x:c>
      <x:c r="U10" s="19" t="str">
        <x:v>CONFIRMED</x:v>
      </x:c>
      <x:c r="V10" s="19" t="str">
        <x:v>MODEL_EXCLUDED</x:v>
      </x:c>
      <x:c r="W10" s="19" t="str"/>
      <x:c r="X10" s="19" t="str">
        <x:v>NONE</x:v>
      </x:c>
      <x:c r="Y10" s="19" t="str"/>
    </x:row>
    <x:row r="11" ht="62" customHeight="1">
      <x:c r="A11" s="369" t="str">
        <x:v>B31-C006</x:v>
      </x:c>
      <x:c r="B11" s="369" t="str">
        <x:v>B31_SRC_N90_WEB</x:v>
      </x:c>
      <x:c r="C11" s="369" t="str">
        <x:v>TECH_RELEASE_20260730</x:v>
      </x:c>
      <x:c r="D11" s="369" t="str">
        <x:v>L62-L66/L663-L667</x:v>
      </x:c>
      <x:c r="E11" s="369" t="str">
        <x:v>预售价29.99万</x:v>
      </x:c>
      <x:c r="F11" s="369" t="str"/>
      <x:c r="G11" s="369" t="str">
        <x:v>PC-N90-MAX-CAND</x:v>
      </x:c>
      <x:c r="H11" s="369" t="str">
        <x:v>presale_price</x:v>
      </x:c>
      <x:c r="I11" s="369" t="str">
        <x:v>COMMERCIAL</x:v>
      </x:c>
      <x:c r="J11" s="369" t="str">
        <x:v>VALUE</x:v>
      </x:c>
      <x:c r="K11" s="369" t="str">
        <x:v>NUMERIC</x:v>
      </x:c>
      <x:c r="L11" s="373" t="n">
        <x:v>299900</x:v>
      </x:c>
      <x:c r="M11" s="369" t="str"/>
      <x:c r="N11" s="369" t="str">
        <x:v>CNY</x:v>
      </x:c>
      <x:c r="O11" s="369" t="str">
        <x:v>N90_MAX</x:v>
      </x:c>
      <x:c r="P11" s="369" t="str">
        <x:v>COMMERCIAL_FACT</x:v>
      </x:c>
      <x:c r="Q11" s="369" t="str">
        <x:v>预售价</x:v>
      </x:c>
      <x:c r="R11" s="369" t="str">
        <x:v>COMMERCIAL_FACT</x:v>
      </x:c>
      <x:c r="S11" s="369" t="str">
        <x:v>AS_OF_2026-08-04_PRELAUNCH</x:v>
      </x:c>
      <x:c r="T11" s="369" t="str">
        <x:v>POSITIVE</x:v>
      </x:c>
      <x:c r="U11" s="369" t="str">
        <x:v>CONFIRMED</x:v>
      </x:c>
      <x:c r="V11" s="369" t="str">
        <x:v>MODEL_EXCLUDED</x:v>
      </x:c>
      <x:c r="W11" s="369" t="str"/>
      <x:c r="X11" s="369" t="str">
        <x:v>NONE</x:v>
      </x:c>
      <x:c r="Y11" s="369" t="str"/>
    </x:row>
    <x:row r="12" ht="62" customHeight="1">
      <x:c r="A12" s="19" t="str">
        <x:v>B31-C007</x:v>
      </x:c>
      <x:c r="B12" s="19" t="str">
        <x:v>B31_SRC_N90_WEB</x:v>
      </x:c>
      <x:c r="C12" s="19" t="str">
        <x:v>TECH_RELEASE_20260730</x:v>
      </x:c>
      <x:c r="D12" s="19" t="str">
        <x:v>L663-L667</x:v>
      </x:c>
      <x:c r="E12" s="19" t="str">
        <x:v>2026年9月正式发布</x:v>
      </x:c>
      <x:c r="F12" s="19" t="str"/>
      <x:c r="G12" s="19" t="str">
        <x:v>PC-N90-MAX-CAND</x:v>
      </x:c>
      <x:c r="H12" s="19" t="str">
        <x:v>formal_launch_timing</x:v>
      </x:c>
      <x:c r="I12" s="19" t="str">
        <x:v>COMMERCIAL</x:v>
      </x:c>
      <x:c r="J12" s="19" t="str">
        <x:v>VALUE</x:v>
      </x:c>
      <x:c r="K12" s="19" t="str">
        <x:v>TEXT</x:v>
      </x:c>
      <x:c r="L12" s="152" t="str"/>
      <x:c r="M12" s="19" t="str">
        <x:v>2026年9月正式发布</x:v>
      </x:c>
      <x:c r="N12" s="19" t="str"/>
      <x:c r="O12" s="19" t="str">
        <x:v>N90_MAX</x:v>
      </x:c>
      <x:c r="P12" s="19" t="str">
        <x:v>FUTURE_COMMITMENT</x:v>
      </x:c>
      <x:c r="Q12" s="19" t="str">
        <x:v>未来正式发布时点</x:v>
      </x:c>
      <x:c r="R12" s="19" t="str">
        <x:v>FUTURE_COMMITMENT</x:v>
      </x:c>
      <x:c r="S12" s="19" t="str">
        <x:v>AS_OF_2026-08-04_PRELAUNCH</x:v>
      </x:c>
      <x:c r="T12" s="19" t="str">
        <x:v>POSITIVE</x:v>
      </x:c>
      <x:c r="U12" s="19" t="str">
        <x:v>CONFIRMED</x:v>
      </x:c>
      <x:c r="V12" s="19" t="str">
        <x:v>MODEL_EXCLUDED</x:v>
      </x:c>
      <x:c r="W12" s="19" t="str"/>
      <x:c r="X12" s="19" t="str">
        <x:v>NONE</x:v>
      </x:c>
      <x:c r="Y12" s="19" t="str"/>
    </x:row>
    <x:row r="13" ht="62" customHeight="1">
      <x:c r="A13" s="369" t="str">
        <x:v>B31-C008</x:v>
      </x:c>
      <x:c r="B13" s="369" t="str">
        <x:v>B31_SRC_SMALL_ORDER</x:v>
      </x:c>
      <x:c r="C13" s="369" t="str">
        <x:v>TECH_RELEASE_20260730</x:v>
      </x:c>
      <x:c r="D13" s="369" t="str"/>
      <x:c r="E13" s="369" t="str">
        <x:v>1000元意向金</x:v>
      </x:c>
      <x:c r="F13" s="369" t="str"/>
      <x:c r="G13" s="369" t="str">
        <x:v>PC-N70-MAX-CAND</x:v>
      </x:c>
      <x:c r="H13" s="369" t="str">
        <x:v>small_order_deposit</x:v>
      </x:c>
      <x:c r="I13" s="369" t="str">
        <x:v>COMMERCIAL</x:v>
      </x:c>
      <x:c r="J13" s="369" t="str">
        <x:v>VALUE</x:v>
      </x:c>
      <x:c r="K13" s="369" t="str">
        <x:v>NUMERIC</x:v>
      </x:c>
      <x:c r="L13" s="373" t="n">
        <x:v>1000</x:v>
      </x:c>
      <x:c r="M13" s="369" t="str"/>
      <x:c r="N13" s="369" t="str">
        <x:v>CNY</x:v>
      </x:c>
      <x:c r="O13" s="369" t="str">
        <x:v>N70_MAX</x:v>
      </x:c>
      <x:c r="P13" s="369" t="str">
        <x:v>COMMERCIAL_FACT</x:v>
      </x:c>
      <x:c r="Q13" s="369" t="str">
        <x:v>官方小订权益</x:v>
      </x:c>
      <x:c r="R13" s="369" t="str">
        <x:v>COMMERCIAL_FACT</x:v>
      </x:c>
      <x:c r="S13" s="369" t="str">
        <x:v>EVENT_2026-07-30_TIME_SENSITIVE</x:v>
      </x:c>
      <x:c r="T13" s="369" t="str">
        <x:v>POSITIVE</x:v>
      </x:c>
      <x:c r="U13" s="369" t="str">
        <x:v>CONFIRMED</x:v>
      </x:c>
      <x:c r="V13" s="369" t="str">
        <x:v>MODEL_EXCLUDED</x:v>
      </x:c>
      <x:c r="W13" s="369" t="str"/>
      <x:c r="X13" s="369" t="str">
        <x:v>NONE</x:v>
      </x:c>
      <x:c r="Y13" s="369" t="str"/>
    </x:row>
    <x:row r="14" ht="62" customHeight="1">
      <x:c r="A14" s="19" t="str">
        <x:v>B31-C009</x:v>
      </x:c>
      <x:c r="B14" s="19" t="str">
        <x:v>B31_SRC_SMALL_ORDER</x:v>
      </x:c>
      <x:c r="C14" s="19" t="str">
        <x:v>TECH_RELEASE_20260730</x:v>
      </x:c>
      <x:c r="D14" s="19" t="str"/>
      <x:c r="E14" s="19" t="str">
        <x:v>发布后随时可退</x:v>
      </x:c>
      <x:c r="F14" s="19" t="str"/>
      <x:c r="G14" s="19" t="str">
        <x:v>PC-N70-MAX-CAND</x:v>
      </x:c>
      <x:c r="H14" s="19" t="str">
        <x:v>deposit_refundability</x:v>
      </x:c>
      <x:c r="I14" s="19" t="str">
        <x:v>COMMERCIAL</x:v>
      </x:c>
      <x:c r="J14" s="19" t="str">
        <x:v>VALUE</x:v>
      </x:c>
      <x:c r="K14" s="19" t="str">
        <x:v>TEXT</x:v>
      </x:c>
      <x:c r="L14" s="152" t="str"/>
      <x:c r="M14" s="19" t="str">
        <x:v>发布后随时可退</x:v>
      </x:c>
      <x:c r="N14" s="19" t="str"/>
      <x:c r="O14" s="19" t="str">
        <x:v>N70_MAX</x:v>
      </x:c>
      <x:c r="P14" s="19" t="str">
        <x:v>COMMERCIAL_FACT</x:v>
      </x:c>
      <x:c r="Q14" s="19" t="str">
        <x:v>官方活动原文</x:v>
      </x:c>
      <x:c r="R14" s="19" t="str">
        <x:v>COMMERCIAL_FACT</x:v>
      </x:c>
      <x:c r="S14" s="19" t="str">
        <x:v>EVENT_2026-07-30_TIME_SENSITIVE</x:v>
      </x:c>
      <x:c r="T14" s="19" t="str">
        <x:v>POSITIVE</x:v>
      </x:c>
      <x:c r="U14" s="19" t="str">
        <x:v>CONFIRMED</x:v>
      </x:c>
      <x:c r="V14" s="19" t="str">
        <x:v>MODEL_EXCLUDED</x:v>
      </x:c>
      <x:c r="W14" s="19" t="str"/>
      <x:c r="X14" s="19" t="str">
        <x:v>NONE</x:v>
      </x:c>
      <x:c r="Y14" s="19" t="str">
        <x:v>只保留当时活动语境，不改写为永久规则</x:v>
      </x:c>
    </x:row>
    <x:row r="15" ht="62" customHeight="1">
      <x:c r="A15" s="369" t="str">
        <x:v>B31-C010</x:v>
      </x:c>
      <x:c r="B15" s="369" t="str">
        <x:v>B31_SRC_SMALL_ORDER</x:v>
      </x:c>
      <x:c r="C15" s="369" t="str">
        <x:v>TECH_RELEASE_20260730</x:v>
      </x:c>
      <x:c r="D15" s="369" t="str"/>
      <x:c r="E15" s="369" t="str">
        <x:v>锁单享优先排产，提车赠价值999元车载桌板双杯托版</x:v>
      </x:c>
      <x:c r="F15" s="369" t="str"/>
      <x:c r="G15" s="369" t="str">
        <x:v>PC-N70-MAX-CAND</x:v>
      </x:c>
      <x:c r="H15" s="369" t="str">
        <x:v>small_order_benefit</x:v>
      </x:c>
      <x:c r="I15" s="369" t="str">
        <x:v>COMMERCIAL</x:v>
      </x:c>
      <x:c r="J15" s="369" t="str">
        <x:v>VALUE</x:v>
      </x:c>
      <x:c r="K15" s="369" t="str">
        <x:v>TEXT</x:v>
      </x:c>
      <x:c r="L15" s="373" t="str"/>
      <x:c r="M15" s="369" t="str">
        <x:v>锁单优先排产；提车赠价值999元车载桌板双杯托版</x:v>
      </x:c>
      <x:c r="N15" s="369" t="str"/>
      <x:c r="O15" s="369" t="str">
        <x:v>N70_MAX</x:v>
      </x:c>
      <x:c r="P15" s="369" t="str">
        <x:v>COMMERCIAL_FACT</x:v>
      </x:c>
      <x:c r="Q15" s="369" t="str">
        <x:v>限时权益</x:v>
      </x:c>
      <x:c r="R15" s="369" t="str">
        <x:v>COMMERCIAL_FACT</x:v>
      </x:c>
      <x:c r="S15" s="369" t="str">
        <x:v>EVENT_2026-07-30_TIME_SENSITIVE</x:v>
      </x:c>
      <x:c r="T15" s="369" t="str">
        <x:v>POSITIVE</x:v>
      </x:c>
      <x:c r="U15" s="369" t="str">
        <x:v>CONFIRMED</x:v>
      </x:c>
      <x:c r="V15" s="369" t="str">
        <x:v>MODEL_EXCLUDED</x:v>
      </x:c>
      <x:c r="W15" s="369" t="str"/>
      <x:c r="X15" s="369" t="str">
        <x:v>NONE</x:v>
      </x:c>
      <x:c r="Y15" s="369" t="str"/>
    </x:row>
    <x:row r="16" ht="62" customHeight="1">
      <x:c r="A16" s="19" t="str">
        <x:v>B31-C011</x:v>
      </x:c>
      <x:c r="B16" s="19" t="str">
        <x:v>B31_SRC_SMALL_ORDER</x:v>
      </x:c>
      <x:c r="C16" s="19" t="str">
        <x:v>TECH_RELEASE_20260730</x:v>
      </x:c>
      <x:c r="D16" s="19" t="str"/>
      <x:c r="E16" s="19" t="str">
        <x:v>1000元意向金</x:v>
      </x:c>
      <x:c r="F16" s="19" t="str"/>
      <x:c r="G16" s="19" t="str">
        <x:v>PC-N90-MAX-CAND</x:v>
      </x:c>
      <x:c r="H16" s="19" t="str">
        <x:v>small_order_deposit</x:v>
      </x:c>
      <x:c r="I16" s="19" t="str">
        <x:v>COMMERCIAL</x:v>
      </x:c>
      <x:c r="J16" s="19" t="str">
        <x:v>VALUE</x:v>
      </x:c>
      <x:c r="K16" s="19" t="str">
        <x:v>NUMERIC</x:v>
      </x:c>
      <x:c r="L16" s="152" t="n">
        <x:v>1000</x:v>
      </x:c>
      <x:c r="M16" s="19" t="str"/>
      <x:c r="N16" s="19" t="str">
        <x:v>CNY</x:v>
      </x:c>
      <x:c r="O16" s="19" t="str">
        <x:v>N90_MAX</x:v>
      </x:c>
      <x:c r="P16" s="19" t="str">
        <x:v>COMMERCIAL_FACT</x:v>
      </x:c>
      <x:c r="Q16" s="19" t="str">
        <x:v>官方小订权益</x:v>
      </x:c>
      <x:c r="R16" s="19" t="str">
        <x:v>COMMERCIAL_FACT</x:v>
      </x:c>
      <x:c r="S16" s="19" t="str">
        <x:v>EVENT_2026-07-30_TIME_SENSITIVE</x:v>
      </x:c>
      <x:c r="T16" s="19" t="str">
        <x:v>POSITIVE</x:v>
      </x:c>
      <x:c r="U16" s="19" t="str">
        <x:v>CONFIRMED</x:v>
      </x:c>
      <x:c r="V16" s="19" t="str">
        <x:v>MODEL_EXCLUDED</x:v>
      </x:c>
      <x:c r="W16" s="19" t="str"/>
      <x:c r="X16" s="19" t="str">
        <x:v>NONE</x:v>
      </x:c>
      <x:c r="Y16" s="19" t="str"/>
    </x:row>
    <x:row r="17" ht="62" customHeight="1">
      <x:c r="A17" s="369" t="str">
        <x:v>B31-C012</x:v>
      </x:c>
      <x:c r="B17" s="369" t="str">
        <x:v>B31_SRC_SMALL_ORDER</x:v>
      </x:c>
      <x:c r="C17" s="369" t="str">
        <x:v>TECH_RELEASE_20260730</x:v>
      </x:c>
      <x:c r="D17" s="369" t="str"/>
      <x:c r="E17" s="369" t="str">
        <x:v>发布后随时可退</x:v>
      </x:c>
      <x:c r="F17" s="369" t="str"/>
      <x:c r="G17" s="369" t="str">
        <x:v>PC-N90-MAX-CAND</x:v>
      </x:c>
      <x:c r="H17" s="369" t="str">
        <x:v>deposit_refundability</x:v>
      </x:c>
      <x:c r="I17" s="369" t="str">
        <x:v>COMMERCIAL</x:v>
      </x:c>
      <x:c r="J17" s="369" t="str">
        <x:v>VALUE</x:v>
      </x:c>
      <x:c r="K17" s="369" t="str">
        <x:v>TEXT</x:v>
      </x:c>
      <x:c r="L17" s="373" t="str"/>
      <x:c r="M17" s="369" t="str">
        <x:v>发布后随时可退</x:v>
      </x:c>
      <x:c r="N17" s="369" t="str"/>
      <x:c r="O17" s="369" t="str">
        <x:v>N90_MAX</x:v>
      </x:c>
      <x:c r="P17" s="369" t="str">
        <x:v>COMMERCIAL_FACT</x:v>
      </x:c>
      <x:c r="Q17" s="369" t="str">
        <x:v>官方活动原文</x:v>
      </x:c>
      <x:c r="R17" s="369" t="str">
        <x:v>COMMERCIAL_FACT</x:v>
      </x:c>
      <x:c r="S17" s="369" t="str">
        <x:v>EVENT_2026-07-30_TIME_SENSITIVE</x:v>
      </x:c>
      <x:c r="T17" s="369" t="str">
        <x:v>POSITIVE</x:v>
      </x:c>
      <x:c r="U17" s="369" t="str">
        <x:v>CONFIRMED</x:v>
      </x:c>
      <x:c r="V17" s="369" t="str">
        <x:v>MODEL_EXCLUDED</x:v>
      </x:c>
      <x:c r="W17" s="369" t="str"/>
      <x:c r="X17" s="369" t="str">
        <x:v>NONE</x:v>
      </x:c>
      <x:c r="Y17" s="369" t="str">
        <x:v>只保留当时活动语境，不改写为永久规则</x:v>
      </x:c>
    </x:row>
    <x:row r="18" ht="62" customHeight="1">
      <x:c r="A18" s="19" t="str">
        <x:v>B31-C013</x:v>
      </x:c>
      <x:c r="B18" s="19" t="str">
        <x:v>B31_SRC_SMALL_ORDER</x:v>
      </x:c>
      <x:c r="C18" s="19" t="str">
        <x:v>TECH_RELEASE_20260730</x:v>
      </x:c>
      <x:c r="D18" s="19" t="str"/>
      <x:c r="E18" s="19" t="str">
        <x:v>锁单享优先排产，提车赠价值999元车载桌板双杯托版</x:v>
      </x:c>
      <x:c r="F18" s="19" t="str"/>
      <x:c r="G18" s="19" t="str">
        <x:v>PC-N90-MAX-CAND</x:v>
      </x:c>
      <x:c r="H18" s="19" t="str">
        <x:v>small_order_benefit</x:v>
      </x:c>
      <x:c r="I18" s="19" t="str">
        <x:v>COMMERCIAL</x:v>
      </x:c>
      <x:c r="J18" s="19" t="str">
        <x:v>VALUE</x:v>
      </x:c>
      <x:c r="K18" s="19" t="str">
        <x:v>TEXT</x:v>
      </x:c>
      <x:c r="L18" s="152" t="str"/>
      <x:c r="M18" s="19" t="str">
        <x:v>锁单优先排产；提车赠价值999元车载桌板双杯托版</x:v>
      </x:c>
      <x:c r="N18" s="19" t="str"/>
      <x:c r="O18" s="19" t="str">
        <x:v>N90_MAX</x:v>
      </x:c>
      <x:c r="P18" s="19" t="str">
        <x:v>COMMERCIAL_FACT</x:v>
      </x:c>
      <x:c r="Q18" s="19" t="str">
        <x:v>限时权益</x:v>
      </x:c>
      <x:c r="R18" s="19" t="str">
        <x:v>COMMERCIAL_FACT</x:v>
      </x:c>
      <x:c r="S18" s="19" t="str">
        <x:v>EVENT_2026-07-30_TIME_SENSITIVE</x:v>
      </x:c>
      <x:c r="T18" s="19" t="str">
        <x:v>POSITIVE</x:v>
      </x:c>
      <x:c r="U18" s="19" t="str">
        <x:v>CONFIRMED</x:v>
      </x:c>
      <x:c r="V18" s="19" t="str">
        <x:v>MODEL_EXCLUDED</x:v>
      </x:c>
      <x:c r="W18" s="19" t="str"/>
      <x:c r="X18" s="19" t="str">
        <x:v>NONE</x:v>
      </x:c>
      <x:c r="Y18" s="19" t="str"/>
    </x:row>
    <x:row r="19" ht="62" customHeight="1">
      <x:c r="A19" s="369" t="str">
        <x:v>B31-C014</x:v>
      </x:c>
      <x:c r="B19" s="369" t="str">
        <x:v>B31_SRC_N70_POWER</x:v>
      </x:c>
      <x:c r="C19" s="369" t="str">
        <x:v>TECH_RELEASE_20260730</x:v>
      </x:c>
      <x:c r="D19" s="369" t="str"/>
      <x:c r="E19" s="369" t="str">
        <x:v>双电机四驱</x:v>
      </x:c>
      <x:c r="F19" s="369" t="str"/>
      <x:c r="G19" s="369" t="str">
        <x:v>PC-N70-MAX-CAND</x:v>
      </x:c>
      <x:c r="H19" s="369" t="str">
        <x:v>drive_layout</x:v>
      </x:c>
      <x:c r="I19" s="369" t="str">
        <x:v>POWERTRAIN</x:v>
      </x:c>
      <x:c r="J19" s="369" t="str">
        <x:v>VALUE</x:v>
      </x:c>
      <x:c r="K19" s="369" t="str">
        <x:v>TEXT</x:v>
      </x:c>
      <x:c r="L19" s="373" t="str"/>
      <x:c r="M19" s="369" t="str">
        <x:v>双电机四驱</x:v>
      </x:c>
      <x:c r="N19" s="369" t="str"/>
      <x:c r="O19" s="369" t="str">
        <x:v>N70_MAX</x:v>
      </x:c>
      <x:c r="P19" s="369" t="str">
        <x:v>EQUIPPED_CLAIM</x:v>
      </x:c>
      <x:c r="Q19" s="369" t="str">
        <x:v>搭载/配备/页面展示</x:v>
      </x:c>
      <x:c r="R19" s="369" t="str">
        <x:v>EQUIPPED_STANDARD_UNCONFIRMED</x:v>
      </x:c>
      <x:c r="S19" s="369" t="str">
        <x:v>AS_OF_2026-08-04_PRELAUNCH</x:v>
      </x:c>
      <x:c r="T19" s="369" t="str">
        <x:v>POSITIVE</x:v>
      </x:c>
      <x:c r="U19" s="369" t="str">
        <x:v>CONFIRMED</x:v>
      </x:c>
      <x:c r="V19" s="369" t="str">
        <x:v>EXCLUDED_UNTIL_3.1C</x:v>
      </x:c>
      <x:c r="W19" s="369" t="str"/>
      <x:c r="X19" s="369" t="str">
        <x:v>NONE</x:v>
      </x:c>
      <x:c r="Y19" s="369" t="str"/>
    </x:row>
    <x:row r="20" ht="62" customHeight="1">
      <x:c r="A20" s="19" t="str">
        <x:v>B31-C015</x:v>
      </x:c>
      <x:c r="B20" s="19" t="str">
        <x:v>B31_SRC_N70_POWER</x:v>
      </x:c>
      <x:c r="C20" s="19" t="str">
        <x:v>TECH_RELEASE_20260730</x:v>
      </x:c>
      <x:c r="D20" s="19" t="str"/>
      <x:c r="E20" s="19" t="str">
        <x:v>峰值功率310kW</x:v>
      </x:c>
      <x:c r="F20" s="19" t="str"/>
      <x:c r="G20" s="19" t="str">
        <x:v>PC-N70-MAX-CAND</x:v>
      </x:c>
      <x:c r="H20" s="19" t="str">
        <x:v>peak_power_total</x:v>
      </x:c>
      <x:c r="I20" s="19" t="str">
        <x:v>POWERTRAIN</x:v>
      </x:c>
      <x:c r="J20" s="19" t="str">
        <x:v>VALUE</x:v>
      </x:c>
      <x:c r="K20" s="19" t="str">
        <x:v>NUMERIC</x:v>
      </x:c>
      <x:c r="L20" s="152" t="n">
        <x:v>310</x:v>
      </x:c>
      <x:c r="M20" s="19" t="str"/>
      <x:c r="N20" s="19" t="str">
        <x:v>kW</x:v>
      </x:c>
      <x:c r="O20" s="19" t="str">
        <x:v>N70_MAX</x:v>
      </x:c>
      <x:c r="P20" s="19" t="str">
        <x:v>EQUIPPED_CLAIM</x:v>
      </x:c>
      <x:c r="Q20" s="19" t="str">
        <x:v>搭载/配备/页面展示</x:v>
      </x:c>
      <x:c r="R20" s="19" t="str">
        <x:v>EQUIPPED_STANDARD_UNCONFIRMED</x:v>
      </x:c>
      <x:c r="S20" s="19" t="str">
        <x:v>AS_OF_2026-08-04_PRELAUNCH</x:v>
      </x:c>
      <x:c r="T20" s="19" t="str">
        <x:v>POSITIVE</x:v>
      </x:c>
      <x:c r="U20" s="19" t="str">
        <x:v>CONFIRMED</x:v>
      </x:c>
      <x:c r="V20" s="19" t="str">
        <x:v>EXCLUDED_UNTIL_3.1C</x:v>
      </x:c>
      <x:c r="W20" s="19" t="str"/>
      <x:c r="X20" s="19" t="str">
        <x:v>NONE</x:v>
      </x:c>
      <x:c r="Y20" s="19" t="str"/>
    </x:row>
    <x:row r="21" ht="62" customHeight="1">
      <x:c r="A21" s="369" t="str">
        <x:v>B31-C016</x:v>
      </x:c>
      <x:c r="B21" s="369" t="str">
        <x:v>B31_SRC_N70_POWER</x:v>
      </x:c>
      <x:c r="C21" s="369" t="str">
        <x:v>TECH_RELEASE_20260730</x:v>
      </x:c>
      <x:c r="D21" s="369" t="str"/>
      <x:c r="E21" s="369" t="str">
        <x:v>最高车速190km/h</x:v>
      </x:c>
      <x:c r="F21" s="369" t="str"/>
      <x:c r="G21" s="369" t="str">
        <x:v>PC-N70-MAX-CAND</x:v>
      </x:c>
      <x:c r="H21" s="369" t="str">
        <x:v>top_speed</x:v>
      </x:c>
      <x:c r="I21" s="369" t="str">
        <x:v>POWERTRAIN</x:v>
      </x:c>
      <x:c r="J21" s="369" t="str">
        <x:v>VALUE</x:v>
      </x:c>
      <x:c r="K21" s="369" t="str">
        <x:v>NUMERIC</x:v>
      </x:c>
      <x:c r="L21" s="373" t="n">
        <x:v>190</x:v>
      </x:c>
      <x:c r="M21" s="369" t="str"/>
      <x:c r="N21" s="369" t="str">
        <x:v>km/h</x:v>
      </x:c>
      <x:c r="O21" s="369" t="str">
        <x:v>N70_MAX</x:v>
      </x:c>
      <x:c r="P21" s="369" t="str">
        <x:v>EQUIPPED_CLAIM</x:v>
      </x:c>
      <x:c r="Q21" s="369" t="str">
        <x:v>搭载/配备/页面展示</x:v>
      </x:c>
      <x:c r="R21" s="369" t="str">
        <x:v>EQUIPPED_STANDARD_UNCONFIRMED</x:v>
      </x:c>
      <x:c r="S21" s="369" t="str">
        <x:v>AS_OF_2026-08-04_PRELAUNCH</x:v>
      </x:c>
      <x:c r="T21" s="369" t="str">
        <x:v>POSITIVE</x:v>
      </x:c>
      <x:c r="U21" s="369" t="str">
        <x:v>CONFIRMED</x:v>
      </x:c>
      <x:c r="V21" s="369" t="str">
        <x:v>EXCLUDED_UNTIL_3.1C</x:v>
      </x:c>
      <x:c r="W21" s="369" t="str"/>
      <x:c r="X21" s="369" t="str">
        <x:v>NONE</x:v>
      </x:c>
      <x:c r="Y21" s="369" t="str"/>
    </x:row>
    <x:row r="22" ht="62" customHeight="1">
      <x:c r="A22" s="19" t="str">
        <x:v>B31-C017</x:v>
      </x:c>
      <x:c r="B22" s="19" t="str">
        <x:v>B31_SRC_N70_POWER</x:v>
      </x:c>
      <x:c r="C22" s="19" t="str">
        <x:v>TECH_RELEASE_20260730</x:v>
      </x:c>
      <x:c r="D22" s="19" t="str"/>
      <x:c r="E22" s="19" t="str">
        <x:v>CLTC纯电续航505km</x:v>
      </x:c>
      <x:c r="F22" s="19" t="str"/>
      <x:c r="G22" s="19" t="str">
        <x:v>PC-N70-MAX-CAND</x:v>
      </x:c>
      <x:c r="H22" s="19" t="str">
        <x:v>cltc_ev_range</x:v>
      </x:c>
      <x:c r="I22" s="19" t="str">
        <x:v>ENERGY</x:v>
      </x:c>
      <x:c r="J22" s="19" t="str">
        <x:v>VALUE</x:v>
      </x:c>
      <x:c r="K22" s="19" t="str">
        <x:v>NUMERIC</x:v>
      </x:c>
      <x:c r="L22" s="152" t="n">
        <x:v>505</x:v>
      </x:c>
      <x:c r="M22" s="19" t="str"/>
      <x:c r="N22" s="19" t="str">
        <x:v>km</x:v>
      </x:c>
      <x:c r="O22" s="19" t="str">
        <x:v>N70_MAX</x:v>
      </x:c>
      <x:c r="P22" s="19" t="str">
        <x:v>EQUIPPED_CLAIM</x:v>
      </x:c>
      <x:c r="Q22" s="19" t="str">
        <x:v>搭载/配备/页面展示</x:v>
      </x:c>
      <x:c r="R22" s="19" t="str">
        <x:v>EQUIPPED_STANDARD_UNCONFIRMED</x:v>
      </x:c>
      <x:c r="S22" s="19" t="str">
        <x:v>AS_OF_2026-08-04_PRELAUNCH</x:v>
      </x:c>
      <x:c r="T22" s="19" t="str">
        <x:v>POSITIVE</x:v>
      </x:c>
      <x:c r="U22" s="19" t="str">
        <x:v>CONFIRMED</x:v>
      </x:c>
      <x:c r="V22" s="19" t="str">
        <x:v>EXCLUDED_UNTIL_3.1C</x:v>
      </x:c>
      <x:c r="W22" s="19" t="str"/>
      <x:c r="X22" s="19" t="str">
        <x:v>NONE</x:v>
      </x:c>
      <x:c r="Y22" s="19" t="str"/>
    </x:row>
    <x:row r="23" ht="62" customHeight="1">
      <x:c r="A23" s="369" t="str">
        <x:v>B31-C018</x:v>
      </x:c>
      <x:c r="B23" s="369" t="str">
        <x:v>B31_SRC_N70_POWER</x:v>
      </x:c>
      <x:c r="C23" s="369" t="str">
        <x:v>TECH_RELEASE_20260730</x:v>
      </x:c>
      <x:c r="D23" s="369" t="str"/>
      <x:c r="E23" s="369" t="str">
        <x:v>CLTC综合续航1461km</x:v>
      </x:c>
      <x:c r="F23" s="369" t="str"/>
      <x:c r="G23" s="369" t="str">
        <x:v>PC-N70-MAX-CAND</x:v>
      </x:c>
      <x:c r="H23" s="369" t="str">
        <x:v>cltc_combined_range</x:v>
      </x:c>
      <x:c r="I23" s="369" t="str">
        <x:v>ENERGY</x:v>
      </x:c>
      <x:c r="J23" s="369" t="str">
        <x:v>VALUE</x:v>
      </x:c>
      <x:c r="K23" s="369" t="str">
        <x:v>NUMERIC</x:v>
      </x:c>
      <x:c r="L23" s="373" t="n">
        <x:v>1461</x:v>
      </x:c>
      <x:c r="M23" s="369" t="str"/>
      <x:c r="N23" s="369" t="str">
        <x:v>km</x:v>
      </x:c>
      <x:c r="O23" s="369" t="str">
        <x:v>N70_MAX</x:v>
      </x:c>
      <x:c r="P23" s="369" t="str">
        <x:v>EQUIPPED_CLAIM</x:v>
      </x:c>
      <x:c r="Q23" s="369" t="str">
        <x:v>搭载/配备/页面展示</x:v>
      </x:c>
      <x:c r="R23" s="369" t="str">
        <x:v>EQUIPPED_STANDARD_UNCONFIRMED</x:v>
      </x:c>
      <x:c r="S23" s="369" t="str">
        <x:v>AS_OF_2026-08-04_PRELAUNCH</x:v>
      </x:c>
      <x:c r="T23" s="369" t="str">
        <x:v>POSITIVE</x:v>
      </x:c>
      <x:c r="U23" s="369" t="str">
        <x:v>CONFIRMED</x:v>
      </x:c>
      <x:c r="V23" s="369" t="str">
        <x:v>EXCLUDED_UNTIL_3.1C</x:v>
      </x:c>
      <x:c r="W23" s="369" t="str"/>
      <x:c r="X23" s="369" t="str">
        <x:v>NONE</x:v>
      </x:c>
      <x:c r="Y23" s="369" t="str"/>
    </x:row>
    <x:row r="24" ht="62" customHeight="1">
      <x:c r="A24" s="19" t="str">
        <x:v>B31-C019</x:v>
      </x:c>
      <x:c r="B24" s="19" t="str">
        <x:v>B31_SRC_N70_POWER</x:v>
      </x:c>
      <x:c r="C24" s="19" t="str">
        <x:v>TECH_RELEASE_20260730</x:v>
      </x:c>
      <x:c r="D24" s="19" t="str"/>
      <x:c r="E24" s="19" t="str">
        <x:v>亏电油耗6.1L/100km</x:v>
      </x:c>
      <x:c r="F24" s="19" t="str"/>
      <x:c r="G24" s="19" t="str">
        <x:v>PC-N70-MAX-CAND</x:v>
      </x:c>
      <x:c r="H24" s="19" t="str">
        <x:v>charge_sustaining_fuel</x:v>
      </x:c>
      <x:c r="I24" s="19" t="str">
        <x:v>ENERGY</x:v>
      </x:c>
      <x:c r="J24" s="19" t="str">
        <x:v>VALUE</x:v>
      </x:c>
      <x:c r="K24" s="19" t="str">
        <x:v>NUMERIC</x:v>
      </x:c>
      <x:c r="L24" s="152" t="n">
        <x:v>6.1</x:v>
      </x:c>
      <x:c r="M24" s="19" t="str"/>
      <x:c r="N24" s="19" t="str">
        <x:v>L/100km</x:v>
      </x:c>
      <x:c r="O24" s="19" t="str">
        <x:v>N70_MAX</x:v>
      </x:c>
      <x:c r="P24" s="19" t="str">
        <x:v>EQUIPPED_CLAIM</x:v>
      </x:c>
      <x:c r="Q24" s="19" t="str">
        <x:v>搭载/配备/页面展示</x:v>
      </x:c>
      <x:c r="R24" s="19" t="str">
        <x:v>EQUIPPED_STANDARD_UNCONFIRMED</x:v>
      </x:c>
      <x:c r="S24" s="19" t="str">
        <x:v>AS_OF_2026-08-04_PRELAUNCH</x:v>
      </x:c>
      <x:c r="T24" s="19" t="str">
        <x:v>POSITIVE</x:v>
      </x:c>
      <x:c r="U24" s="19" t="str">
        <x:v>VALUE_CONFIRMED_CYCLE_NOT_DISCLOSED</x:v>
      </x:c>
      <x:c r="V24" s="19" t="str">
        <x:v>EXCLUDED_UNTIL_3.1C</x:v>
      </x:c>
      <x:c r="W24" s="19" t="str">
        <x:v>CG_FUEL_CYCLE</x:v>
      </x:c>
      <x:c r="X24" s="19" t="str">
        <x:v>NONE</x:v>
      </x:c>
      <x:c r="Y24" s="19" t="str">
        <x:v>原帖同句未标测试循环</x:v>
      </x:c>
    </x:row>
    <x:row r="25" ht="62" customHeight="1">
      <x:c r="A25" s="369" t="str">
        <x:v>B31-C020</x:v>
      </x:c>
      <x:c r="B25" s="369" t="str">
        <x:v>B31_SRC_N70_ENERGY</x:v>
      </x:c>
      <x:c r="C25" s="369" t="str">
        <x:v>TECH_RELEASE_20260730</x:v>
      </x:c>
      <x:c r="D25" s="369" t="str"/>
      <x:c r="E25" s="369" t="str">
        <x:v>百公里CLTC最低电耗15.85kWh</x:v>
      </x:c>
      <x:c r="F25" s="369" t="str"/>
      <x:c r="G25" s="369" t="str">
        <x:v>PC-N70-MAX-CAND</x:v>
      </x:c>
      <x:c r="H25" s="369" t="str">
        <x:v>cltc_energy_consumption_min</x:v>
      </x:c>
      <x:c r="I25" s="369" t="str">
        <x:v>ENERGY</x:v>
      </x:c>
      <x:c r="J25" s="369" t="str">
        <x:v>VALUE</x:v>
      </x:c>
      <x:c r="K25" s="369" t="str">
        <x:v>NUMERIC</x:v>
      </x:c>
      <x:c r="L25" s="373" t="n">
        <x:v>15.85</x:v>
      </x:c>
      <x:c r="M25" s="369" t="str"/>
      <x:c r="N25" s="369" t="str">
        <x:v>kWh/100km</x:v>
      </x:c>
      <x:c r="O25" s="369" t="str">
        <x:v>N70_MAX</x:v>
      </x:c>
      <x:c r="P25" s="369" t="str">
        <x:v>MAXIMUM_OR_VARIANT</x:v>
      </x:c>
      <x:c r="Q25" s="369" t="str">
        <x:v>最低值</x:v>
      </x:c>
      <x:c r="R25" s="369" t="str">
        <x:v>EQUIPPED_STANDARD_UNCONFIRMED</x:v>
      </x:c>
      <x:c r="S25" s="369" t="str">
        <x:v>AS_OF_2026-08-04_PRELAUNCH</x:v>
      </x:c>
      <x:c r="T25" s="369" t="str">
        <x:v>POSITIVE</x:v>
      </x:c>
      <x:c r="U25" s="369" t="str">
        <x:v>CONFIRMED</x:v>
      </x:c>
      <x:c r="V25" s="369" t="str">
        <x:v>EXCLUDED_UNTIL_3.1C</x:v>
      </x:c>
      <x:c r="W25" s="369" t="str"/>
      <x:c r="X25" s="369" t="str">
        <x:v>NONE</x:v>
      </x:c>
      <x:c r="Y25" s="369" t="str"/>
    </x:row>
    <x:row r="26" ht="62" customHeight="1">
      <x:c r="A26" s="19" t="str">
        <x:v>B31-C021</x:v>
      </x:c>
      <x:c r="B26" s="19" t="str">
        <x:v>B31_SRC_N70_CHASSIS</x:v>
      </x:c>
      <x:c r="C26" s="19" t="str">
        <x:v>TECH_RELEASE_20260730</x:v>
      </x:c>
      <x:c r="D26" s="19" t="str"/>
      <x:c r="E26" s="19" t="str">
        <x:v>标配空气弹簧</x:v>
      </x:c>
      <x:c r="F26" s="19" t="str"/>
      <x:c r="G26" s="19" t="str">
        <x:v>PC-N70-MAX-CAND</x:v>
      </x:c>
      <x:c r="H26" s="19" t="str">
        <x:v>air_suspension</x:v>
      </x:c>
      <x:c r="I26" s="19" t="str">
        <x:v>CHASSIS</x:v>
      </x:c>
      <x:c r="J26" s="19" t="str">
        <x:v>VALUE</x:v>
      </x:c>
      <x:c r="K26" s="19" t="str">
        <x:v>TEXT</x:v>
      </x:c>
      <x:c r="L26" s="152" t="str"/>
      <x:c r="M26" s="19" t="str">
        <x:v>空气弹簧</x:v>
      </x:c>
      <x:c r="N26" s="19" t="str"/>
      <x:c r="O26" s="19" t="str">
        <x:v>N70_MAX</x:v>
      </x:c>
      <x:c r="P26" s="19" t="str">
        <x:v>EXPLICIT_STANDARD</x:v>
      </x:c>
      <x:c r="Q26" s="19" t="str">
        <x:v>标配</x:v>
      </x:c>
      <x:c r="R26" s="19" t="str">
        <x:v>STANDARD_AT_RELEASE</x:v>
      </x:c>
      <x:c r="S26" s="19" t="str">
        <x:v>AS_OF_2026-08-04_PRELAUNCH</x:v>
      </x:c>
      <x:c r="T26" s="19" t="str">
        <x:v>POSITIVE</x:v>
      </x:c>
      <x:c r="U26" s="19" t="str">
        <x:v>CONFIRMED</x:v>
      </x:c>
      <x:c r="V26" s="19" t="str">
        <x:v>INCLUDED_TEMP_BOM</x:v>
      </x:c>
      <x:c r="W26" s="19" t="str"/>
      <x:c r="X26" s="19" t="str">
        <x:v>NONE</x:v>
      </x:c>
      <x:c r="Y26" s="19" t="str"/>
    </x:row>
    <x:row r="27" ht="62" customHeight="1">
      <x:c r="A27" s="369" t="str">
        <x:v>B31-C022</x:v>
      </x:c>
      <x:c r="B27" s="369" t="str">
        <x:v>B31_SRC_N70_CHASSIS</x:v>
      </x:c>
      <x:c r="C27" s="369" t="str">
        <x:v>TECH_RELEASE_20260730</x:v>
      </x:c>
      <x:c r="D27" s="369" t="str"/>
      <x:c r="E27" s="369" t="str">
        <x:v>标配连续阻尼减振器</x:v>
      </x:c>
      <x:c r="F27" s="369" t="str"/>
      <x:c r="G27" s="369" t="str">
        <x:v>PC-N70-MAX-CAND</x:v>
      </x:c>
      <x:c r="H27" s="369" t="str">
        <x:v>adaptive_damper</x:v>
      </x:c>
      <x:c r="I27" s="369" t="str">
        <x:v>CHASSIS</x:v>
      </x:c>
      <x:c r="J27" s="369" t="str">
        <x:v>VALUE</x:v>
      </x:c>
      <x:c r="K27" s="369" t="str">
        <x:v>TEXT</x:v>
      </x:c>
      <x:c r="L27" s="373" t="str"/>
      <x:c r="M27" s="369" t="str">
        <x:v>连续阻尼减振器</x:v>
      </x:c>
      <x:c r="N27" s="369" t="str"/>
      <x:c r="O27" s="369" t="str">
        <x:v>N70_MAX</x:v>
      </x:c>
      <x:c r="P27" s="369" t="str">
        <x:v>EXPLICIT_STANDARD</x:v>
      </x:c>
      <x:c r="Q27" s="369" t="str">
        <x:v>标配</x:v>
      </x:c>
      <x:c r="R27" s="369" t="str">
        <x:v>STANDARD_AT_RELEASE</x:v>
      </x:c>
      <x:c r="S27" s="369" t="str">
        <x:v>AS_OF_2026-08-04_PRELAUNCH</x:v>
      </x:c>
      <x:c r="T27" s="369" t="str">
        <x:v>POSITIVE</x:v>
      </x:c>
      <x:c r="U27" s="369" t="str">
        <x:v>CONFIRMED</x:v>
      </x:c>
      <x:c r="V27" s="369" t="str">
        <x:v>INCLUDED_TEMP_BOM</x:v>
      </x:c>
      <x:c r="W27" s="369" t="str"/>
      <x:c r="X27" s="369" t="str">
        <x:v>NONE</x:v>
      </x:c>
      <x:c r="Y27" s="369" t="str"/>
    </x:row>
    <x:row r="28" ht="62" customHeight="1">
      <x:c r="A28" s="19" t="str">
        <x:v>B31-C023</x:v>
      </x:c>
      <x:c r="B28" s="19" t="str">
        <x:v>B31_SRC_WADING267</x:v>
      </x:c>
      <x:c r="C28" s="19" t="str">
        <x:v>TECH_RELEASE_20260730</x:v>
      </x:c>
      <x:c r="D28" s="19" t="str"/>
      <x:c r="E28" s="19" t="str">
        <x:v>N70 Max最高涉水深度650mm</x:v>
      </x:c>
      <x:c r="F28" s="19" t="str"/>
      <x:c r="G28" s="19" t="str">
        <x:v>PC-N70-MAX-CAND</x:v>
      </x:c>
      <x:c r="H28" s="19" t="str">
        <x:v>max_wading_depth</x:v>
      </x:c>
      <x:c r="I28" s="19" t="str">
        <x:v>SAFETY</x:v>
      </x:c>
      <x:c r="J28" s="19" t="str">
        <x:v>VALUE</x:v>
      </x:c>
      <x:c r="K28" s="19" t="str">
        <x:v>NUMERIC</x:v>
      </x:c>
      <x:c r="L28" s="152" t="n">
        <x:v>650</x:v>
      </x:c>
      <x:c r="M28" s="19" t="str"/>
      <x:c r="N28" s="19" t="str">
        <x:v>mm</x:v>
      </x:c>
      <x:c r="O28" s="19" t="str">
        <x:v>N70_MAX</x:v>
      </x:c>
      <x:c r="P28" s="19" t="str">
        <x:v>EQUIPPED_CLAIM</x:v>
      </x:c>
      <x:c r="Q28" s="19" t="str">
        <x:v>搭载/配备/页面展示</x:v>
      </x:c>
      <x:c r="R28" s="19" t="str">
        <x:v>EQUIPPED_STANDARD_UNCONFIRMED</x:v>
      </x:c>
      <x:c r="S28" s="19" t="str">
        <x:v>AS_OF_2026-08-04_PRELAUNCH</x:v>
      </x:c>
      <x:c r="T28" s="19" t="str">
        <x:v>POSITIVE</x:v>
      </x:c>
      <x:c r="U28" s="19" t="str">
        <x:v>CONFIRMED</x:v>
      </x:c>
      <x:c r="V28" s="19" t="str">
        <x:v>EXCLUDED_UNTIL_3.1C</x:v>
      </x:c>
      <x:c r="W28" s="19" t="str"/>
      <x:c r="X28" s="19" t="str">
        <x:v>NONE</x:v>
      </x:c>
      <x:c r="Y28" s="19" t="str"/>
    </x:row>
    <x:row r="29" ht="62" customHeight="1">
      <x:c r="A29" s="369" t="str">
        <x:v>B31-C024</x:v>
      </x:c>
      <x:c r="B29" s="369" t="str">
        <x:v>B31_SRC_WADING267</x:v>
      </x:c>
      <x:c r="C29" s="369" t="str">
        <x:v>TECH_RELEASE_20260730</x:v>
      </x:c>
      <x:c r="D29" s="369" t="str"/>
      <x:c r="E29" s="369" t="str">
        <x:v>配备2颗涉水雷达</x:v>
      </x:c>
      <x:c r="F29" s="369" t="str"/>
      <x:c r="G29" s="369" t="str">
        <x:v>PC-N70-MAX-CAND</x:v>
      </x:c>
      <x:c r="H29" s="369" t="str">
        <x:v>wading_radar_count</x:v>
      </x:c>
      <x:c r="I29" s="369" t="str">
        <x:v>SAFETY</x:v>
      </x:c>
      <x:c r="J29" s="369" t="str">
        <x:v>VALUE</x:v>
      </x:c>
      <x:c r="K29" s="369" t="str">
        <x:v>NUMERIC</x:v>
      </x:c>
      <x:c r="L29" s="373" t="n">
        <x:v>2</x:v>
      </x:c>
      <x:c r="M29" s="369" t="str"/>
      <x:c r="N29" s="369" t="str">
        <x:v>count</x:v>
      </x:c>
      <x:c r="O29" s="369" t="str">
        <x:v>N70_MAX</x:v>
      </x:c>
      <x:c r="P29" s="369" t="str">
        <x:v>EXPLICIT_STANDARD</x:v>
      </x:c>
      <x:c r="Q29" s="369" t="str">
        <x:v>涉水相关硬件完全一致/全系配备</x:v>
      </x:c>
      <x:c r="R29" s="369" t="str">
        <x:v>STANDARD_AT_RELEASE</x:v>
      </x:c>
      <x:c r="S29" s="369" t="str">
        <x:v>AS_OF_2026-08-04_PRELAUNCH</x:v>
      </x:c>
      <x:c r="T29" s="369" t="str">
        <x:v>POSITIVE</x:v>
      </x:c>
      <x:c r="U29" s="369" t="str">
        <x:v>CONFIRMED</x:v>
      </x:c>
      <x:c r="V29" s="369" t="str">
        <x:v>INCLUDED_TEMP_BOM</x:v>
      </x:c>
      <x:c r="W29" s="369" t="str"/>
      <x:c r="X29" s="369" t="str">
        <x:v>NONE</x:v>
      </x:c>
      <x:c r="Y29" s="369" t="str"/>
    </x:row>
    <x:row r="30" ht="62" customHeight="1">
      <x:c r="A30" s="19" t="str">
        <x:v>B31-C025</x:v>
      </x:c>
      <x:c r="B30" s="19" t="str">
        <x:v>B31_SRC_WADING267</x:v>
      </x:c>
      <x:c r="C30" s="19" t="str">
        <x:v>TECH_RELEASE_20260730</x:v>
      </x:c>
      <x:c r="D30" s="19" t="str"/>
      <x:c r="E30" s="19" t="str">
        <x:v>24处关键零部件防水密封提升</x:v>
      </x:c>
      <x:c r="F30" s="19" t="str"/>
      <x:c r="G30" s="19" t="str">
        <x:v>PC-N70-MAX-CAND</x:v>
      </x:c>
      <x:c r="H30" s="19" t="str">
        <x:v>waterproof_key_parts</x:v>
      </x:c>
      <x:c r="I30" s="19" t="str">
        <x:v>SAFETY</x:v>
      </x:c>
      <x:c r="J30" s="19" t="str">
        <x:v>VALUE</x:v>
      </x:c>
      <x:c r="K30" s="19" t="str">
        <x:v>NUMERIC</x:v>
      </x:c>
      <x:c r="L30" s="152" t="n">
        <x:v>24</x:v>
      </x:c>
      <x:c r="M30" s="19" t="str"/>
      <x:c r="N30" s="19" t="str">
        <x:v>count</x:v>
      </x:c>
      <x:c r="O30" s="19" t="str">
        <x:v>N70_MAX</x:v>
      </x:c>
      <x:c r="P30" s="19" t="str">
        <x:v>EXPLICIT_STANDARD</x:v>
      </x:c>
      <x:c r="Q30" s="19" t="str">
        <x:v>涉水相关硬件完全一致</x:v>
      </x:c>
      <x:c r="R30" s="19" t="str">
        <x:v>STANDARD_AT_RELEASE</x:v>
      </x:c>
      <x:c r="S30" s="19" t="str">
        <x:v>AS_OF_2026-08-04_PRELAUNCH</x:v>
      </x:c>
      <x:c r="T30" s="19" t="str">
        <x:v>POSITIVE</x:v>
      </x:c>
      <x:c r="U30" s="19" t="str">
        <x:v>CONFIRMED</x:v>
      </x:c>
      <x:c r="V30" s="19" t="str">
        <x:v>INCLUDED_TEMP_BOM</x:v>
      </x:c>
      <x:c r="W30" s="19" t="str"/>
      <x:c r="X30" s="19" t="str">
        <x:v>NONE</x:v>
      </x:c>
      <x:c r="Y30" s="19" t="str"/>
    </x:row>
    <x:row r="31" ht="62" customHeight="1">
      <x:c r="A31" s="369" t="str">
        <x:v>B31-C026</x:v>
      </x:c>
      <x:c r="B31" s="369" t="str">
        <x:v>B31_SRC_WADING267</x:v>
      </x:c>
      <x:c r="C31" s="369" t="str">
        <x:v>TECH_RELEASE_20260730</x:v>
      </x:c>
      <x:c r="D31" s="369" t="str"/>
      <x:c r="E31" s="369" t="str">
        <x:v>动力电池IPX8/IPX9K</x:v>
      </x:c>
      <x:c r="F31" s="369" t="str"/>
      <x:c r="G31" s="369" t="str">
        <x:v>PC-N70-MAX-CAND</x:v>
      </x:c>
      <x:c r="H31" s="369" t="str">
        <x:v>battery_waterproof</x:v>
      </x:c>
      <x:c r="I31" s="369" t="str">
        <x:v>SAFETY</x:v>
      </x:c>
      <x:c r="J31" s="369" t="str">
        <x:v>VALUE</x:v>
      </x:c>
      <x:c r="K31" s="369" t="str">
        <x:v>TEXT</x:v>
      </x:c>
      <x:c r="L31" s="373" t="str"/>
      <x:c r="M31" s="369" t="str">
        <x:v>IPX8 / IPX9K</x:v>
      </x:c>
      <x:c r="N31" s="369" t="str"/>
      <x:c r="O31" s="369" t="str">
        <x:v>N70_MAX</x:v>
      </x:c>
      <x:c r="P31" s="369" t="str">
        <x:v>EXPLICIT_STANDARD</x:v>
      </x:c>
      <x:c r="Q31" s="369" t="str">
        <x:v>涉水相关硬件完全一致</x:v>
      </x:c>
      <x:c r="R31" s="369" t="str">
        <x:v>STANDARD_AT_RELEASE</x:v>
      </x:c>
      <x:c r="S31" s="369" t="str">
        <x:v>AS_OF_2026-08-04_PRELAUNCH</x:v>
      </x:c>
      <x:c r="T31" s="369" t="str">
        <x:v>POSITIVE</x:v>
      </x:c>
      <x:c r="U31" s="369" t="str">
        <x:v>CONFIRMED</x:v>
      </x:c>
      <x:c r="V31" s="369" t="str">
        <x:v>INCLUDED_TEMP_BOM</x:v>
      </x:c>
      <x:c r="W31" s="369" t="str"/>
      <x:c r="X31" s="369" t="str">
        <x:v>NONE</x:v>
      </x:c>
      <x:c r="Y31" s="369" t="str"/>
    </x:row>
    <x:row r="32" ht="62" customHeight="1">
      <x:c r="A32" s="19" t="str">
        <x:v>B31-C027</x:v>
      </x:c>
      <x:c r="B32" s="19" t="str">
        <x:v>B31_SRC_WADING267</x:v>
      </x:c>
      <x:c r="C32" s="19" t="str">
        <x:v>TECH_RELEASE_20260730</x:v>
      </x:c>
      <x:c r="D32" s="19" t="str"/>
      <x:c r="E32" s="19" t="str">
        <x:v>支持应急浮水脱困，3分钟内座舱无明显进水</x:v>
      </x:c>
      <x:c r="F32" s="19" t="str"/>
      <x:c r="G32" s="19" t="str">
        <x:v>PC-N70-MAX-CAND</x:v>
      </x:c>
      <x:c r="H32" s="19" t="str">
        <x:v>emergency_float</x:v>
      </x:c>
      <x:c r="I32" s="19" t="str">
        <x:v>SAFETY</x:v>
      </x:c>
      <x:c r="J32" s="19" t="str">
        <x:v>VALUE</x:v>
      </x:c>
      <x:c r="K32" s="19" t="str">
        <x:v>TEXT</x:v>
      </x:c>
      <x:c r="L32" s="152" t="str"/>
      <x:c r="M32" s="19" t="str">
        <x:v>支持；3分钟内座舱无明显进水</x:v>
      </x:c>
      <x:c r="N32" s="19" t="str"/>
      <x:c r="O32" s="19" t="str">
        <x:v>N70_MAX</x:v>
      </x:c>
      <x:c r="P32" s="19" t="str">
        <x:v>EQUIPPED_CLAIM</x:v>
      </x:c>
      <x:c r="Q32" s="19" t="str">
        <x:v>安全冗余</x:v>
      </x:c>
      <x:c r="R32" s="19" t="str">
        <x:v>EQUIPPED_STANDARD_UNCONFIRMED</x:v>
      </x:c>
      <x:c r="S32" s="19" t="str">
        <x:v>AS_OF_2026-08-04_PRELAUNCH</x:v>
      </x:c>
      <x:c r="T32" s="19" t="str">
        <x:v>POSITIVE</x:v>
      </x:c>
      <x:c r="U32" s="19" t="str">
        <x:v>CONFIRMED</x:v>
      </x:c>
      <x:c r="V32" s="19" t="str">
        <x:v>EXCLUDED_UNTIL_3.1C</x:v>
      </x:c>
      <x:c r="W32" s="19" t="str"/>
      <x:c r="X32" s="19" t="str">
        <x:v>NONE</x:v>
      </x:c>
      <x:c r="Y32" s="19" t="str">
        <x:v>官方明确警告勿主动尝试</x:v>
      </x:c>
    </x:row>
    <x:row r="33" ht="62" customHeight="1">
      <x:c r="A33" s="369" t="str">
        <x:v>B31-C028</x:v>
      </x:c>
      <x:c r="B33" s="369" t="str">
        <x:v>B31_SRC_WADING267</x:v>
      </x:c>
      <x:c r="C33" s="369" t="str">
        <x:v>TECH_RELEASE_20260730</x:v>
      </x:c>
      <x:c r="D33" s="369" t="str"/>
      <x:c r="E33" s="369" t="str">
        <x:v>N70 Max和N90 Max均采用一体式热成型门环</x:v>
      </x:c>
      <x:c r="F33" s="369" t="str"/>
      <x:c r="G33" s="369" t="str">
        <x:v>PC-N70-MAX-CAND</x:v>
      </x:c>
      <x:c r="H33" s="369" t="str">
        <x:v>integrated_door_ring</x:v>
      </x:c>
      <x:c r="I33" s="369" t="str">
        <x:v>BODY_SAFETY</x:v>
      </x:c>
      <x:c r="J33" s="369" t="str">
        <x:v>VALUE</x:v>
      </x:c>
      <x:c r="K33" s="369" t="str">
        <x:v>TEXT</x:v>
      </x:c>
      <x:c r="L33" s="373" t="str"/>
      <x:c r="M33" s="369" t="str">
        <x:v>一体式热成型门环</x:v>
      </x:c>
      <x:c r="N33" s="369" t="str"/>
      <x:c r="O33" s="369" t="str">
        <x:v>N70_MAX</x:v>
      </x:c>
      <x:c r="P33" s="369" t="str">
        <x:v>EXPLICIT_STANDARD</x:v>
      </x:c>
      <x:c r="Q33" s="369" t="str">
        <x:v>均采用</x:v>
      </x:c>
      <x:c r="R33" s="369" t="str">
        <x:v>STANDARD_AT_RELEASE</x:v>
      </x:c>
      <x:c r="S33" s="369" t="str">
        <x:v>AS_OF_2026-08-04_PRELAUNCH</x:v>
      </x:c>
      <x:c r="T33" s="369" t="str">
        <x:v>POSITIVE</x:v>
      </x:c>
      <x:c r="U33" s="369" t="str">
        <x:v>CONFIRMED</x:v>
      </x:c>
      <x:c r="V33" s="369" t="str">
        <x:v>INCLUDED_TEMP_BOM</x:v>
      </x:c>
      <x:c r="W33" s="369" t="str"/>
      <x:c r="X33" s="369" t="str">
        <x:v>NONE</x:v>
      </x:c>
      <x:c r="Y33" s="369" t="str"/>
    </x:row>
    <x:row r="34" ht="62" customHeight="1">
      <x:c r="A34" s="19" t="str">
        <x:v>B31-C029</x:v>
      </x:c>
      <x:c r="B34" s="19" t="str">
        <x:v>B31_SRC_HAD</x:v>
      </x:c>
      <x:c r="C34" s="19" t="str">
        <x:v>TECH_RELEASE_20260730</x:v>
      </x:c>
      <x:c r="D34" s="19" t="str"/>
      <x:c r="E34" s="19" t="str">
        <x:v>澎程全系标配小米HAD、满配辅助驾驶</x:v>
      </x:c>
      <x:c r="F34" s="19" t="str"/>
      <x:c r="G34" s="19" t="str"/>
      <x:c r="H34" s="19" t="str">
        <x:v>xiaomi_had</x:v>
      </x:c>
      <x:c r="I34" s="19" t="str">
        <x:v>ADAS</x:v>
      </x:c>
      <x:c r="J34" s="19" t="str">
        <x:v>VALUE</x:v>
      </x:c>
      <x:c r="K34" s="19" t="str">
        <x:v>TEXT</x:v>
      </x:c>
      <x:c r="L34" s="152" t="str"/>
      <x:c r="M34" s="19" t="str">
        <x:v>小米HAD / 满配辅助驾驶</x:v>
      </x:c>
      <x:c r="N34" s="19" t="str"/>
      <x:c r="O34" s="19" t="str">
        <x:v>ALL_PENGCHENG</x:v>
      </x:c>
      <x:c r="P34" s="19" t="str">
        <x:v>EXPLICIT_STANDARD</x:v>
      </x:c>
      <x:c r="Q34" s="19" t="str">
        <x:v>全系标配</x:v>
      </x:c>
      <x:c r="R34" s="19" t="str">
        <x:v>STANDARD_AT_RELEASE</x:v>
      </x:c>
      <x:c r="S34" s="19" t="str">
        <x:v>AS_OF_2026-08-04_PRELAUNCH</x:v>
      </x:c>
      <x:c r="T34" s="19" t="str">
        <x:v>POSITIVE</x:v>
      </x:c>
      <x:c r="U34" s="19" t="str">
        <x:v>CONFIRMED</x:v>
      </x:c>
      <x:c r="V34" s="19" t="str">
        <x:v>INCLUDED_TEMP_BOM</x:v>
      </x:c>
      <x:c r="W34" s="19" t="str"/>
      <x:c r="X34" s="19" t="str">
        <x:v>NONE</x:v>
      </x:c>
      <x:c r="Y34" s="19" t="str"/>
    </x:row>
    <x:row r="35" ht="62" customHeight="1">
      <x:c r="A35" s="369" t="str">
        <x:v>B31-C030</x:v>
      </x:c>
      <x:c r="B35" s="369" t="str">
        <x:v>B31_SRC_XIAOAI</x:v>
      </x:c>
      <x:c r="C35" s="369" t="str">
        <x:v>TECH_RELEASE_20260730</x:v>
      </x:c>
      <x:c r="D35" s="369" t="str"/>
      <x:c r="E35" s="369" t="str">
        <x:v>全系标配超级小爱</x:v>
      </x:c>
      <x:c r="F35" s="369" t="str"/>
      <x:c r="G35" s="369" t="str"/>
      <x:c r="H35" s="369" t="str">
        <x:v>super_xiaoai</x:v>
      </x:c>
      <x:c r="I35" s="369" t="str">
        <x:v>CABIN</x:v>
      </x:c>
      <x:c r="J35" s="369" t="str">
        <x:v>VALUE</x:v>
      </x:c>
      <x:c r="K35" s="369" t="str">
        <x:v>TEXT</x:v>
      </x:c>
      <x:c r="L35" s="373" t="str"/>
      <x:c r="M35" s="369" t="str">
        <x:v>超级小爱</x:v>
      </x:c>
      <x:c r="N35" s="369" t="str"/>
      <x:c r="O35" s="369" t="str">
        <x:v>ALL_PENGCHENG</x:v>
      </x:c>
      <x:c r="P35" s="369" t="str">
        <x:v>EXPLICIT_STANDARD</x:v>
      </x:c>
      <x:c r="Q35" s="369" t="str">
        <x:v>全系标配</x:v>
      </x:c>
      <x:c r="R35" s="369" t="str">
        <x:v>STANDARD_AT_RELEASE</x:v>
      </x:c>
      <x:c r="S35" s="369" t="str">
        <x:v>AS_OF_2026-08-04_PRELAUNCH</x:v>
      </x:c>
      <x:c r="T35" s="369" t="str">
        <x:v>POSITIVE</x:v>
      </x:c>
      <x:c r="U35" s="369" t="str">
        <x:v>CONFIRMED</x:v>
      </x:c>
      <x:c r="V35" s="369" t="str">
        <x:v>INCLUDED_TEMP_BOM</x:v>
      </x:c>
      <x:c r="W35" s="369" t="str"/>
      <x:c r="X35" s="369" t="str">
        <x:v>NONE</x:v>
      </x:c>
      <x:c r="Y35" s="369" t="str"/>
    </x:row>
    <x:row r="36" ht="62" customHeight="1">
      <x:c r="A36" s="19" t="str">
        <x:v>B31-C031</x:v>
      </x:c>
      <x:c r="B36" s="19" t="str">
        <x:v>B31_SRC_WADING267</x:v>
      </x:c>
      <x:c r="C36" s="19" t="str">
        <x:v>TECH_RELEASE_20260730</x:v>
      </x:c>
      <x:c r="D36" s="19" t="str"/>
      <x:c r="E36" s="19" t="str">
        <x:v>澎程全系均配备涉水模式</x:v>
      </x:c>
      <x:c r="F36" s="19" t="str"/>
      <x:c r="G36" s="19" t="str"/>
      <x:c r="H36" s="19" t="str">
        <x:v>wading_mode</x:v>
      </x:c>
      <x:c r="I36" s="19" t="str">
        <x:v>SAFETY</x:v>
      </x:c>
      <x:c r="J36" s="19" t="str">
        <x:v>VALUE</x:v>
      </x:c>
      <x:c r="K36" s="19" t="str">
        <x:v>TEXT</x:v>
      </x:c>
      <x:c r="L36" s="152" t="str"/>
      <x:c r="M36" s="19" t="str">
        <x:v>涉水模式</x:v>
      </x:c>
      <x:c r="N36" s="19" t="str"/>
      <x:c r="O36" s="19" t="str">
        <x:v>ALL_PENGCHENG</x:v>
      </x:c>
      <x:c r="P36" s="19" t="str">
        <x:v>EXPLICIT_STANDARD</x:v>
      </x:c>
      <x:c r="Q36" s="19" t="str">
        <x:v>全系均配备</x:v>
      </x:c>
      <x:c r="R36" s="19" t="str">
        <x:v>STANDARD_AT_RELEASE</x:v>
      </x:c>
      <x:c r="S36" s="19" t="str">
        <x:v>AS_OF_2026-08-04_PRELAUNCH</x:v>
      </x:c>
      <x:c r="T36" s="19" t="str">
        <x:v>POSITIVE</x:v>
      </x:c>
      <x:c r="U36" s="19" t="str">
        <x:v>CONFIRMED</x:v>
      </x:c>
      <x:c r="V36" s="19" t="str">
        <x:v>INCLUDED_TEMP_BOM</x:v>
      </x:c>
      <x:c r="W36" s="19" t="str"/>
      <x:c r="X36" s="19" t="str">
        <x:v>NONE</x:v>
      </x:c>
      <x:c r="Y36" s="19" t="str"/>
    </x:row>
    <x:row r="37" ht="62" customHeight="1">
      <x:c r="A37" s="369" t="str">
        <x:v>B31-C032</x:v>
      </x:c>
      <x:c r="B37" s="369" t="str">
        <x:v>B31_SRC_SERIES_CABIN</x:v>
      </x:c>
      <x:c r="C37" s="369" t="str">
        <x:v>TECH_RELEASE_20260730</x:v>
      </x:c>
      <x:c r="D37" s="369" t="str"/>
      <x:c r="E37" s="369" t="str">
        <x:v>澎程系列搭载小米澎湃智能座舱</x:v>
      </x:c>
      <x:c r="F37" s="369" t="str"/>
      <x:c r="G37" s="369" t="str"/>
      <x:c r="H37" s="369" t="str">
        <x:v>hyperos_cabin</x:v>
      </x:c>
      <x:c r="I37" s="369" t="str">
        <x:v>CABIN</x:v>
      </x:c>
      <x:c r="J37" s="369" t="str">
        <x:v>VALUE</x:v>
      </x:c>
      <x:c r="K37" s="369" t="str">
        <x:v>TEXT</x:v>
      </x:c>
      <x:c r="L37" s="373" t="str"/>
      <x:c r="M37" s="369" t="str">
        <x:v>小米澎湃智能座舱</x:v>
      </x:c>
      <x:c r="N37" s="369" t="str"/>
      <x:c r="O37" s="369" t="str">
        <x:v>ALL_PENGCHENG</x:v>
      </x:c>
      <x:c r="P37" s="369" t="str">
        <x:v>EQUIPPED_CLAIM</x:v>
      </x:c>
      <x:c r="Q37" s="369" t="str">
        <x:v>系列搭载</x:v>
      </x:c>
      <x:c r="R37" s="369" t="str">
        <x:v>SERIES_CAPABILITY</x:v>
      </x:c>
      <x:c r="S37" s="369" t="str">
        <x:v>AS_OF_2026-08-04_PRELAUNCH</x:v>
      </x:c>
      <x:c r="T37" s="369" t="str">
        <x:v>POSITIVE</x:v>
      </x:c>
      <x:c r="U37" s="369" t="str">
        <x:v>CONFIRMED</x:v>
      </x:c>
      <x:c r="V37" s="369" t="str">
        <x:v>EXCLUDED_UNTIL_3.1C</x:v>
      </x:c>
      <x:c r="W37" s="369" t="str"/>
      <x:c r="X37" s="369" t="str">
        <x:v>NONE</x:v>
      </x:c>
      <x:c r="Y37" s="369" t="str"/>
    </x:row>
    <x:row r="38" ht="62" customHeight="1">
      <x:c r="A38" s="19" t="str">
        <x:v>B31-C033</x:v>
      </x:c>
      <x:c r="B38" s="19" t="str">
        <x:v>B31_SRC_PLATFORM</x:v>
      </x:c>
      <x:c r="C38" s="19" t="str">
        <x:v>TECH_RELEASE_20260730</x:v>
      </x:c>
      <x:c r="D38" s="19" t="str"/>
      <x:c r="E38" s="19" t="str">
        <x:v>昆仑平台核心设计：贯穿纯平地板、方正格局、超长滑轨</x:v>
      </x:c>
      <x:c r="F38" s="19" t="str"/>
      <x:c r="G38" s="19" t="str"/>
      <x:c r="H38" s="19" t="str">
        <x:v>flat_floor_long_rails</x:v>
      </x:c>
      <x:c r="I38" s="19" t="str">
        <x:v>BODY_SPACE</x:v>
      </x:c>
      <x:c r="J38" s="19" t="str">
        <x:v>VALUE</x:v>
      </x:c>
      <x:c r="K38" s="19" t="str">
        <x:v>TEXT</x:v>
      </x:c>
      <x:c r="L38" s="152" t="str"/>
      <x:c r="M38" s="19" t="str">
        <x:v>贯穿纯平地板、方正格局、超长滑轨</x:v>
      </x:c>
      <x:c r="N38" s="19" t="str"/>
      <x:c r="O38" s="19" t="str">
        <x:v>PENGCHENG_PLATFORM</x:v>
      </x:c>
      <x:c r="P38" s="19" t="str">
        <x:v>CAPABILITY_CLAIM</x:v>
      </x:c>
      <x:c r="Q38" s="19" t="str">
        <x:v>平台级设计</x:v>
      </x:c>
      <x:c r="R38" s="19" t="str">
        <x:v>SERIES_CAPABILITY</x:v>
      </x:c>
      <x:c r="S38" s="19" t="str">
        <x:v>AS_OF_2026-08-04_PRELAUNCH</x:v>
      </x:c>
      <x:c r="T38" s="19" t="str">
        <x:v>POSITIVE</x:v>
      </x:c>
      <x:c r="U38" s="19" t="str">
        <x:v>CONFIRMED</x:v>
      </x:c>
      <x:c r="V38" s="19" t="str">
        <x:v>EXCLUDED_UNTIL_3.1C</x:v>
      </x:c>
      <x:c r="W38" s="19" t="str"/>
      <x:c r="X38" s="19" t="str">
        <x:v>NONE</x:v>
      </x:c>
      <x:c r="Y38" s="19" t="str">
        <x:v>不生成逐车滑轨数量/长度</x:v>
      </x:c>
    </x:row>
    <x:row r="39" ht="62" customHeight="1">
      <x:c r="A39" s="369" t="str">
        <x:v>B31-C034</x:v>
      </x:c>
      <x:c r="B39" s="369" t="str">
        <x:v>B31_SRC_SERIES_BATT</x:v>
      </x:c>
      <x:c r="C39" s="369" t="str">
        <x:v>TECH_RELEASE_20260730</x:v>
      </x:c>
      <x:c r="D39" s="369" t="str"/>
      <x:c r="E39" s="369" t="str">
        <x:v>澎程系列最大电池容量76kWh</x:v>
      </x:c>
      <x:c r="F39" s="369" t="str"/>
      <x:c r="G39" s="369" t="str"/>
      <x:c r="H39" s="369" t="str">
        <x:v>series_battery_capacity_max</x:v>
      </x:c>
      <x:c r="I39" s="369" t="str">
        <x:v>ENERGY</x:v>
      </x:c>
      <x:c r="J39" s="369" t="str">
        <x:v>VALUE</x:v>
      </x:c>
      <x:c r="K39" s="369" t="str">
        <x:v>NUMERIC</x:v>
      </x:c>
      <x:c r="L39" s="373" t="n">
        <x:v>76</x:v>
      </x:c>
      <x:c r="M39" s="369" t="str"/>
      <x:c r="N39" s="369" t="str">
        <x:v>kWh</x:v>
      </x:c>
      <x:c r="O39" s="369" t="str">
        <x:v>ALL_PENGCHENG</x:v>
      </x:c>
      <x:c r="P39" s="369" t="str">
        <x:v>MAXIMUM_OR_VARIANT</x:v>
      </x:c>
      <x:c r="Q39" s="369" t="str">
        <x:v>最大</x:v>
      </x:c>
      <x:c r="R39" s="369" t="str">
        <x:v>NOT_DIRECTLY_BOUND</x:v>
      </x:c>
      <x:c r="S39" s="369" t="str">
        <x:v>AS_OF_2026-08-04_PRELAUNCH</x:v>
      </x:c>
      <x:c r="T39" s="369" t="str">
        <x:v>POSITIVE</x:v>
      </x:c>
      <x:c r="U39" s="369" t="str">
        <x:v>CONFIRMED</x:v>
      </x:c>
      <x:c r="V39" s="369" t="str">
        <x:v>MODEL_EXCLUDED</x:v>
      </x:c>
      <x:c r="W39" s="369" t="str">
        <x:v>CG_RANGE_SCOPE</x:v>
      </x:c>
      <x:c r="X39" s="369" t="str">
        <x:v>NONE</x:v>
      </x:c>
      <x:c r="Y39" s="369" t="str"/>
    </x:row>
    <x:row r="40" ht="62" customHeight="1">
      <x:c r="A40" s="19" t="str">
        <x:v>B31-C035</x:v>
      </x:c>
      <x:c r="B40" s="19" t="str">
        <x:v>B31_SRC_SERIES_BATT</x:v>
      </x:c>
      <x:c r="C40" s="19" t="str">
        <x:v>TECH_RELEASE_20260730</x:v>
      </x:c>
      <x:c r="D40" s="19" t="str"/>
      <x:c r="E40" s="19" t="str">
        <x:v>澎程系列全系最长CLTC纯电续航505km</x:v>
      </x:c>
      <x:c r="F40" s="19" t="str"/>
      <x:c r="G40" s="19" t="str"/>
      <x:c r="H40" s="19" t="str">
        <x:v>series_cltc_ev_range_max</x:v>
      </x:c>
      <x:c r="I40" s="19" t="str">
        <x:v>ENERGY</x:v>
      </x:c>
      <x:c r="J40" s="19" t="str">
        <x:v>VALUE</x:v>
      </x:c>
      <x:c r="K40" s="19" t="str">
        <x:v>NUMERIC</x:v>
      </x:c>
      <x:c r="L40" s="152" t="n">
        <x:v>505</x:v>
      </x:c>
      <x:c r="M40" s="19" t="str"/>
      <x:c r="N40" s="19" t="str">
        <x:v>km</x:v>
      </x:c>
      <x:c r="O40" s="19" t="str">
        <x:v>ALL_PENGCHENG</x:v>
      </x:c>
      <x:c r="P40" s="19" t="str">
        <x:v>MAXIMUM_OR_VARIANT</x:v>
      </x:c>
      <x:c r="Q40" s="19" t="str">
        <x:v>全系最长</x:v>
      </x:c>
      <x:c r="R40" s="19" t="str">
        <x:v>NOT_DIRECTLY_BOUND</x:v>
      </x:c>
      <x:c r="S40" s="19" t="str">
        <x:v>AS_OF_2026-08-04_PRELAUNCH</x:v>
      </x:c>
      <x:c r="T40" s="19" t="str">
        <x:v>POSITIVE</x:v>
      </x:c>
      <x:c r="U40" s="19" t="str">
        <x:v>CONFIRMED</x:v>
      </x:c>
      <x:c r="V40" s="19" t="str">
        <x:v>MODEL_EXCLUDED</x:v>
      </x:c>
      <x:c r="W40" s="19" t="str">
        <x:v>CG_RANGE_SCOPE</x:v>
      </x:c>
      <x:c r="X40" s="19" t="str">
        <x:v>NONE</x:v>
      </x:c>
      <x:c r="Y40" s="19" t="str">
        <x:v>N90 Max单车页明确464km</x:v>
      </x:c>
    </x:row>
    <x:row r="41" ht="62" customHeight="1">
      <x:c r="A41" s="369" t="str">
        <x:v>B31-C036</x:v>
      </x:c>
      <x:c r="B41" s="369" t="str">
        <x:v>B31_SRC_N90_WEB</x:v>
      </x:c>
      <x:c r="C41" s="369" t="str">
        <x:v>TECH_RELEASE_20260730</x:v>
      </x:c>
      <x:c r="D41" s="369" t="str">
        <x:v>N90独立产品页对应章节</x:v>
      </x:c>
      <x:c r="E41" s="369" t="str">
        <x:v>2+2+3大七座布局</x:v>
      </x:c>
      <x:c r="F41" s="369" t="str"/>
      <x:c r="G41" s="369" t="str">
        <x:v>PC-N90-MAX-CAND</x:v>
      </x:c>
      <x:c r="H41" s="369" t="str">
        <x:v>seat_count</x:v>
      </x:c>
      <x:c r="I41" s="369" t="str">
        <x:v>BODY_SPACE</x:v>
      </x:c>
      <x:c r="J41" s="369" t="str">
        <x:v>VALUE</x:v>
      </x:c>
      <x:c r="K41" s="369" t="str">
        <x:v>NUMERIC</x:v>
      </x:c>
      <x:c r="L41" s="373" t="n">
        <x:v>7</x:v>
      </x:c>
      <x:c r="M41" s="369" t="str">
        <x:v>7</x:v>
      </x:c>
      <x:c r="N41" s="369" t="str">
        <x:v>count</x:v>
      </x:c>
      <x:c r="O41" s="369" t="str">
        <x:v>N90_MAX</x:v>
      </x:c>
      <x:c r="P41" s="369" t="str">
        <x:v>EQUIPPED_CLAIM</x:v>
      </x:c>
      <x:c r="Q41" s="369" t="str">
        <x:v>搭载/配备/页面展示</x:v>
      </x:c>
      <x:c r="R41" s="369" t="str">
        <x:v>EQUIPPED_STANDARD_UNCONFIRMED</x:v>
      </x:c>
      <x:c r="S41" s="369" t="str">
        <x:v>AS_OF_2026-08-04_PRELAUNCH</x:v>
      </x:c>
      <x:c r="T41" s="369" t="str">
        <x:v>POSITIVE</x:v>
      </x:c>
      <x:c r="U41" s="369" t="str">
        <x:v>CONFIRMED</x:v>
      </x:c>
      <x:c r="V41" s="369" t="str">
        <x:v>EXCLUDED_UNTIL_3.1C</x:v>
      </x:c>
      <x:c r="W41" s="369" t="str"/>
      <x:c r="X41" s="369" t="str">
        <x:v>NONE</x:v>
      </x:c>
      <x:c r="Y41" s="369" t="str"/>
    </x:row>
    <x:row r="42" ht="62" customHeight="1">
      <x:c r="A42" s="19" t="str">
        <x:v>B31-C037</x:v>
      </x:c>
      <x:c r="B42" s="19" t="str">
        <x:v>B31_SRC_N90_WEB</x:v>
      </x:c>
      <x:c r="C42" s="19" t="str">
        <x:v>TECH_RELEASE_20260730</x:v>
      </x:c>
      <x:c r="D42" s="19" t="str">
        <x:v>N90独立产品页对应章节</x:v>
      </x:c>
      <x:c r="E42" s="19" t="str">
        <x:v>2+2+3大七座布局</x:v>
      </x:c>
      <x:c r="F42" s="19" t="str"/>
      <x:c r="G42" s="19" t="str">
        <x:v>PC-N90-MAX-CAND</x:v>
      </x:c>
      <x:c r="H42" s="19" t="str">
        <x:v>seat_layout</x:v>
      </x:c>
      <x:c r="I42" s="19" t="str">
        <x:v>BODY_SPACE</x:v>
      </x:c>
      <x:c r="J42" s="19" t="str">
        <x:v>VALUE</x:v>
      </x:c>
      <x:c r="K42" s="19" t="str">
        <x:v>TEXT</x:v>
      </x:c>
      <x:c r="L42" s="152" t="str"/>
      <x:c r="M42" s="19" t="str">
        <x:v>2+2+3</x:v>
      </x:c>
      <x:c r="N42" s="19" t="str"/>
      <x:c r="O42" s="19" t="str">
        <x:v>N90_MAX</x:v>
      </x:c>
      <x:c r="P42" s="19" t="str">
        <x:v>EQUIPPED_CLAIM</x:v>
      </x:c>
      <x:c r="Q42" s="19" t="str">
        <x:v>搭载/配备/页面展示</x:v>
      </x:c>
      <x:c r="R42" s="19" t="str">
        <x:v>EQUIPPED_STANDARD_UNCONFIRMED</x:v>
      </x:c>
      <x:c r="S42" s="19" t="str">
        <x:v>AS_OF_2026-08-04_PRELAUNCH</x:v>
      </x:c>
      <x:c r="T42" s="19" t="str">
        <x:v>POSITIVE</x:v>
      </x:c>
      <x:c r="U42" s="19" t="str">
        <x:v>CONFIRMED</x:v>
      </x:c>
      <x:c r="V42" s="19" t="str">
        <x:v>EXCLUDED_UNTIL_3.1C</x:v>
      </x:c>
      <x:c r="W42" s="19" t="str"/>
      <x:c r="X42" s="19" t="str">
        <x:v>NONE</x:v>
      </x:c>
      <x:c r="Y42" s="19" t="str"/>
    </x:row>
    <x:row r="43" ht="62" customHeight="1">
      <x:c r="A43" s="369" t="str">
        <x:v>B31-C038</x:v>
      </x:c>
      <x:c r="B43" s="369" t="str">
        <x:v>B31_SRC_N90_WEB</x:v>
      </x:c>
      <x:c r="C43" s="369" t="str">
        <x:v>TECH_RELEASE_20260730</x:v>
      </x:c>
      <x:c r="D43" s="369" t="str">
        <x:v>N90独立产品页对应章节</x:v>
      </x:c>
      <x:c r="E43" s="369" t="str">
        <x:v>2760mm舱内乘坐空间</x:v>
      </x:c>
      <x:c r="F43" s="369" t="str"/>
      <x:c r="G43" s="369" t="str">
        <x:v>PC-N90-MAX-CAND</x:v>
      </x:c>
      <x:c r="H43" s="369" t="str">
        <x:v>cabin_length</x:v>
      </x:c>
      <x:c r="I43" s="369" t="str">
        <x:v>BODY_SPACE</x:v>
      </x:c>
      <x:c r="J43" s="369" t="str">
        <x:v>VALUE</x:v>
      </x:c>
      <x:c r="K43" s="369" t="str">
        <x:v>NUMERIC</x:v>
      </x:c>
      <x:c r="L43" s="373" t="n">
        <x:v>2760</x:v>
      </x:c>
      <x:c r="M43" s="369" t="str"/>
      <x:c r="N43" s="369" t="str">
        <x:v>mm</x:v>
      </x:c>
      <x:c r="O43" s="369" t="str">
        <x:v>N90_MAX</x:v>
      </x:c>
      <x:c r="P43" s="369" t="str">
        <x:v>EQUIPPED_CLAIM</x:v>
      </x:c>
      <x:c r="Q43" s="369" t="str">
        <x:v>搭载/配备/页面展示</x:v>
      </x:c>
      <x:c r="R43" s="369" t="str">
        <x:v>EQUIPPED_STANDARD_UNCONFIRMED</x:v>
      </x:c>
      <x:c r="S43" s="369" t="str">
        <x:v>AS_OF_2026-08-04_PRELAUNCH</x:v>
      </x:c>
      <x:c r="T43" s="369" t="str">
        <x:v>POSITIVE</x:v>
      </x:c>
      <x:c r="U43" s="369" t="str">
        <x:v>CONFIRMED</x:v>
      </x:c>
      <x:c r="V43" s="369" t="str">
        <x:v>EXCLUDED_UNTIL_3.1C</x:v>
      </x:c>
      <x:c r="W43" s="369" t="str"/>
      <x:c r="X43" s="369" t="str">
        <x:v>NONE</x:v>
      </x:c>
      <x:c r="Y43" s="369" t="str"/>
    </x:row>
    <x:row r="44" ht="62" customHeight="1">
      <x:c r="A44" s="19" t="str">
        <x:v>B31-C039</x:v>
      </x:c>
      <x:c r="B44" s="19" t="str">
        <x:v>B31_SRC_N90_WEB</x:v>
      </x:c>
      <x:c r="C44" s="19" t="str">
        <x:v>TECH_RELEASE_20260730</x:v>
      </x:c>
      <x:c r="D44" s="19" t="str">
        <x:v>N90独立产品页对应章节</x:v>
      </x:c>
      <x:c r="E44" s="19" t="str">
        <x:v>二排950mm乘坐空间</x:v>
      </x:c>
      <x:c r="F44" s="19" t="str"/>
      <x:c r="G44" s="19" t="str">
        <x:v>PC-N90-MAX-CAND</x:v>
      </x:c>
      <x:c r="H44" s="19" t="str">
        <x:v>row2_space</x:v>
      </x:c>
      <x:c r="I44" s="19" t="str">
        <x:v>BODY_SPACE</x:v>
      </x:c>
      <x:c r="J44" s="19" t="str">
        <x:v>VALUE</x:v>
      </x:c>
      <x:c r="K44" s="19" t="str">
        <x:v>NUMERIC</x:v>
      </x:c>
      <x:c r="L44" s="152" t="n">
        <x:v>950</x:v>
      </x:c>
      <x:c r="M44" s="19" t="str"/>
      <x:c r="N44" s="19" t="str">
        <x:v>mm</x:v>
      </x:c>
      <x:c r="O44" s="19" t="str">
        <x:v>N90_MAX</x:v>
      </x:c>
      <x:c r="P44" s="19" t="str">
        <x:v>EQUIPPED_CLAIM</x:v>
      </x:c>
      <x:c r="Q44" s="19" t="str">
        <x:v>搭载/配备/页面展示</x:v>
      </x:c>
      <x:c r="R44" s="19" t="str">
        <x:v>EQUIPPED_STANDARD_UNCONFIRMED</x:v>
      </x:c>
      <x:c r="S44" s="19" t="str">
        <x:v>AS_OF_2026-08-04_PRELAUNCH</x:v>
      </x:c>
      <x:c r="T44" s="19" t="str">
        <x:v>POSITIVE</x:v>
      </x:c>
      <x:c r="U44" s="19" t="str">
        <x:v>CONFIRMED</x:v>
      </x:c>
      <x:c r="V44" s="19" t="str">
        <x:v>EXCLUDED_UNTIL_3.1C</x:v>
      </x:c>
      <x:c r="W44" s="19" t="str"/>
      <x:c r="X44" s="19" t="str">
        <x:v>NONE</x:v>
      </x:c>
      <x:c r="Y44" s="19" t="str"/>
    </x:row>
    <x:row r="45" ht="62" customHeight="1">
      <x:c r="A45" s="369" t="str">
        <x:v>B31-C040</x:v>
      </x:c>
      <x:c r="B45" s="369" t="str">
        <x:v>B31_SRC_N90_WEB</x:v>
      </x:c>
      <x:c r="C45" s="369" t="str">
        <x:v>TECH_RELEASE_20260730</x:v>
      </x:c>
      <x:c r="D45" s="369" t="str">
        <x:v>N90独立产品页对应章节</x:v>
      </x:c>
      <x:c r="E45" s="369" t="str">
        <x:v>二排舱内最小站立高度1233mm</x:v>
      </x:c>
      <x:c r="F45" s="369" t="str"/>
      <x:c r="G45" s="369" t="str">
        <x:v>PC-N90-MAX-CAND</x:v>
      </x:c>
      <x:c r="H45" s="369" t="str">
        <x:v>row2_standing_height_min</x:v>
      </x:c>
      <x:c r="I45" s="369" t="str">
        <x:v>BODY_SPACE</x:v>
      </x:c>
      <x:c r="J45" s="369" t="str">
        <x:v>VALUE</x:v>
      </x:c>
      <x:c r="K45" s="369" t="str">
        <x:v>NUMERIC</x:v>
      </x:c>
      <x:c r="L45" s="373" t="n">
        <x:v>1233</x:v>
      </x:c>
      <x:c r="M45" s="369" t="str"/>
      <x:c r="N45" s="369" t="str">
        <x:v>mm</x:v>
      </x:c>
      <x:c r="O45" s="369" t="str">
        <x:v>N90_MAX</x:v>
      </x:c>
      <x:c r="P45" s="369" t="str">
        <x:v>EQUIPPED_CLAIM</x:v>
      </x:c>
      <x:c r="Q45" s="369" t="str">
        <x:v>搭载/配备/页面展示</x:v>
      </x:c>
      <x:c r="R45" s="369" t="str">
        <x:v>EQUIPPED_STANDARD_UNCONFIRMED</x:v>
      </x:c>
      <x:c r="S45" s="369" t="str">
        <x:v>AS_OF_2026-08-04_PRELAUNCH</x:v>
      </x:c>
      <x:c r="T45" s="369" t="str">
        <x:v>POSITIVE</x:v>
      </x:c>
      <x:c r="U45" s="369" t="str">
        <x:v>CONFIRMED</x:v>
      </x:c>
      <x:c r="V45" s="369" t="str">
        <x:v>EXCLUDED_UNTIL_3.1C</x:v>
      </x:c>
      <x:c r="W45" s="369" t="str"/>
      <x:c r="X45" s="369" t="str">
        <x:v>NONE</x:v>
      </x:c>
      <x:c r="Y45" s="369" t="str"/>
    </x:row>
    <x:row r="46" ht="62" customHeight="1">
      <x:c r="A46" s="19" t="str">
        <x:v>B31-C041</x:v>
      </x:c>
      <x:c r="B46" s="19" t="str">
        <x:v>B31_SRC_N90_WEB</x:v>
      </x:c>
      <x:c r="C46" s="19" t="str">
        <x:v>TECH_RELEASE_20260730</x:v>
      </x:c>
      <x:c r="D46" s="19" t="str">
        <x:v>N90独立产品页对应章节</x:v>
      </x:c>
      <x:c r="E46" s="19" t="str">
        <x:v>180mm中间过道</x:v>
      </x:c>
      <x:c r="F46" s="19" t="str"/>
      <x:c r="G46" s="19" t="str">
        <x:v>PC-N90-MAX-CAND</x:v>
      </x:c>
      <x:c r="H46" s="19" t="str">
        <x:v>center_aisle_width</x:v>
      </x:c>
      <x:c r="I46" s="19" t="str">
        <x:v>BODY_SPACE</x:v>
      </x:c>
      <x:c r="J46" s="19" t="str">
        <x:v>VALUE</x:v>
      </x:c>
      <x:c r="K46" s="19" t="str">
        <x:v>NUMERIC</x:v>
      </x:c>
      <x:c r="L46" s="152" t="n">
        <x:v>180</x:v>
      </x:c>
      <x:c r="M46" s="19" t="str"/>
      <x:c r="N46" s="19" t="str">
        <x:v>mm</x:v>
      </x:c>
      <x:c r="O46" s="19" t="str">
        <x:v>N90_MAX</x:v>
      </x:c>
      <x:c r="P46" s="19" t="str">
        <x:v>EQUIPPED_CLAIM</x:v>
      </x:c>
      <x:c r="Q46" s="19" t="str">
        <x:v>搭载/配备/页面展示</x:v>
      </x:c>
      <x:c r="R46" s="19" t="str">
        <x:v>EQUIPPED_STANDARD_UNCONFIRMED</x:v>
      </x:c>
      <x:c r="S46" s="19" t="str">
        <x:v>AS_OF_2026-08-04_PRELAUNCH</x:v>
      </x:c>
      <x:c r="T46" s="19" t="str">
        <x:v>POSITIVE</x:v>
      </x:c>
      <x:c r="U46" s="19" t="str">
        <x:v>CONFIRMED</x:v>
      </x:c>
      <x:c r="V46" s="19" t="str">
        <x:v>EXCLUDED_UNTIL_3.1C</x:v>
      </x:c>
      <x:c r="W46" s="19" t="str"/>
      <x:c r="X46" s="19" t="str">
        <x:v>NONE</x:v>
      </x:c>
      <x:c r="Y46" s="19" t="str"/>
    </x:row>
    <x:row r="47" ht="62" customHeight="1">
      <x:c r="A47" s="369" t="str">
        <x:v>B31-C042</x:v>
      </x:c>
      <x:c r="B47" s="369" t="str">
        <x:v>B31_SRC_N90_WEB</x:v>
      </x:c>
      <x:c r="C47" s="369" t="str">
        <x:v>TECH_RELEASE_20260730</x:v>
      </x:c>
      <x:c r="D47" s="369" t="str">
        <x:v>N90独立产品页对应章节</x:v>
      </x:c>
      <x:c r="E47" s="369" t="str">
        <x:v>三排890mm乘坐空间</x:v>
      </x:c>
      <x:c r="F47" s="369" t="str"/>
      <x:c r="G47" s="369" t="str">
        <x:v>PC-N90-MAX-CAND</x:v>
      </x:c>
      <x:c r="H47" s="369" t="str">
        <x:v>row3_space</x:v>
      </x:c>
      <x:c r="I47" s="369" t="str">
        <x:v>BODY_SPACE</x:v>
      </x:c>
      <x:c r="J47" s="369" t="str">
        <x:v>VALUE</x:v>
      </x:c>
      <x:c r="K47" s="369" t="str">
        <x:v>NUMERIC</x:v>
      </x:c>
      <x:c r="L47" s="373" t="n">
        <x:v>890</x:v>
      </x:c>
      <x:c r="M47" s="369" t="str"/>
      <x:c r="N47" s="369" t="str">
        <x:v>mm</x:v>
      </x:c>
      <x:c r="O47" s="369" t="str">
        <x:v>N90_MAX</x:v>
      </x:c>
      <x:c r="P47" s="369" t="str">
        <x:v>EQUIPPED_CLAIM</x:v>
      </x:c>
      <x:c r="Q47" s="369" t="str">
        <x:v>搭载/配备/页面展示</x:v>
      </x:c>
      <x:c r="R47" s="369" t="str">
        <x:v>EQUIPPED_STANDARD_UNCONFIRMED</x:v>
      </x:c>
      <x:c r="S47" s="369" t="str">
        <x:v>AS_OF_2026-08-04_PRELAUNCH</x:v>
      </x:c>
      <x:c r="T47" s="369" t="str">
        <x:v>POSITIVE</x:v>
      </x:c>
      <x:c r="U47" s="369" t="str">
        <x:v>CONFIRMED</x:v>
      </x:c>
      <x:c r="V47" s="369" t="str">
        <x:v>EXCLUDED_UNTIL_3.1C</x:v>
      </x:c>
      <x:c r="W47" s="369" t="str"/>
      <x:c r="X47" s="369" t="str">
        <x:v>NONE</x:v>
      </x:c>
      <x:c r="Y47" s="369" t="str"/>
    </x:row>
    <x:row r="48" ht="62" customHeight="1">
      <x:c r="A48" s="19" t="str">
        <x:v>B31-C043</x:v>
      </x:c>
      <x:c r="B48" s="19" t="str">
        <x:v>B31_SRC_N90_WEB</x:v>
      </x:c>
      <x:c r="C48" s="19" t="str">
        <x:v>TECH_RELEASE_20260730</x:v>
      </x:c>
      <x:c r="D48" s="19" t="str">
        <x:v>N90独立产品页对应章节</x:v>
      </x:c>
      <x:c r="E48" s="19" t="str">
        <x:v>三排962mm头部空间</x:v>
      </x:c>
      <x:c r="F48" s="19" t="str"/>
      <x:c r="G48" s="19" t="str">
        <x:v>PC-N90-MAX-CAND</x:v>
      </x:c>
      <x:c r="H48" s="19" t="str">
        <x:v>row3_headroom</x:v>
      </x:c>
      <x:c r="I48" s="19" t="str">
        <x:v>BODY_SPACE</x:v>
      </x:c>
      <x:c r="J48" s="19" t="str">
        <x:v>VALUE</x:v>
      </x:c>
      <x:c r="K48" s="19" t="str">
        <x:v>NUMERIC</x:v>
      </x:c>
      <x:c r="L48" s="152" t="n">
        <x:v>962</x:v>
      </x:c>
      <x:c r="M48" s="19" t="str"/>
      <x:c r="N48" s="19" t="str">
        <x:v>mm</x:v>
      </x:c>
      <x:c r="O48" s="19" t="str">
        <x:v>N90_MAX</x:v>
      </x:c>
      <x:c r="P48" s="19" t="str">
        <x:v>EQUIPPED_CLAIM</x:v>
      </x:c>
      <x:c r="Q48" s="19" t="str">
        <x:v>搭载/配备/页面展示</x:v>
      </x:c>
      <x:c r="R48" s="19" t="str">
        <x:v>EQUIPPED_STANDARD_UNCONFIRMED</x:v>
      </x:c>
      <x:c r="S48" s="19" t="str">
        <x:v>AS_OF_2026-08-04_PRELAUNCH</x:v>
      </x:c>
      <x:c r="T48" s="19" t="str">
        <x:v>POSITIVE</x:v>
      </x:c>
      <x:c r="U48" s="19" t="str">
        <x:v>CONFIRMED</x:v>
      </x:c>
      <x:c r="V48" s="19" t="str">
        <x:v>EXCLUDED_UNTIL_3.1C</x:v>
      </x:c>
      <x:c r="W48" s="19" t="str"/>
      <x:c r="X48" s="19" t="str">
        <x:v>NONE</x:v>
      </x:c>
      <x:c r="Y48" s="19" t="str"/>
    </x:row>
    <x:row r="49" ht="62" customHeight="1">
      <x:c r="A49" s="369" t="str">
        <x:v>B31-C044</x:v>
      </x:c>
      <x:c r="B49" s="369" t="str">
        <x:v>B31_SRC_N90_WEB</x:v>
      </x:c>
      <x:c r="C49" s="369" t="str">
        <x:v>TECH_RELEASE_20260730</x:v>
      </x:c>
      <x:c r="D49" s="369" t="str">
        <x:v>N90独立产品页对应章节</x:v>
      </x:c>
      <x:c r="E49" s="369" t="str">
        <x:v>标准状态下577L后备厢</x:v>
      </x:c>
      <x:c r="F49" s="369" t="str"/>
      <x:c r="G49" s="369" t="str">
        <x:v>PC-N90-MAX-CAND</x:v>
      </x:c>
      <x:c r="H49" s="369" t="str">
        <x:v>trunk_standard</x:v>
      </x:c>
      <x:c r="I49" s="369" t="str">
        <x:v>BODY_SPACE</x:v>
      </x:c>
      <x:c r="J49" s="369" t="str">
        <x:v>VALUE</x:v>
      </x:c>
      <x:c r="K49" s="369" t="str">
        <x:v>NUMERIC</x:v>
      </x:c>
      <x:c r="L49" s="373" t="n">
        <x:v>577</x:v>
      </x:c>
      <x:c r="M49" s="369" t="str"/>
      <x:c r="N49" s="369" t="str">
        <x:v>L</x:v>
      </x:c>
      <x:c r="O49" s="369" t="str">
        <x:v>N90_MAX</x:v>
      </x:c>
      <x:c r="P49" s="369" t="str">
        <x:v>EQUIPPED_CLAIM</x:v>
      </x:c>
      <x:c r="Q49" s="369" t="str">
        <x:v>搭载/配备/页面展示</x:v>
      </x:c>
      <x:c r="R49" s="369" t="str">
        <x:v>EQUIPPED_STANDARD_UNCONFIRMED</x:v>
      </x:c>
      <x:c r="S49" s="369" t="str">
        <x:v>AS_OF_2026-08-04_PRELAUNCH</x:v>
      </x:c>
      <x:c r="T49" s="369" t="str">
        <x:v>POSITIVE</x:v>
      </x:c>
      <x:c r="U49" s="369" t="str">
        <x:v>CONFIRMED</x:v>
      </x:c>
      <x:c r="V49" s="369" t="str">
        <x:v>EXCLUDED_UNTIL_3.1C</x:v>
      </x:c>
      <x:c r="W49" s="369" t="str"/>
      <x:c r="X49" s="369" t="str">
        <x:v>NONE</x:v>
      </x:c>
      <x:c r="Y49" s="369" t="str"/>
    </x:row>
    <x:row r="50" ht="62" customHeight="1">
      <x:c r="A50" s="19" t="str">
        <x:v>B31-C045</x:v>
      </x:c>
      <x:c r="B50" s="19" t="str">
        <x:v>B31_SRC_N90_WEB</x:v>
      </x:c>
      <x:c r="C50" s="19" t="str">
        <x:v>TECH_RELEASE_20260730</x:v>
      </x:c>
      <x:c r="D50" s="19" t="str">
        <x:v>N90独立产品页对应章节</x:v>
      </x:c>
      <x:c r="E50" s="19" t="str">
        <x:v>二三排极致前移后1831L后备厢</x:v>
      </x:c>
      <x:c r="F50" s="19" t="str"/>
      <x:c r="G50" s="19" t="str">
        <x:v>PC-N90-MAX-CAND</x:v>
      </x:c>
      <x:c r="H50" s="19" t="str">
        <x:v>trunk_max</x:v>
      </x:c>
      <x:c r="I50" s="19" t="str">
        <x:v>BODY_SPACE</x:v>
      </x:c>
      <x:c r="J50" s="19" t="str">
        <x:v>VALUE</x:v>
      </x:c>
      <x:c r="K50" s="19" t="str">
        <x:v>NUMERIC</x:v>
      </x:c>
      <x:c r="L50" s="152" t="n">
        <x:v>1831</x:v>
      </x:c>
      <x:c r="M50" s="19" t="str"/>
      <x:c r="N50" s="19" t="str">
        <x:v>L</x:v>
      </x:c>
      <x:c r="O50" s="19" t="str">
        <x:v>N90_MAX</x:v>
      </x:c>
      <x:c r="P50" s="19" t="str">
        <x:v>EQUIPPED_CLAIM</x:v>
      </x:c>
      <x:c r="Q50" s="19" t="str">
        <x:v>搭载/配备/页面展示</x:v>
      </x:c>
      <x:c r="R50" s="19" t="str">
        <x:v>EQUIPPED_STANDARD_UNCONFIRMED</x:v>
      </x:c>
      <x:c r="S50" s="19" t="str">
        <x:v>AS_OF_2026-08-04_PRELAUNCH</x:v>
      </x:c>
      <x:c r="T50" s="19" t="str">
        <x:v>POSITIVE</x:v>
      </x:c>
      <x:c r="U50" s="19" t="str">
        <x:v>CONFIRMED</x:v>
      </x:c>
      <x:c r="V50" s="19" t="str">
        <x:v>EXCLUDED_UNTIL_3.1C</x:v>
      </x:c>
      <x:c r="W50" s="19" t="str"/>
      <x:c r="X50" s="19" t="str">
        <x:v>NONE</x:v>
      </x:c>
      <x:c r="Y50" s="19" t="str"/>
    </x:row>
    <x:row r="51" ht="62" customHeight="1">
      <x:c r="A51" s="369" t="str">
        <x:v>B31-C046</x:v>
      </x:c>
      <x:c r="B51" s="369" t="str">
        <x:v>B31_SRC_N90_WEB</x:v>
      </x:c>
      <x:c r="C51" s="369" t="str">
        <x:v>TECH_RELEASE_20260730</x:v>
      </x:c>
      <x:c r="D51" s="369" t="str">
        <x:v>N90独立产品页对应章节</x:v>
      </x:c>
      <x:c r="E51" s="369" t="str">
        <x:v>690mm超低尾门门槛</x:v>
      </x:c>
      <x:c r="F51" s="369" t="str"/>
      <x:c r="G51" s="369" t="str">
        <x:v>PC-N90-MAX-CAND</x:v>
      </x:c>
      <x:c r="H51" s="369" t="str">
        <x:v>tailgate_threshold</x:v>
      </x:c>
      <x:c r="I51" s="369" t="str">
        <x:v>BODY_SPACE</x:v>
      </x:c>
      <x:c r="J51" s="369" t="str">
        <x:v>VALUE</x:v>
      </x:c>
      <x:c r="K51" s="369" t="str">
        <x:v>NUMERIC</x:v>
      </x:c>
      <x:c r="L51" s="373" t="n">
        <x:v>690</x:v>
      </x:c>
      <x:c r="M51" s="369" t="str"/>
      <x:c r="N51" s="369" t="str">
        <x:v>mm</x:v>
      </x:c>
      <x:c r="O51" s="369" t="str">
        <x:v>N90_MAX</x:v>
      </x:c>
      <x:c r="P51" s="369" t="str">
        <x:v>EQUIPPED_CLAIM</x:v>
      </x:c>
      <x:c r="Q51" s="369" t="str">
        <x:v>搭载/配备/页面展示</x:v>
      </x:c>
      <x:c r="R51" s="369" t="str">
        <x:v>EQUIPPED_STANDARD_UNCONFIRMED</x:v>
      </x:c>
      <x:c r="S51" s="369" t="str">
        <x:v>AS_OF_2026-08-04_PRELAUNCH</x:v>
      </x:c>
      <x:c r="T51" s="369" t="str">
        <x:v>POSITIVE</x:v>
      </x:c>
      <x:c r="U51" s="369" t="str">
        <x:v>CONFIRMED</x:v>
      </x:c>
      <x:c r="V51" s="369" t="str">
        <x:v>EXCLUDED_UNTIL_3.1C</x:v>
      </x:c>
      <x:c r="W51" s="369" t="str"/>
      <x:c r="X51" s="369" t="str">
        <x:v>NONE</x:v>
      </x:c>
      <x:c r="Y51" s="369" t="str"/>
    </x:row>
    <x:row r="52" ht="62" customHeight="1">
      <x:c r="A52" s="19" t="str">
        <x:v>B31-C047</x:v>
      </x:c>
      <x:c r="B52" s="19" t="str">
        <x:v>B31_SRC_N90_WEB</x:v>
      </x:c>
      <x:c r="C52" s="19" t="str">
        <x:v>TECH_RELEASE_20260730</x:v>
      </x:c>
      <x:c r="D52" s="19" t="str">
        <x:v>N90独立产品页对应章节</x:v>
      </x:c>
      <x:c r="E52" s="19" t="str">
        <x:v>1193mm宽大开口</x:v>
      </x:c>
      <x:c r="F52" s="19" t="str"/>
      <x:c r="G52" s="19" t="str">
        <x:v>PC-N90-MAX-CAND</x:v>
      </x:c>
      <x:c r="H52" s="19" t="str">
        <x:v>tailgate_opening_width</x:v>
      </x:c>
      <x:c r="I52" s="19" t="str">
        <x:v>BODY_SPACE</x:v>
      </x:c>
      <x:c r="J52" s="19" t="str">
        <x:v>VALUE</x:v>
      </x:c>
      <x:c r="K52" s="19" t="str">
        <x:v>NUMERIC</x:v>
      </x:c>
      <x:c r="L52" s="152" t="n">
        <x:v>1193</x:v>
      </x:c>
      <x:c r="M52" s="19" t="str"/>
      <x:c r="N52" s="19" t="str">
        <x:v>mm</x:v>
      </x:c>
      <x:c r="O52" s="19" t="str">
        <x:v>N90_MAX</x:v>
      </x:c>
      <x:c r="P52" s="19" t="str">
        <x:v>EQUIPPED_CLAIM</x:v>
      </x:c>
      <x:c r="Q52" s="19" t="str">
        <x:v>搭载/配备/页面展示</x:v>
      </x:c>
      <x:c r="R52" s="19" t="str">
        <x:v>EQUIPPED_STANDARD_UNCONFIRMED</x:v>
      </x:c>
      <x:c r="S52" s="19" t="str">
        <x:v>AS_OF_2026-08-04_PRELAUNCH</x:v>
      </x:c>
      <x:c r="T52" s="19" t="str">
        <x:v>POSITIVE</x:v>
      </x:c>
      <x:c r="U52" s="19" t="str">
        <x:v>CONFIRMED</x:v>
      </x:c>
      <x:c r="V52" s="19" t="str">
        <x:v>EXCLUDED_UNTIL_3.1C</x:v>
      </x:c>
      <x:c r="W52" s="19" t="str"/>
      <x:c r="X52" s="19" t="str">
        <x:v>NONE</x:v>
      </x:c>
      <x:c r="Y52" s="19" t="str"/>
    </x:row>
    <x:row r="53" ht="62" customHeight="1">
      <x:c r="A53" s="369" t="str">
        <x:v>B31-C048</x:v>
      </x:c>
      <x:c r="B53" s="369" t="str">
        <x:v>B31_SRC_N90_WEB</x:v>
      </x:c>
      <x:c r="C53" s="369" t="str">
        <x:v>TECH_RELEASE_20260730</x:v>
      </x:c>
      <x:c r="D53" s="369" t="str">
        <x:v>N90独立产品页对应章节</x:v>
      </x:c>
      <x:c r="E53" s="369" t="str">
        <x:v>四人头等舱模式乘坐空间1370mm</x:v>
      </x:c>
      <x:c r="F53" s="369" t="str"/>
      <x:c r="G53" s="369" t="str">
        <x:v>PC-N90-MAX-CAND</x:v>
      </x:c>
      <x:c r="H53" s="369" t="str">
        <x:v>four_seat_space</x:v>
      </x:c>
      <x:c r="I53" s="369" t="str">
        <x:v>BODY_SPACE</x:v>
      </x:c>
      <x:c r="J53" s="369" t="str">
        <x:v>VALUE</x:v>
      </x:c>
      <x:c r="K53" s="369" t="str">
        <x:v>NUMERIC</x:v>
      </x:c>
      <x:c r="L53" s="373" t="n">
        <x:v>1370</x:v>
      </x:c>
      <x:c r="M53" s="369" t="str"/>
      <x:c r="N53" s="369" t="str">
        <x:v>mm</x:v>
      </x:c>
      <x:c r="O53" s="369" t="str">
        <x:v>N90_MAX</x:v>
      </x:c>
      <x:c r="P53" s="369" t="str">
        <x:v>EQUIPPED_CLAIM</x:v>
      </x:c>
      <x:c r="Q53" s="369" t="str">
        <x:v>搭载/配备/页面展示</x:v>
      </x:c>
      <x:c r="R53" s="369" t="str">
        <x:v>EQUIPPED_STANDARD_UNCONFIRMED</x:v>
      </x:c>
      <x:c r="S53" s="369" t="str">
        <x:v>AS_OF_2026-08-04_PRELAUNCH</x:v>
      </x:c>
      <x:c r="T53" s="369" t="str">
        <x:v>POSITIVE</x:v>
      </x:c>
      <x:c r="U53" s="369" t="str">
        <x:v>CONFIRMED</x:v>
      </x:c>
      <x:c r="V53" s="369" t="str">
        <x:v>EXCLUDED_UNTIL_3.1C</x:v>
      </x:c>
      <x:c r="W53" s="369" t="str"/>
      <x:c r="X53" s="369" t="str">
        <x:v>NONE</x:v>
      </x:c>
      <x:c r="Y53" s="369" t="str"/>
    </x:row>
    <x:row r="54" ht="62" customHeight="1">
      <x:c r="A54" s="19" t="str">
        <x:v>B31-C049</x:v>
      </x:c>
      <x:c r="B54" s="19" t="str">
        <x:v>B31_SRC_N90_WEB</x:v>
      </x:c>
      <x:c r="C54" s="19" t="str">
        <x:v>TECH_RELEASE_20260730</x:v>
      </x:c>
      <x:c r="D54" s="19" t="str">
        <x:v>N90独立产品页对应章节</x:v>
      </x:c>
      <x:c r="E54" s="19" t="str">
        <x:v>二三排极致后移最大可达1550mm</x:v>
      </x:c>
      <x:c r="F54" s="19" t="str"/>
      <x:c r="G54" s="19" t="str">
        <x:v>PC-N90-MAX-CAND</x:v>
      </x:c>
      <x:c r="H54" s="19" t="str">
        <x:v>row2_space_max</x:v>
      </x:c>
      <x:c r="I54" s="19" t="str">
        <x:v>BODY_SPACE</x:v>
      </x:c>
      <x:c r="J54" s="19" t="str">
        <x:v>VALUE</x:v>
      </x:c>
      <x:c r="K54" s="19" t="str">
        <x:v>NUMERIC</x:v>
      </x:c>
      <x:c r="L54" s="152" t="n">
        <x:v>1550</x:v>
      </x:c>
      <x:c r="M54" s="19" t="str"/>
      <x:c r="N54" s="19" t="str">
        <x:v>mm</x:v>
      </x:c>
      <x:c r="O54" s="19" t="str">
        <x:v>N90_MAX</x:v>
      </x:c>
      <x:c r="P54" s="19" t="str">
        <x:v>EQUIPPED_CLAIM</x:v>
      </x:c>
      <x:c r="Q54" s="19" t="str">
        <x:v>搭载/配备/页面展示</x:v>
      </x:c>
      <x:c r="R54" s="19" t="str">
        <x:v>EQUIPPED_STANDARD_UNCONFIRMED</x:v>
      </x:c>
      <x:c r="S54" s="19" t="str">
        <x:v>AS_OF_2026-08-04_PRELAUNCH</x:v>
      </x:c>
      <x:c r="T54" s="19" t="str">
        <x:v>POSITIVE</x:v>
      </x:c>
      <x:c r="U54" s="19" t="str">
        <x:v>CONFIRMED</x:v>
      </x:c>
      <x:c r="V54" s="19" t="str">
        <x:v>EXCLUDED_UNTIL_3.1C</x:v>
      </x:c>
      <x:c r="W54" s="19" t="str"/>
      <x:c r="X54" s="19" t="str">
        <x:v>NONE</x:v>
      </x:c>
      <x:c r="Y54" s="19" t="str"/>
    </x:row>
    <x:row r="55" ht="62" customHeight="1">
      <x:c r="A55" s="369" t="str">
        <x:v>B31-C050</x:v>
      </x:c>
      <x:c r="B55" s="369" t="str">
        <x:v>B31_SRC_N90_WEB</x:v>
      </x:c>
      <x:c r="C55" s="369" t="str">
        <x:v>TECH_RELEASE_20260730</x:v>
      </x:c>
      <x:c r="D55" s="369" t="str">
        <x:v>N90独立产品页对应章节</x:v>
      </x:c>
      <x:c r="E55" s="369" t="str">
        <x:v>6.8㎡超大全车玻璃面积</x:v>
      </x:c>
      <x:c r="F55" s="369" t="str"/>
      <x:c r="G55" s="369" t="str">
        <x:v>PC-N90-MAX-CAND</x:v>
      </x:c>
      <x:c r="H55" s="369" t="str">
        <x:v>glass_area</x:v>
      </x:c>
      <x:c r="I55" s="369" t="str">
        <x:v>BODY_SPACE</x:v>
      </x:c>
      <x:c r="J55" s="369" t="str">
        <x:v>VALUE</x:v>
      </x:c>
      <x:c r="K55" s="369" t="str">
        <x:v>NUMERIC</x:v>
      </x:c>
      <x:c r="L55" s="373" t="n">
        <x:v>6.8</x:v>
      </x:c>
      <x:c r="M55" s="369" t="str"/>
      <x:c r="N55" s="369" t="str">
        <x:v>m2</x:v>
      </x:c>
      <x:c r="O55" s="369" t="str">
        <x:v>N90_MAX</x:v>
      </x:c>
      <x:c r="P55" s="369" t="str">
        <x:v>EQUIPPED_CLAIM</x:v>
      </x:c>
      <x:c r="Q55" s="369" t="str">
        <x:v>搭载/配备/页面展示</x:v>
      </x:c>
      <x:c r="R55" s="369" t="str">
        <x:v>EQUIPPED_STANDARD_UNCONFIRMED</x:v>
      </x:c>
      <x:c r="S55" s="369" t="str">
        <x:v>AS_OF_2026-08-04_PRELAUNCH</x:v>
      </x:c>
      <x:c r="T55" s="369" t="str">
        <x:v>POSITIVE</x:v>
      </x:c>
      <x:c r="U55" s="369" t="str">
        <x:v>CONFIRMED</x:v>
      </x:c>
      <x:c r="V55" s="369" t="str">
        <x:v>EXCLUDED_UNTIL_3.1C</x:v>
      </x:c>
      <x:c r="W55" s="369" t="str"/>
      <x:c r="X55" s="369" t="str">
        <x:v>NONE</x:v>
      </x:c>
      <x:c r="Y55" s="369" t="str"/>
    </x:row>
    <x:row r="56" ht="62" customHeight="1">
      <x:c r="A56" s="19" t="str">
        <x:v>B31-C051</x:v>
      </x:c>
      <x:c r="B56" s="19" t="str">
        <x:v>B31_SRC_N90_WEB</x:v>
      </x:c>
      <x:c r="C56" s="19" t="str">
        <x:v>TECH_RELEASE_20260730</x:v>
      </x:c>
      <x:c r="D56" s="19" t="str">
        <x:v>N90独立产品页对应章节</x:v>
      </x:c>
      <x:c r="E56" s="19" t="str">
        <x:v>全车高频接触面95%软包覆</x:v>
      </x:c>
      <x:c r="F56" s="19" t="str"/>
      <x:c r="G56" s="19" t="str">
        <x:v>PC-N90-MAX-CAND</x:v>
      </x:c>
      <x:c r="H56" s="19" t="str">
        <x:v>soft_touch_coverage</x:v>
      </x:c>
      <x:c r="I56" s="19" t="str">
        <x:v>CABIN</x:v>
      </x:c>
      <x:c r="J56" s="19" t="str">
        <x:v>VALUE</x:v>
      </x:c>
      <x:c r="K56" s="19" t="str">
        <x:v>NUMERIC</x:v>
      </x:c>
      <x:c r="L56" s="152" t="n">
        <x:v>95</x:v>
      </x:c>
      <x:c r="M56" s="19" t="str"/>
      <x:c r="N56" s="19" t="str">
        <x:v>%</x:v>
      </x:c>
      <x:c r="O56" s="19" t="str">
        <x:v>N90_MAX</x:v>
      </x:c>
      <x:c r="P56" s="19" t="str">
        <x:v>EQUIPPED_CLAIM</x:v>
      </x:c>
      <x:c r="Q56" s="19" t="str">
        <x:v>搭载/配备/页面展示</x:v>
      </x:c>
      <x:c r="R56" s="19" t="str">
        <x:v>EQUIPPED_STANDARD_UNCONFIRMED</x:v>
      </x:c>
      <x:c r="S56" s="19" t="str">
        <x:v>AS_OF_2026-08-04_PRELAUNCH</x:v>
      </x:c>
      <x:c r="T56" s="19" t="str">
        <x:v>POSITIVE</x:v>
      </x:c>
      <x:c r="U56" s="19" t="str">
        <x:v>CONFIRMED</x:v>
      </x:c>
      <x:c r="V56" s="19" t="str">
        <x:v>EXCLUDED_UNTIL_3.1C</x:v>
      </x:c>
      <x:c r="W56" s="19" t="str"/>
      <x:c r="X56" s="19" t="str">
        <x:v>NONE</x:v>
      </x:c>
      <x:c r="Y56" s="19" t="str"/>
    </x:row>
    <x:row r="57" ht="62" customHeight="1">
      <x:c r="A57" s="369" t="str">
        <x:v>B31-C052</x:v>
      </x:c>
      <x:c r="B57" s="369" t="str">
        <x:v>B31_SRC_N90_WEB</x:v>
      </x:c>
      <x:c r="C57" s="369" t="str">
        <x:v>TECH_RELEASE_20260730</x:v>
      </x:c>
      <x:c r="D57" s="369" t="str">
        <x:v>N90独立产品页对应章节</x:v>
      </x:c>
      <x:c r="E57" s="369" t="str">
        <x:v>256色漫反射氛围灯</x:v>
      </x:c>
      <x:c r="F57" s="369" t="str"/>
      <x:c r="G57" s="369" t="str">
        <x:v>PC-N90-MAX-CAND</x:v>
      </x:c>
      <x:c r="H57" s="369" t="str">
        <x:v>ambient_light_colors</x:v>
      </x:c>
      <x:c r="I57" s="369" t="str">
        <x:v>CABIN</x:v>
      </x:c>
      <x:c r="J57" s="369" t="str">
        <x:v>VALUE</x:v>
      </x:c>
      <x:c r="K57" s="369" t="str">
        <x:v>NUMERIC</x:v>
      </x:c>
      <x:c r="L57" s="373" t="n">
        <x:v>256</x:v>
      </x:c>
      <x:c r="M57" s="369" t="str"/>
      <x:c r="N57" s="369" t="str">
        <x:v>count</x:v>
      </x:c>
      <x:c r="O57" s="369" t="str">
        <x:v>N90_MAX</x:v>
      </x:c>
      <x:c r="P57" s="369" t="str">
        <x:v>EQUIPPED_CLAIM</x:v>
      </x:c>
      <x:c r="Q57" s="369" t="str">
        <x:v>搭载/配备/页面展示</x:v>
      </x:c>
      <x:c r="R57" s="369" t="str">
        <x:v>EQUIPPED_STANDARD_UNCONFIRMED</x:v>
      </x:c>
      <x:c r="S57" s="369" t="str">
        <x:v>AS_OF_2026-08-04_PRELAUNCH</x:v>
      </x:c>
      <x:c r="T57" s="369" t="str">
        <x:v>POSITIVE</x:v>
      </x:c>
      <x:c r="U57" s="369" t="str">
        <x:v>CONFIRMED</x:v>
      </x:c>
      <x:c r="V57" s="369" t="str">
        <x:v>EXCLUDED_UNTIL_3.1C</x:v>
      </x:c>
      <x:c r="W57" s="369" t="str"/>
      <x:c r="X57" s="369" t="str">
        <x:v>NONE</x:v>
      </x:c>
      <x:c r="Y57" s="369" t="str"/>
    </x:row>
    <x:row r="58" ht="62" customHeight="1">
      <x:c r="A58" s="19" t="str">
        <x:v>B31-C053</x:v>
      </x:c>
      <x:c r="B58" s="19" t="str">
        <x:v>B31_SRC_N90_WEB</x:v>
      </x:c>
      <x:c r="C58" s="19" t="str">
        <x:v>TECH_RELEASE_20260730</x:v>
      </x:c>
      <x:c r="D58" s="19" t="str">
        <x:v>N90独立产品页对应章节</x:v>
      </x:c>
      <x:c r="E58" s="19" t="str">
        <x:v>支持9L大冰箱</x:v>
      </x:c>
      <x:c r="F58" s="19" t="str"/>
      <x:c r="G58" s="19" t="str">
        <x:v>PC-N90-MAX-CAND</x:v>
      </x:c>
      <x:c r="H58" s="19" t="str">
        <x:v>fridge_capacity</x:v>
      </x:c>
      <x:c r="I58" s="19" t="str">
        <x:v>CABIN</x:v>
      </x:c>
      <x:c r="J58" s="19" t="str">
        <x:v>VALUE</x:v>
      </x:c>
      <x:c r="K58" s="19" t="str">
        <x:v>NUMERIC</x:v>
      </x:c>
      <x:c r="L58" s="152" t="n">
        <x:v>9</x:v>
      </x:c>
      <x:c r="M58" s="19" t="str"/>
      <x:c r="N58" s="19" t="str">
        <x:v>L</x:v>
      </x:c>
      <x:c r="O58" s="19" t="str">
        <x:v>N90_MAX</x:v>
      </x:c>
      <x:c r="P58" s="19" t="str">
        <x:v>EQUIPPED_CLAIM</x:v>
      </x:c>
      <x:c r="Q58" s="19" t="str">
        <x:v>搭载/配备/页面展示</x:v>
      </x:c>
      <x:c r="R58" s="19" t="str">
        <x:v>EQUIPPED_STANDARD_UNCONFIRMED</x:v>
      </x:c>
      <x:c r="S58" s="19" t="str">
        <x:v>AS_OF_2026-08-04_PRELAUNCH</x:v>
      </x:c>
      <x:c r="T58" s="19" t="str">
        <x:v>POSITIVE</x:v>
      </x:c>
      <x:c r="U58" s="19" t="str">
        <x:v>CONFIRMED</x:v>
      </x:c>
      <x:c r="V58" s="19" t="str">
        <x:v>EXCLUDED_UNTIL_3.1C</x:v>
      </x:c>
      <x:c r="W58" s="19" t="str"/>
      <x:c r="X58" s="19" t="str">
        <x:v>NONE</x:v>
      </x:c>
      <x:c r="Y58" s="19" t="str"/>
    </x:row>
    <x:row r="59" ht="62" customHeight="1">
      <x:c r="A59" s="369" t="str">
        <x:v>B31-C054</x:v>
      </x:c>
      <x:c r="B59" s="369" t="str">
        <x:v>B31_SRC_N90_WEB</x:v>
      </x:c>
      <x:c r="C59" s="369" t="str">
        <x:v>TECH_RELEASE_20260730</x:v>
      </x:c>
      <x:c r="D59" s="369" t="str">
        <x:v>N90独立产品页对应章节</x:v>
      </x:c>
      <x:c r="E59" s="369" t="str">
        <x:v>支持-6℃~15℃冷藏和35℃~50℃加热</x:v>
      </x:c>
      <x:c r="F59" s="369" t="str"/>
      <x:c r="G59" s="369" t="str">
        <x:v>PC-N90-MAX-CAND</x:v>
      </x:c>
      <x:c r="H59" s="369" t="str">
        <x:v>fridge_temperature</x:v>
      </x:c>
      <x:c r="I59" s="369" t="str">
        <x:v>CABIN</x:v>
      </x:c>
      <x:c r="J59" s="369" t="str">
        <x:v>VALUE</x:v>
      </x:c>
      <x:c r="K59" s="369" t="str">
        <x:v>TEXT</x:v>
      </x:c>
      <x:c r="L59" s="373" t="str"/>
      <x:c r="M59" s="369" t="str">
        <x:v>-6~15℃冷藏；35~50℃加热</x:v>
      </x:c>
      <x:c r="N59" s="369" t="str"/>
      <x:c r="O59" s="369" t="str">
        <x:v>N90_MAX</x:v>
      </x:c>
      <x:c r="P59" s="369" t="str">
        <x:v>EQUIPPED_CLAIM</x:v>
      </x:c>
      <x:c r="Q59" s="369" t="str">
        <x:v>搭载/配备/页面展示</x:v>
      </x:c>
      <x:c r="R59" s="369" t="str">
        <x:v>EQUIPPED_STANDARD_UNCONFIRMED</x:v>
      </x:c>
      <x:c r="S59" s="369" t="str">
        <x:v>AS_OF_2026-08-04_PRELAUNCH</x:v>
      </x:c>
      <x:c r="T59" s="369" t="str">
        <x:v>POSITIVE</x:v>
      </x:c>
      <x:c r="U59" s="369" t="str">
        <x:v>CONFIRMED</x:v>
      </x:c>
      <x:c r="V59" s="369" t="str">
        <x:v>EXCLUDED_UNTIL_3.1C</x:v>
      </x:c>
      <x:c r="W59" s="369" t="str"/>
      <x:c r="X59" s="369" t="str">
        <x:v>NONE</x:v>
      </x:c>
      <x:c r="Y59" s="369" t="str"/>
    </x:row>
    <x:row r="60" ht="62" customHeight="1">
      <x:c r="A60" s="19" t="str">
        <x:v>B31-C055</x:v>
      </x:c>
      <x:c r="B60" s="19" t="str">
        <x:v>B31_SRC_N90_WEB</x:v>
      </x:c>
      <x:c r="C60" s="19" t="str">
        <x:v>TECH_RELEASE_20260730</x:v>
      </x:c>
      <x:c r="D60" s="19" t="str">
        <x:v>N90独立产品页对应章节</x:v>
      </x:c>
      <x:c r="E60" s="19" t="str">
        <x:v>一二排座椅支持16点式座椅按摩</x:v>
      </x:c>
      <x:c r="F60" s="19" t="str"/>
      <x:c r="G60" s="19" t="str">
        <x:v>PC-N90-MAX-CAND</x:v>
      </x:c>
      <x:c r="H60" s="19" t="str">
        <x:v>seat_massage</x:v>
      </x:c>
      <x:c r="I60" s="19" t="str">
        <x:v>COMFORT</x:v>
      </x:c>
      <x:c r="J60" s="19" t="str">
        <x:v>VALUE</x:v>
      </x:c>
      <x:c r="K60" s="19" t="str">
        <x:v>TEXT</x:v>
      </x:c>
      <x:c r="L60" s="152" t="str"/>
      <x:c r="M60" s="19" t="str">
        <x:v>一二排16点按摩</x:v>
      </x:c>
      <x:c r="N60" s="19" t="str"/>
      <x:c r="O60" s="19" t="str">
        <x:v>N90_MAX</x:v>
      </x:c>
      <x:c r="P60" s="19" t="str">
        <x:v>EQUIPPED_CLAIM</x:v>
      </x:c>
      <x:c r="Q60" s="19" t="str">
        <x:v>搭载/配备/页面展示</x:v>
      </x:c>
      <x:c r="R60" s="19" t="str">
        <x:v>EQUIPPED_STANDARD_UNCONFIRMED</x:v>
      </x:c>
      <x:c r="S60" s="19" t="str">
        <x:v>AS_OF_2026-08-04_PRELAUNCH</x:v>
      </x:c>
      <x:c r="T60" s="19" t="str">
        <x:v>POSITIVE</x:v>
      </x:c>
      <x:c r="U60" s="19" t="str">
        <x:v>CONFIRMED</x:v>
      </x:c>
      <x:c r="V60" s="19" t="str">
        <x:v>EXCLUDED_UNTIL_3.1C</x:v>
      </x:c>
      <x:c r="W60" s="19" t="str"/>
      <x:c r="X60" s="19" t="str">
        <x:v>NONE</x:v>
      </x:c>
      <x:c r="Y60" s="19" t="str"/>
    </x:row>
    <x:row r="61" ht="62" customHeight="1">
      <x:c r="A61" s="369" t="str">
        <x:v>B31-C056</x:v>
      </x:c>
      <x:c r="B61" s="369" t="str">
        <x:v>B31_SRC_N90_WEB</x:v>
      </x:c>
      <x:c r="C61" s="369" t="str">
        <x:v>TECH_RELEASE_20260730</x:v>
      </x:c>
      <x:c r="D61" s="369" t="str">
        <x:v>N90独立产品页对应章节</x:v>
      </x:c>
      <x:c r="E61" s="369" t="str">
        <x:v>一二排座椅支持通风加热</x:v>
      </x:c>
      <x:c r="F61" s="369" t="str"/>
      <x:c r="G61" s="369" t="str">
        <x:v>PC-N90-MAX-CAND</x:v>
      </x:c>
      <x:c r="H61" s="369" t="str">
        <x:v>seat_vent_heat</x:v>
      </x:c>
      <x:c r="I61" s="369" t="str">
        <x:v>COMFORT</x:v>
      </x:c>
      <x:c r="J61" s="369" t="str">
        <x:v>VALUE</x:v>
      </x:c>
      <x:c r="K61" s="369" t="str">
        <x:v>TEXT</x:v>
      </x:c>
      <x:c r="L61" s="373" t="str"/>
      <x:c r="M61" s="369" t="str">
        <x:v>一二排通风+加热</x:v>
      </x:c>
      <x:c r="N61" s="369" t="str"/>
      <x:c r="O61" s="369" t="str">
        <x:v>N90_MAX</x:v>
      </x:c>
      <x:c r="P61" s="369" t="str">
        <x:v>EQUIPPED_CLAIM</x:v>
      </x:c>
      <x:c r="Q61" s="369" t="str">
        <x:v>搭载/配备/页面展示</x:v>
      </x:c>
      <x:c r="R61" s="369" t="str">
        <x:v>EQUIPPED_STANDARD_UNCONFIRMED</x:v>
      </x:c>
      <x:c r="S61" s="369" t="str">
        <x:v>AS_OF_2026-08-04_PRELAUNCH</x:v>
      </x:c>
      <x:c r="T61" s="369" t="str">
        <x:v>POSITIVE</x:v>
      </x:c>
      <x:c r="U61" s="369" t="str">
        <x:v>CONFIRMED</x:v>
      </x:c>
      <x:c r="V61" s="369" t="str">
        <x:v>EXCLUDED_UNTIL_3.1C</x:v>
      </x:c>
      <x:c r="W61" s="369" t="str"/>
      <x:c r="X61" s="369" t="str">
        <x:v>NONE</x:v>
      </x:c>
      <x:c r="Y61" s="369" t="str"/>
    </x:row>
    <x:row r="62" ht="62" customHeight="1">
      <x:c r="A62" s="19" t="str">
        <x:v>B31-C057</x:v>
      </x:c>
      <x:c r="B62" s="19" t="str">
        <x:v>B31_SRC_N90_WEB</x:v>
      </x:c>
      <x:c r="C62" s="19" t="str">
        <x:v>TECH_RELEASE_20260730</x:v>
      </x:c>
      <x:c r="D62" s="19" t="str">
        <x:v>N90独立产品页对应章节</x:v>
      </x:c>
      <x:c r="E62" s="19" t="str">
        <x:v>热泵空调，12个面部+5个脚部出风口，三分区独立调温</x:v>
      </x:c>
      <x:c r="F62" s="19" t="str"/>
      <x:c r="G62" s="19" t="str">
        <x:v>PC-N90-MAX-CAND</x:v>
      </x:c>
      <x:c r="H62" s="19" t="str">
        <x:v>heat_pump_hvac</x:v>
      </x:c>
      <x:c r="I62" s="19" t="str">
        <x:v>COMFORT</x:v>
      </x:c>
      <x:c r="J62" s="19" t="str">
        <x:v>VALUE</x:v>
      </x:c>
      <x:c r="K62" s="19" t="str">
        <x:v>TEXT</x:v>
      </x:c>
      <x:c r="L62" s="152" t="str"/>
      <x:c r="M62" s="19" t="str">
        <x:v>热泵空调；三分区</x:v>
      </x:c>
      <x:c r="N62" s="19" t="str"/>
      <x:c r="O62" s="19" t="str">
        <x:v>N90_MAX</x:v>
      </x:c>
      <x:c r="P62" s="19" t="str">
        <x:v>EQUIPPED_CLAIM</x:v>
      </x:c>
      <x:c r="Q62" s="19" t="str">
        <x:v>搭载/配备/页面展示</x:v>
      </x:c>
      <x:c r="R62" s="19" t="str">
        <x:v>EQUIPPED_STANDARD_UNCONFIRMED</x:v>
      </x:c>
      <x:c r="S62" s="19" t="str">
        <x:v>AS_OF_2026-08-04_PRELAUNCH</x:v>
      </x:c>
      <x:c r="T62" s="19" t="str">
        <x:v>POSITIVE</x:v>
      </x:c>
      <x:c r="U62" s="19" t="str">
        <x:v>CONFIRMED</x:v>
      </x:c>
      <x:c r="V62" s="19" t="str">
        <x:v>EXCLUDED_UNTIL_3.1C</x:v>
      </x:c>
      <x:c r="W62" s="19" t="str"/>
      <x:c r="X62" s="19" t="str">
        <x:v>NONE</x:v>
      </x:c>
      <x:c r="Y62" s="19" t="str"/>
    </x:row>
    <x:row r="63" ht="62" customHeight="1">
      <x:c r="A63" s="369" t="str">
        <x:v>B31-C058</x:v>
      </x:c>
      <x:c r="B63" s="369" t="str">
        <x:v>B31_SRC_N90_WEB</x:v>
      </x:c>
      <x:c r="C63" s="369" t="str">
        <x:v>TECH_RELEASE_20260730</x:v>
      </x:c>
      <x:c r="D63" s="369" t="str">
        <x:v>N90独立产品页对应章节</x:v>
      </x:c>
      <x:c r="E63" s="369" t="str">
        <x:v>25个高品质扬声器，7.1.4声学架构</x:v>
      </x:c>
      <x:c r="F63" s="369" t="str"/>
      <x:c r="G63" s="369" t="str">
        <x:v>PC-N90-MAX-CAND</x:v>
      </x:c>
      <x:c r="H63" s="369" t="str">
        <x:v>speaker_count</x:v>
      </x:c>
      <x:c r="I63" s="369" t="str">
        <x:v>CABIN</x:v>
      </x:c>
      <x:c r="J63" s="369" t="str">
        <x:v>VALUE</x:v>
      </x:c>
      <x:c r="K63" s="369" t="str">
        <x:v>NUMERIC</x:v>
      </x:c>
      <x:c r="L63" s="373" t="n">
        <x:v>25</x:v>
      </x:c>
      <x:c r="M63" s="369" t="str"/>
      <x:c r="N63" s="369" t="str">
        <x:v>count</x:v>
      </x:c>
      <x:c r="O63" s="369" t="str">
        <x:v>N90_MAX</x:v>
      </x:c>
      <x:c r="P63" s="369" t="str">
        <x:v>EQUIPPED_CLAIM</x:v>
      </x:c>
      <x:c r="Q63" s="369" t="str">
        <x:v>搭载/配备/页面展示</x:v>
      </x:c>
      <x:c r="R63" s="369" t="str">
        <x:v>EQUIPPED_STANDARD_UNCONFIRMED</x:v>
      </x:c>
      <x:c r="S63" s="369" t="str">
        <x:v>AS_OF_2026-08-04_PRELAUNCH</x:v>
      </x:c>
      <x:c r="T63" s="369" t="str">
        <x:v>POSITIVE</x:v>
      </x:c>
      <x:c r="U63" s="369" t="str">
        <x:v>CONFIRMED</x:v>
      </x:c>
      <x:c r="V63" s="369" t="str">
        <x:v>EXCLUDED_UNTIL_3.1C</x:v>
      </x:c>
      <x:c r="W63" s="369" t="str"/>
      <x:c r="X63" s="369" t="str">
        <x:v>NONE</x:v>
      </x:c>
      <x:c r="Y63" s="369" t="str"/>
    </x:row>
    <x:row r="64" ht="62" customHeight="1">
      <x:c r="A64" s="19" t="str">
        <x:v>B31-C059</x:v>
      </x:c>
      <x:c r="B64" s="19" t="str">
        <x:v>B31_SRC_N90_WEB</x:v>
      </x:c>
      <x:c r="C64" s="19" t="str">
        <x:v>TECH_RELEASE_20260730</x:v>
      </x:c>
      <x:c r="D64" s="19" t="str">
        <x:v>N90独立产品页对应章节</x:v>
      </x:c>
      <x:c r="E64" s="19" t="str">
        <x:v>峰值功率4890W</x:v>
      </x:c>
      <x:c r="F64" s="19" t="str"/>
      <x:c r="G64" s="19" t="str">
        <x:v>PC-N90-MAX-CAND</x:v>
      </x:c>
      <x:c r="H64" s="19" t="str">
        <x:v>audio_peak_power</x:v>
      </x:c>
      <x:c r="I64" s="19" t="str">
        <x:v>CABIN</x:v>
      </x:c>
      <x:c r="J64" s="19" t="str">
        <x:v>VALUE</x:v>
      </x:c>
      <x:c r="K64" s="19" t="str">
        <x:v>NUMERIC</x:v>
      </x:c>
      <x:c r="L64" s="152" t="n">
        <x:v>4890</x:v>
      </x:c>
      <x:c r="M64" s="19" t="str"/>
      <x:c r="N64" s="19" t="str">
        <x:v>W</x:v>
      </x:c>
      <x:c r="O64" s="19" t="str">
        <x:v>N90_MAX</x:v>
      </x:c>
      <x:c r="P64" s="19" t="str">
        <x:v>EQUIPPED_CLAIM</x:v>
      </x:c>
      <x:c r="Q64" s="19" t="str">
        <x:v>搭载/配备/页面展示</x:v>
      </x:c>
      <x:c r="R64" s="19" t="str">
        <x:v>EQUIPPED_STANDARD_UNCONFIRMED</x:v>
      </x:c>
      <x:c r="S64" s="19" t="str">
        <x:v>AS_OF_2026-08-04_PRELAUNCH</x:v>
      </x:c>
      <x:c r="T64" s="19" t="str">
        <x:v>POSITIVE</x:v>
      </x:c>
      <x:c r="U64" s="19" t="str">
        <x:v>CONFIRMED</x:v>
      </x:c>
      <x:c r="V64" s="19" t="str">
        <x:v>EXCLUDED_UNTIL_3.1C</x:v>
      </x:c>
      <x:c r="W64" s="19" t="str"/>
      <x:c r="X64" s="19" t="str">
        <x:v>NONE</x:v>
      </x:c>
      <x:c r="Y64" s="19" t="str"/>
    </x:row>
    <x:row r="65" ht="62" customHeight="1">
      <x:c r="A65" s="369" t="str">
        <x:v>B31-C060</x:v>
      </x:c>
      <x:c r="B65" s="369" t="str">
        <x:v>B31_SRC_N90_WEB</x:v>
      </x:c>
      <x:c r="C65" s="369" t="str">
        <x:v>TECH_RELEASE_20260730</x:v>
      </x:c>
      <x:c r="D65" s="369" t="str">
        <x:v>N90独立产品页对应章节</x:v>
      </x:c>
      <x:c r="E65" s="369" t="str">
        <x:v>全车12个生态接口</x:v>
      </x:c>
      <x:c r="F65" s="369" t="str"/>
      <x:c r="G65" s="369" t="str">
        <x:v>PC-N90-MAX-CAND</x:v>
      </x:c>
      <x:c r="H65" s="369" t="str">
        <x:v>ecosystem_ports</x:v>
      </x:c>
      <x:c r="I65" s="369" t="str">
        <x:v>CABIN</x:v>
      </x:c>
      <x:c r="J65" s="369" t="str">
        <x:v>VALUE</x:v>
      </x:c>
      <x:c r="K65" s="369" t="str">
        <x:v>NUMERIC</x:v>
      </x:c>
      <x:c r="L65" s="373" t="n">
        <x:v>12</x:v>
      </x:c>
      <x:c r="M65" s="369" t="str"/>
      <x:c r="N65" s="369" t="str">
        <x:v>count</x:v>
      </x:c>
      <x:c r="O65" s="369" t="str">
        <x:v>N90_MAX</x:v>
      </x:c>
      <x:c r="P65" s="369" t="str">
        <x:v>EQUIPPED_CLAIM</x:v>
      </x:c>
      <x:c r="Q65" s="369" t="str">
        <x:v>搭载/配备/页面展示</x:v>
      </x:c>
      <x:c r="R65" s="369" t="str">
        <x:v>EQUIPPED_STANDARD_UNCONFIRMED</x:v>
      </x:c>
      <x:c r="S65" s="369" t="str">
        <x:v>AS_OF_2026-08-04_PRELAUNCH</x:v>
      </x:c>
      <x:c r="T65" s="369" t="str">
        <x:v>POSITIVE</x:v>
      </x:c>
      <x:c r="U65" s="369" t="str">
        <x:v>CONFIRMED</x:v>
      </x:c>
      <x:c r="V65" s="369" t="str">
        <x:v>EXCLUDED_UNTIL_3.1C</x:v>
      </x:c>
      <x:c r="W65" s="369" t="str"/>
      <x:c r="X65" s="369" t="str">
        <x:v>NONE</x:v>
      </x:c>
      <x:c r="Y65" s="369" t="str"/>
    </x:row>
    <x:row r="66" ht="62" customHeight="1">
      <x:c r="A66" s="19" t="str">
        <x:v>B31-C061</x:v>
      </x:c>
      <x:c r="B66" s="19" t="str">
        <x:v>B31_SRC_N90_WEB</x:v>
      </x:c>
      <x:c r="C66" s="19" t="str">
        <x:v>TECH_RELEASE_20260730</x:v>
      </x:c>
      <x:c r="D66" s="19" t="str">
        <x:v>N90独立产品页对应章节</x:v>
      </x:c>
      <x:c r="E66" s="19" t="str">
        <x:v>全车14个电源接口</x:v>
      </x:c>
      <x:c r="F66" s="19" t="str"/>
      <x:c r="G66" s="19" t="str">
        <x:v>PC-N90-MAX-CAND</x:v>
      </x:c>
      <x:c r="H66" s="19" t="str">
        <x:v>power_ports</x:v>
      </x:c>
      <x:c r="I66" s="19" t="str">
        <x:v>CABIN</x:v>
      </x:c>
      <x:c r="J66" s="19" t="str">
        <x:v>VALUE</x:v>
      </x:c>
      <x:c r="K66" s="19" t="str">
        <x:v>NUMERIC</x:v>
      </x:c>
      <x:c r="L66" s="152" t="n">
        <x:v>14</x:v>
      </x:c>
      <x:c r="M66" s="19" t="str"/>
      <x:c r="N66" s="19" t="str">
        <x:v>count</x:v>
      </x:c>
      <x:c r="O66" s="19" t="str">
        <x:v>N90_MAX</x:v>
      </x:c>
      <x:c r="P66" s="19" t="str">
        <x:v>EQUIPPED_CLAIM</x:v>
      </x:c>
      <x:c r="Q66" s="19" t="str">
        <x:v>搭载/配备/页面展示</x:v>
      </x:c>
      <x:c r="R66" s="19" t="str">
        <x:v>EQUIPPED_STANDARD_UNCONFIRMED</x:v>
      </x:c>
      <x:c r="S66" s="19" t="str">
        <x:v>AS_OF_2026-08-04_PRELAUNCH</x:v>
      </x:c>
      <x:c r="T66" s="19" t="str">
        <x:v>POSITIVE</x:v>
      </x:c>
      <x:c r="U66" s="19" t="str">
        <x:v>CONFIRMED</x:v>
      </x:c>
      <x:c r="V66" s="19" t="str">
        <x:v>EXCLUDED_UNTIL_3.1C</x:v>
      </x:c>
      <x:c r="W66" s="19" t="str"/>
      <x:c r="X66" s="19" t="str">
        <x:v>NONE</x:v>
      </x:c>
      <x:c r="Y66" s="19" t="str"/>
    </x:row>
    <x:row r="67" ht="62" customHeight="1">
      <x:c r="A67" s="369" t="str">
        <x:v>B31-C062</x:v>
      </x:c>
      <x:c r="B67" s="369" t="str">
        <x:v>B31_SRC_N90_WEB</x:v>
      </x:c>
      <x:c r="C67" s="369" t="str">
        <x:v>TECH_RELEASE_20260730</x:v>
      </x:c>
      <x:c r="D67" s="369" t="str">
        <x:v>N90独立产品页对应章节</x:v>
      </x:c>
      <x:c r="E67" s="369" t="str">
        <x:v>支持220V电源输出</x:v>
      </x:c>
      <x:c r="F67" s="369" t="str"/>
      <x:c r="G67" s="369" t="str">
        <x:v>PC-N90-MAX-CAND</x:v>
      </x:c>
      <x:c r="H67" s="369" t="str">
        <x:v>cabin_220v</x:v>
      </x:c>
      <x:c r="I67" s="369" t="str">
        <x:v>CABIN</x:v>
      </x:c>
      <x:c r="J67" s="369" t="str">
        <x:v>VALUE</x:v>
      </x:c>
      <x:c r="K67" s="369" t="str">
        <x:v>TEXT</x:v>
      </x:c>
      <x:c r="L67" s="373" t="str"/>
      <x:c r="M67" s="369" t="str">
        <x:v>支持</x:v>
      </x:c>
      <x:c r="N67" s="369" t="str"/>
      <x:c r="O67" s="369" t="str">
        <x:v>N90_MAX</x:v>
      </x:c>
      <x:c r="P67" s="369" t="str">
        <x:v>EQUIPPED_CLAIM</x:v>
      </x:c>
      <x:c r="Q67" s="369" t="str">
        <x:v>搭载/配备/页面展示</x:v>
      </x:c>
      <x:c r="R67" s="369" t="str">
        <x:v>EQUIPPED_STANDARD_UNCONFIRMED</x:v>
      </x:c>
      <x:c r="S67" s="369" t="str">
        <x:v>AS_OF_2026-08-04_PRELAUNCH</x:v>
      </x:c>
      <x:c r="T67" s="369" t="str">
        <x:v>POSITIVE</x:v>
      </x:c>
      <x:c r="U67" s="369" t="str">
        <x:v>CONFIRMED</x:v>
      </x:c>
      <x:c r="V67" s="369" t="str">
        <x:v>EXCLUDED_UNTIL_3.1C</x:v>
      </x:c>
      <x:c r="W67" s="369" t="str"/>
      <x:c r="X67" s="369" t="str">
        <x:v>NONE</x:v>
      </x:c>
      <x:c r="Y67" s="369" t="str"/>
    </x:row>
    <x:row r="68" ht="62" customHeight="1">
      <x:c r="A68" s="19" t="str">
        <x:v>B31-C063</x:v>
      </x:c>
      <x:c r="B68" s="19" t="str">
        <x:v>B31_SRC_N90_WEB</x:v>
      </x:c>
      <x:c r="C68" s="19" t="str">
        <x:v>TECH_RELEASE_20260730</x:v>
      </x:c>
      <x:c r="D68" s="19" t="str">
        <x:v>N90独立产品页对应章节</x:v>
      </x:c>
      <x:c r="E68" s="19" t="str">
        <x:v>双电机四驱</x:v>
      </x:c>
      <x:c r="F68" s="19" t="str"/>
      <x:c r="G68" s="19" t="str">
        <x:v>PC-N90-MAX-CAND</x:v>
      </x:c>
      <x:c r="H68" s="19" t="str">
        <x:v>drive_layout</x:v>
      </x:c>
      <x:c r="I68" s="19" t="str">
        <x:v>POWERTRAIN</x:v>
      </x:c>
      <x:c r="J68" s="19" t="str">
        <x:v>VALUE</x:v>
      </x:c>
      <x:c r="K68" s="19" t="str">
        <x:v>TEXT</x:v>
      </x:c>
      <x:c r="L68" s="152" t="str"/>
      <x:c r="M68" s="19" t="str">
        <x:v>双电机四驱</x:v>
      </x:c>
      <x:c r="N68" s="19" t="str"/>
      <x:c r="O68" s="19" t="str">
        <x:v>N90_MAX</x:v>
      </x:c>
      <x:c r="P68" s="19" t="str">
        <x:v>EQUIPPED_CLAIM</x:v>
      </x:c>
      <x:c r="Q68" s="19" t="str">
        <x:v>搭载/配备/页面展示</x:v>
      </x:c>
      <x:c r="R68" s="19" t="str">
        <x:v>EQUIPPED_STANDARD_UNCONFIRMED</x:v>
      </x:c>
      <x:c r="S68" s="19" t="str">
        <x:v>AS_OF_2026-08-04_PRELAUNCH</x:v>
      </x:c>
      <x:c r="T68" s="19" t="str">
        <x:v>POSITIVE</x:v>
      </x:c>
      <x:c r="U68" s="19" t="str">
        <x:v>CONFIRMED</x:v>
      </x:c>
      <x:c r="V68" s="19" t="str">
        <x:v>EXCLUDED_UNTIL_3.1C</x:v>
      </x:c>
      <x:c r="W68" s="19" t="str"/>
      <x:c r="X68" s="19" t="str">
        <x:v>NONE</x:v>
      </x:c>
      <x:c r="Y68" s="19" t="str"/>
    </x:row>
    <x:row r="69" ht="62" customHeight="1">
      <x:c r="A69" s="369" t="str">
        <x:v>B31-C064</x:v>
      </x:c>
      <x:c r="B69" s="369" t="str">
        <x:v>B31_SRC_N90_WEB</x:v>
      </x:c>
      <x:c r="C69" s="369" t="str">
        <x:v>TECH_RELEASE_20260730</x:v>
      </x:c>
      <x:c r="D69" s="369" t="str">
        <x:v>N90独立产品页对应章节</x:v>
      </x:c>
      <x:c r="E69" s="369" t="str">
        <x:v>310kW峰值功率</x:v>
      </x:c>
      <x:c r="F69" s="369" t="str"/>
      <x:c r="G69" s="369" t="str">
        <x:v>PC-N90-MAX-CAND</x:v>
      </x:c>
      <x:c r="H69" s="369" t="str">
        <x:v>peak_power_total</x:v>
      </x:c>
      <x:c r="I69" s="369" t="str">
        <x:v>POWERTRAIN</x:v>
      </x:c>
      <x:c r="J69" s="369" t="str">
        <x:v>VALUE</x:v>
      </x:c>
      <x:c r="K69" s="369" t="str">
        <x:v>NUMERIC</x:v>
      </x:c>
      <x:c r="L69" s="373" t="n">
        <x:v>310</x:v>
      </x:c>
      <x:c r="M69" s="369" t="str"/>
      <x:c r="N69" s="369" t="str">
        <x:v>kW</x:v>
      </x:c>
      <x:c r="O69" s="369" t="str">
        <x:v>N90_MAX</x:v>
      </x:c>
      <x:c r="P69" s="369" t="str">
        <x:v>EQUIPPED_CLAIM</x:v>
      </x:c>
      <x:c r="Q69" s="369" t="str">
        <x:v>搭载/配备/页面展示</x:v>
      </x:c>
      <x:c r="R69" s="369" t="str">
        <x:v>EQUIPPED_STANDARD_UNCONFIRMED</x:v>
      </x:c>
      <x:c r="S69" s="369" t="str">
        <x:v>AS_OF_2026-08-04_PRELAUNCH</x:v>
      </x:c>
      <x:c r="T69" s="369" t="str">
        <x:v>POSITIVE</x:v>
      </x:c>
      <x:c r="U69" s="369" t="str">
        <x:v>CONFIRMED</x:v>
      </x:c>
      <x:c r="V69" s="369" t="str">
        <x:v>EXCLUDED_UNTIL_3.1C</x:v>
      </x:c>
      <x:c r="W69" s="369" t="str"/>
      <x:c r="X69" s="369" t="str">
        <x:v>NONE</x:v>
      </x:c>
      <x:c r="Y69" s="369" t="str"/>
    </x:row>
    <x:row r="70" ht="62" customHeight="1">
      <x:c r="A70" s="19" t="str">
        <x:v>B31-C065</x:v>
      </x:c>
      <x:c r="B70" s="19" t="str">
        <x:v>B31_SRC_N90_WEB</x:v>
      </x:c>
      <x:c r="C70" s="19" t="str">
        <x:v>TECH_RELEASE_20260730</x:v>
      </x:c>
      <x:c r="D70" s="19" t="str">
        <x:v>N90独立产品页对应章节</x:v>
      </x:c>
      <x:c r="E70" s="19" t="str">
        <x:v>5.9s零百加速</x:v>
      </x:c>
      <x:c r="F70" s="19" t="str"/>
      <x:c r="G70" s="19" t="str">
        <x:v>PC-N90-MAX-CAND</x:v>
      </x:c>
      <x:c r="H70" s="19" t="str">
        <x:v>zero_to_100</x:v>
      </x:c>
      <x:c r="I70" s="19" t="str">
        <x:v>POWERTRAIN</x:v>
      </x:c>
      <x:c r="J70" s="19" t="str">
        <x:v>VALUE</x:v>
      </x:c>
      <x:c r="K70" s="19" t="str">
        <x:v>NUMERIC</x:v>
      </x:c>
      <x:c r="L70" s="152" t="n">
        <x:v>5.9</x:v>
      </x:c>
      <x:c r="M70" s="19" t="str"/>
      <x:c r="N70" s="19" t="str">
        <x:v>s</x:v>
      </x:c>
      <x:c r="O70" s="19" t="str">
        <x:v>N90_MAX</x:v>
      </x:c>
      <x:c r="P70" s="19" t="str">
        <x:v>EQUIPPED_CLAIM</x:v>
      </x:c>
      <x:c r="Q70" s="19" t="str">
        <x:v>搭载/配备/页面展示</x:v>
      </x:c>
      <x:c r="R70" s="19" t="str">
        <x:v>EQUIPPED_STANDARD_UNCONFIRMED</x:v>
      </x:c>
      <x:c r="S70" s="19" t="str">
        <x:v>AS_OF_2026-08-04_PRELAUNCH</x:v>
      </x:c>
      <x:c r="T70" s="19" t="str">
        <x:v>POSITIVE</x:v>
      </x:c>
      <x:c r="U70" s="19" t="str">
        <x:v>CONFIRMED</x:v>
      </x:c>
      <x:c r="V70" s="19" t="str">
        <x:v>EXCLUDED_UNTIL_3.1C</x:v>
      </x:c>
      <x:c r="W70" s="19" t="str"/>
      <x:c r="X70" s="19" t="str">
        <x:v>NONE</x:v>
      </x:c>
      <x:c r="Y70" s="19" t="str"/>
    </x:row>
    <x:row r="71" ht="62" customHeight="1">
      <x:c r="A71" s="369" t="str">
        <x:v>B31-C066</x:v>
      </x:c>
      <x:c r="B71" s="369" t="str">
        <x:v>B31_SRC_N90_WEB</x:v>
      </x:c>
      <x:c r="C71" s="369" t="str">
        <x:v>TECH_RELEASE_20260730</x:v>
      </x:c>
      <x:c r="D71" s="369" t="str">
        <x:v>N90独立产品页对应章节</x:v>
      </x:c>
      <x:c r="E71" s="369" t="str">
        <x:v>190km/h最高时速</x:v>
      </x:c>
      <x:c r="F71" s="369" t="str"/>
      <x:c r="G71" s="369" t="str">
        <x:v>PC-N90-MAX-CAND</x:v>
      </x:c>
      <x:c r="H71" s="369" t="str">
        <x:v>top_speed</x:v>
      </x:c>
      <x:c r="I71" s="369" t="str">
        <x:v>POWERTRAIN</x:v>
      </x:c>
      <x:c r="J71" s="369" t="str">
        <x:v>VALUE</x:v>
      </x:c>
      <x:c r="K71" s="369" t="str">
        <x:v>NUMERIC</x:v>
      </x:c>
      <x:c r="L71" s="373" t="n">
        <x:v>190</x:v>
      </x:c>
      <x:c r="M71" s="369" t="str"/>
      <x:c r="N71" s="369" t="str">
        <x:v>km/h</x:v>
      </x:c>
      <x:c r="O71" s="369" t="str">
        <x:v>N90_MAX</x:v>
      </x:c>
      <x:c r="P71" s="369" t="str">
        <x:v>EQUIPPED_CLAIM</x:v>
      </x:c>
      <x:c r="Q71" s="369" t="str">
        <x:v>搭载/配备/页面展示</x:v>
      </x:c>
      <x:c r="R71" s="369" t="str">
        <x:v>EQUIPPED_STANDARD_UNCONFIRMED</x:v>
      </x:c>
      <x:c r="S71" s="369" t="str">
        <x:v>AS_OF_2026-08-04_PRELAUNCH</x:v>
      </x:c>
      <x:c r="T71" s="369" t="str">
        <x:v>POSITIVE</x:v>
      </x:c>
      <x:c r="U71" s="369" t="str">
        <x:v>CONFIRMED</x:v>
      </x:c>
      <x:c r="V71" s="369" t="str">
        <x:v>EXCLUDED_UNTIL_3.1C</x:v>
      </x:c>
      <x:c r="W71" s="369" t="str"/>
      <x:c r="X71" s="369" t="str">
        <x:v>NONE</x:v>
      </x:c>
      <x:c r="Y71" s="369" t="str"/>
    </x:row>
    <x:row r="72" ht="62" customHeight="1">
      <x:c r="A72" s="19" t="str">
        <x:v>B31-C067</x:v>
      </x:c>
      <x:c r="B72" s="19" t="str">
        <x:v>B31_SRC_N90_WEB</x:v>
      </x:c>
      <x:c r="C72" s="19" t="str">
        <x:v>TECH_RELEASE_20260730</x:v>
      </x:c>
      <x:c r="D72" s="19" t="str">
        <x:v>N90独立产品页对应章节</x:v>
      </x:c>
      <x:c r="E72" s="19" t="str">
        <x:v>76kWh小米龙甲电池</x:v>
      </x:c>
      <x:c r="F72" s="19" t="str"/>
      <x:c r="G72" s="19" t="str">
        <x:v>PC-N90-MAX-CAND</x:v>
      </x:c>
      <x:c r="H72" s="19" t="str">
        <x:v>battery_capacity</x:v>
      </x:c>
      <x:c r="I72" s="19" t="str">
        <x:v>ENERGY</x:v>
      </x:c>
      <x:c r="J72" s="19" t="str">
        <x:v>VALUE</x:v>
      </x:c>
      <x:c r="K72" s="19" t="str">
        <x:v>NUMERIC</x:v>
      </x:c>
      <x:c r="L72" s="152" t="n">
        <x:v>76</x:v>
      </x:c>
      <x:c r="M72" s="19" t="str"/>
      <x:c r="N72" s="19" t="str">
        <x:v>kWh</x:v>
      </x:c>
      <x:c r="O72" s="19" t="str">
        <x:v>N90_MAX</x:v>
      </x:c>
      <x:c r="P72" s="19" t="str">
        <x:v>EQUIPPED_CLAIM</x:v>
      </x:c>
      <x:c r="Q72" s="19" t="str">
        <x:v>搭载/配备/页面展示</x:v>
      </x:c>
      <x:c r="R72" s="19" t="str">
        <x:v>EQUIPPED_STANDARD_UNCONFIRMED</x:v>
      </x:c>
      <x:c r="S72" s="19" t="str">
        <x:v>AS_OF_2026-08-04_PRELAUNCH</x:v>
      </x:c>
      <x:c r="T72" s="19" t="str">
        <x:v>POSITIVE</x:v>
      </x:c>
      <x:c r="U72" s="19" t="str">
        <x:v>CONFIRMED</x:v>
      </x:c>
      <x:c r="V72" s="19" t="str">
        <x:v>EXCLUDED_UNTIL_3.1C</x:v>
      </x:c>
      <x:c r="W72" s="19" t="str"/>
      <x:c r="X72" s="19" t="str">
        <x:v>NONE</x:v>
      </x:c>
      <x:c r="Y72" s="19" t="str"/>
    </x:row>
    <x:row r="73" ht="62" customHeight="1">
      <x:c r="A73" s="369" t="str">
        <x:v>B31-C068</x:v>
      </x:c>
      <x:c r="B73" s="369" t="str">
        <x:v>B31_SRC_N90_WEB</x:v>
      </x:c>
      <x:c r="C73" s="369" t="str">
        <x:v>TECH_RELEASE_20260730</x:v>
      </x:c>
      <x:c r="D73" s="369" t="str">
        <x:v>N90独立产品页对应章节</x:v>
      </x:c>
      <x:c r="E73" s="369" t="str">
        <x:v>三元锂电芯</x:v>
      </x:c>
      <x:c r="F73" s="369" t="str"/>
      <x:c r="G73" s="369" t="str">
        <x:v>PC-N90-MAX-CAND</x:v>
      </x:c>
      <x:c r="H73" s="369" t="str">
        <x:v>battery_chemistry</x:v>
      </x:c>
      <x:c r="I73" s="369" t="str">
        <x:v>ENERGY</x:v>
      </x:c>
      <x:c r="J73" s="369" t="str">
        <x:v>VALUE</x:v>
      </x:c>
      <x:c r="K73" s="369" t="str">
        <x:v>TEXT</x:v>
      </x:c>
      <x:c r="L73" s="373" t="str"/>
      <x:c r="M73" s="369" t="str">
        <x:v>三元锂</x:v>
      </x:c>
      <x:c r="N73" s="369" t="str"/>
      <x:c r="O73" s="369" t="str">
        <x:v>N90_MAX</x:v>
      </x:c>
      <x:c r="P73" s="369" t="str">
        <x:v>EQUIPPED_CLAIM</x:v>
      </x:c>
      <x:c r="Q73" s="369" t="str">
        <x:v>搭载/配备/页面展示</x:v>
      </x:c>
      <x:c r="R73" s="369" t="str">
        <x:v>EQUIPPED_STANDARD_UNCONFIRMED</x:v>
      </x:c>
      <x:c r="S73" s="369" t="str">
        <x:v>AS_OF_2026-08-04_PRELAUNCH</x:v>
      </x:c>
      <x:c r="T73" s="369" t="str">
        <x:v>POSITIVE</x:v>
      </x:c>
      <x:c r="U73" s="369" t="str">
        <x:v>CONFIRMED</x:v>
      </x:c>
      <x:c r="V73" s="369" t="str">
        <x:v>EXCLUDED_UNTIL_3.1C</x:v>
      </x:c>
      <x:c r="W73" s="369" t="str"/>
      <x:c r="X73" s="369" t="str">
        <x:v>NONE</x:v>
      </x:c>
      <x:c r="Y73" s="369" t="str"/>
    </x:row>
    <x:row r="74" ht="62" customHeight="1">
      <x:c r="A74" s="19" t="str">
        <x:v>B31-C069</x:v>
      </x:c>
      <x:c r="B74" s="19" t="str">
        <x:v>B31_SRC_N90_WEB</x:v>
      </x:c>
      <x:c r="C74" s="19" t="str">
        <x:v>TECH_RELEASE_20260730</x:v>
      </x:c>
      <x:c r="D74" s="19" t="str">
        <x:v>N90独立产品页对应章节</x:v>
      </x:c>
      <x:c r="E74" s="19" t="str">
        <x:v>464km CLTC纯电续航</x:v>
      </x:c>
      <x:c r="F74" s="19" t="str"/>
      <x:c r="G74" s="19" t="str">
        <x:v>PC-N90-MAX-CAND</x:v>
      </x:c>
      <x:c r="H74" s="19" t="str">
        <x:v>cltc_ev_range</x:v>
      </x:c>
      <x:c r="I74" s="19" t="str">
        <x:v>ENERGY</x:v>
      </x:c>
      <x:c r="J74" s="19" t="str">
        <x:v>VALUE</x:v>
      </x:c>
      <x:c r="K74" s="19" t="str">
        <x:v>NUMERIC</x:v>
      </x:c>
      <x:c r="L74" s="152" t="n">
        <x:v>464</x:v>
      </x:c>
      <x:c r="M74" s="19" t="str"/>
      <x:c r="N74" s="19" t="str">
        <x:v>km</x:v>
      </x:c>
      <x:c r="O74" s="19" t="str">
        <x:v>N90_MAX</x:v>
      </x:c>
      <x:c r="P74" s="19" t="str">
        <x:v>EQUIPPED_CLAIM</x:v>
      </x:c>
      <x:c r="Q74" s="19" t="str">
        <x:v>搭载/配备/页面展示</x:v>
      </x:c>
      <x:c r="R74" s="19" t="str">
        <x:v>EQUIPPED_STANDARD_UNCONFIRMED</x:v>
      </x:c>
      <x:c r="S74" s="19" t="str">
        <x:v>AS_OF_2026-08-04_PRELAUNCH</x:v>
      </x:c>
      <x:c r="T74" s="19" t="str">
        <x:v>POSITIVE</x:v>
      </x:c>
      <x:c r="U74" s="19" t="str">
        <x:v>CONFIRMED</x:v>
      </x:c>
      <x:c r="V74" s="19" t="str">
        <x:v>EXCLUDED_UNTIL_3.1C</x:v>
      </x:c>
      <x:c r="W74" s="19" t="str">
        <x:v>CG_RANGE_SCOPE</x:v>
      </x:c>
      <x:c r="X74" s="19" t="str">
        <x:v>NONE</x:v>
      </x:c>
      <x:c r="Y74" s="19" t="str">
        <x:v>不得被系列最长505km覆盖</x:v>
      </x:c>
    </x:row>
    <x:row r="75" ht="62" customHeight="1">
      <x:c r="A75" s="369" t="str">
        <x:v>B31-C070</x:v>
      </x:c>
      <x:c r="B75" s="369" t="str">
        <x:v>B31_SRC_N90_WEB</x:v>
      </x:c>
      <x:c r="C75" s="369" t="str">
        <x:v>TECH_RELEASE_20260730</x:v>
      </x:c>
      <x:c r="D75" s="369" t="str">
        <x:v>N90独立产品页对应章节</x:v>
      </x:c>
      <x:c r="E75" s="369" t="str">
        <x:v>1705km CLTC综合续航</x:v>
      </x:c>
      <x:c r="F75" s="369" t="str"/>
      <x:c r="G75" s="369" t="str">
        <x:v>PC-N90-MAX-CAND</x:v>
      </x:c>
      <x:c r="H75" s="369" t="str">
        <x:v>cltc_combined_range</x:v>
      </x:c>
      <x:c r="I75" s="369" t="str">
        <x:v>ENERGY</x:v>
      </x:c>
      <x:c r="J75" s="369" t="str">
        <x:v>VALUE</x:v>
      </x:c>
      <x:c r="K75" s="369" t="str">
        <x:v>NUMERIC</x:v>
      </x:c>
      <x:c r="L75" s="373" t="n">
        <x:v>1705</x:v>
      </x:c>
      <x:c r="M75" s="369" t="str"/>
      <x:c r="N75" s="369" t="str">
        <x:v>km</x:v>
      </x:c>
      <x:c r="O75" s="369" t="str">
        <x:v>N90_MAX</x:v>
      </x:c>
      <x:c r="P75" s="369" t="str">
        <x:v>EQUIPPED_CLAIM</x:v>
      </x:c>
      <x:c r="Q75" s="369" t="str">
        <x:v>搭载/配备/页面展示</x:v>
      </x:c>
      <x:c r="R75" s="369" t="str">
        <x:v>EQUIPPED_STANDARD_UNCONFIRMED</x:v>
      </x:c>
      <x:c r="S75" s="369" t="str">
        <x:v>AS_OF_2026-08-04_PRELAUNCH</x:v>
      </x:c>
      <x:c r="T75" s="369" t="str">
        <x:v>POSITIVE</x:v>
      </x:c>
      <x:c r="U75" s="369" t="str">
        <x:v>CONFIRMED</x:v>
      </x:c>
      <x:c r="V75" s="369" t="str">
        <x:v>EXCLUDED_UNTIL_3.1C</x:v>
      </x:c>
      <x:c r="W75" s="369" t="str"/>
      <x:c r="X75" s="369" t="str">
        <x:v>NONE</x:v>
      </x:c>
      <x:c r="Y75" s="369" t="str"/>
    </x:row>
    <x:row r="76" ht="62" customHeight="1">
      <x:c r="A76" s="19" t="str">
        <x:v>B31-C071</x:v>
      </x:c>
      <x:c r="B76" s="19" t="str">
        <x:v>B31_SRC_N90_WEB</x:v>
      </x:c>
      <x:c r="C76" s="19" t="str">
        <x:v>TECH_RELEASE_20260730</x:v>
      </x:c>
      <x:c r="D76" s="19" t="str">
        <x:v>N90独立产品页对应章节</x:v>
      </x:c>
      <x:c r="E76" s="19" t="str">
        <x:v>15分钟充电最高补能CLTC里程285km</x:v>
      </x:c>
      <x:c r="F76" s="19" t="str"/>
      <x:c r="G76" s="19" t="str">
        <x:v>PC-N90-MAX-CAND</x:v>
      </x:c>
      <x:c r="H76" s="19" t="str">
        <x:v>fast_charge_15min_range</x:v>
      </x:c>
      <x:c r="I76" s="19" t="str">
        <x:v>ENERGY</x:v>
      </x:c>
      <x:c r="J76" s="19" t="str">
        <x:v>VALUE</x:v>
      </x:c>
      <x:c r="K76" s="19" t="str">
        <x:v>NUMERIC</x:v>
      </x:c>
      <x:c r="L76" s="152" t="n">
        <x:v>285</x:v>
      </x:c>
      <x:c r="M76" s="19" t="str"/>
      <x:c r="N76" s="19" t="str">
        <x:v>km</x:v>
      </x:c>
      <x:c r="O76" s="19" t="str">
        <x:v>N90_MAX</x:v>
      </x:c>
      <x:c r="P76" s="19" t="str">
        <x:v>MAXIMUM_OR_VARIANT</x:v>
      </x:c>
      <x:c r="Q76" s="19" t="str">
        <x:v>最高补能</x:v>
      </x:c>
      <x:c r="R76" s="19" t="str">
        <x:v>EQUIPPED_STANDARD_UNCONFIRMED</x:v>
      </x:c>
      <x:c r="S76" s="19" t="str">
        <x:v>AS_OF_2026-08-04_PRELAUNCH</x:v>
      </x:c>
      <x:c r="T76" s="19" t="str">
        <x:v>POSITIVE</x:v>
      </x:c>
      <x:c r="U76" s="19" t="str">
        <x:v>CONFIRMED</x:v>
      </x:c>
      <x:c r="V76" s="19" t="str">
        <x:v>EXCLUDED_UNTIL_3.1C</x:v>
      </x:c>
      <x:c r="W76" s="19" t="str"/>
      <x:c r="X76" s="19" t="str">
        <x:v>NONE</x:v>
      </x:c>
      <x:c r="Y76" s="19" t="str"/>
    </x:row>
    <x:row r="77" ht="62" customHeight="1">
      <x:c r="A77" s="369" t="str">
        <x:v>B31-C072</x:v>
      </x:c>
      <x:c r="B77" s="369" t="str">
        <x:v>B31_SRC_N90_WEB</x:v>
      </x:c>
      <x:c r="C77" s="369" t="str">
        <x:v>TECH_RELEASE_20260730</x:v>
      </x:c>
      <x:c r="D77" s="369" t="str">
        <x:v>N90独立产品页对应章节</x:v>
      </x:c>
      <x:c r="E77" s="369" t="str">
        <x:v>亏电油耗仅6.26L/100km</x:v>
      </x:c>
      <x:c r="F77" s="369" t="str"/>
      <x:c r="G77" s="369" t="str">
        <x:v>PC-N90-MAX-CAND</x:v>
      </x:c>
      <x:c r="H77" s="369" t="str">
        <x:v>charge_sustaining_fuel</x:v>
      </x:c>
      <x:c r="I77" s="369" t="str">
        <x:v>ENERGY</x:v>
      </x:c>
      <x:c r="J77" s="369" t="str">
        <x:v>VALUE</x:v>
      </x:c>
      <x:c r="K77" s="369" t="str">
        <x:v>NUMERIC</x:v>
      </x:c>
      <x:c r="L77" s="373" t="n">
        <x:v>6.26</x:v>
      </x:c>
      <x:c r="M77" s="369" t="str"/>
      <x:c r="N77" s="369" t="str">
        <x:v>L/100km</x:v>
      </x:c>
      <x:c r="O77" s="369" t="str">
        <x:v>N90_MAX</x:v>
      </x:c>
      <x:c r="P77" s="369" t="str">
        <x:v>EQUIPPED_CLAIM</x:v>
      </x:c>
      <x:c r="Q77" s="369" t="str">
        <x:v>搭载/配备/页面展示</x:v>
      </x:c>
      <x:c r="R77" s="369" t="str">
        <x:v>EQUIPPED_STANDARD_UNCONFIRMED</x:v>
      </x:c>
      <x:c r="S77" s="369" t="str">
        <x:v>AS_OF_2026-08-04_PRELAUNCH</x:v>
      </x:c>
      <x:c r="T77" s="369" t="str">
        <x:v>POSITIVE</x:v>
      </x:c>
      <x:c r="U77" s="369" t="str">
        <x:v>VALUE_CONFIRMED_CYCLE_FOOTNOTE_PENDING</x:v>
      </x:c>
      <x:c r="V77" s="369" t="str">
        <x:v>EXCLUDED_UNTIL_3.1C</x:v>
      </x:c>
      <x:c r="W77" s="369" t="str">
        <x:v>CG_FUEL_CYCLE</x:v>
      </x:c>
      <x:c r="X77" s="369" t="str">
        <x:v>NONE</x:v>
      </x:c>
      <x:c r="Y77" s="369" t="str"/>
    </x:row>
    <x:row r="78" ht="62" customHeight="1">
      <x:c r="A78" s="19" t="str">
        <x:v>B31-C073</x:v>
      </x:c>
      <x:c r="B78" s="19" t="str">
        <x:v>B31_SRC_N90_WEB</x:v>
      </x:c>
      <x:c r="C78" s="19" t="str">
        <x:v>TECH_RELEASE_20260730</x:v>
      </x:c>
      <x:c r="D78" s="19" t="str">
        <x:v>N90独立产品页对应章节</x:v>
      </x:c>
      <x:c r="E78" s="19" t="str">
        <x:v>支持92号、95号、98号汽油</x:v>
      </x:c>
      <x:c r="F78" s="19" t="str"/>
      <x:c r="G78" s="19" t="str">
        <x:v>PC-N90-MAX-CAND</x:v>
      </x:c>
      <x:c r="H78" s="19" t="str">
        <x:v>fuel_grade_support</x:v>
      </x:c>
      <x:c r="I78" s="19" t="str">
        <x:v>ENERGY</x:v>
      </x:c>
      <x:c r="J78" s="19" t="str">
        <x:v>VALUE</x:v>
      </x:c>
      <x:c r="K78" s="19" t="str">
        <x:v>TEXT</x:v>
      </x:c>
      <x:c r="L78" s="152" t="str"/>
      <x:c r="M78" s="19" t="str">
        <x:v>92 / 95 / 98号汽油</x:v>
      </x:c>
      <x:c r="N78" s="19" t="str"/>
      <x:c r="O78" s="19" t="str">
        <x:v>N90_MAX</x:v>
      </x:c>
      <x:c r="P78" s="19" t="str">
        <x:v>CAPABILITY_CLAIM</x:v>
      </x:c>
      <x:c r="Q78" s="19" t="str">
        <x:v>支持</x:v>
      </x:c>
      <x:c r="R78" s="19" t="str">
        <x:v>SERIES_CAPABILITY</x:v>
      </x:c>
      <x:c r="S78" s="19" t="str">
        <x:v>AS_OF_2026-08-04_PRELAUNCH</x:v>
      </x:c>
      <x:c r="T78" s="19" t="str">
        <x:v>POSITIVE</x:v>
      </x:c>
      <x:c r="U78" s="19" t="str">
        <x:v>CONFIRMED</x:v>
      </x:c>
      <x:c r="V78" s="19" t="str">
        <x:v>EXCLUDED_UNTIL_3.1C</x:v>
      </x:c>
      <x:c r="W78" s="19" t="str"/>
      <x:c r="X78" s="19" t="str">
        <x:v>NONE</x:v>
      </x:c>
      <x:c r="Y78" s="19" t="str"/>
    </x:row>
    <x:row r="79" ht="62" customHeight="1">
      <x:c r="A79" s="369" t="str">
        <x:v>B31-C074</x:v>
      </x:c>
      <x:c r="B79" s="369" t="str">
        <x:v>B31_SRC_N90_WEB</x:v>
      </x:c>
      <x:c r="C79" s="369" t="str">
        <x:v>TECH_RELEASE_20260730</x:v>
      </x:c>
      <x:c r="D79" s="369" t="str">
        <x:v>N90独立产品页对应章节</x:v>
      </x:c>
      <x:c r="E79" s="369" t="str">
        <x:v>60L大油箱</x:v>
      </x:c>
      <x:c r="F79" s="369" t="str"/>
      <x:c r="G79" s="369" t="str">
        <x:v>PC-N90-MAX-CAND</x:v>
      </x:c>
      <x:c r="H79" s="369" t="str">
        <x:v>fuel_tank</x:v>
      </x:c>
      <x:c r="I79" s="369" t="str">
        <x:v>ENERGY</x:v>
      </x:c>
      <x:c r="J79" s="369" t="str">
        <x:v>VALUE</x:v>
      </x:c>
      <x:c r="K79" s="369" t="str">
        <x:v>NUMERIC</x:v>
      </x:c>
      <x:c r="L79" s="373" t="n">
        <x:v>60</x:v>
      </x:c>
      <x:c r="M79" s="369" t="str"/>
      <x:c r="N79" s="369" t="str">
        <x:v>L</x:v>
      </x:c>
      <x:c r="O79" s="369" t="str">
        <x:v>N90_MAX</x:v>
      </x:c>
      <x:c r="P79" s="369" t="str">
        <x:v>EQUIPPED_CLAIM</x:v>
      </x:c>
      <x:c r="Q79" s="369" t="str">
        <x:v>搭载/配备/页面展示</x:v>
      </x:c>
      <x:c r="R79" s="369" t="str">
        <x:v>EQUIPPED_STANDARD_UNCONFIRMED</x:v>
      </x:c>
      <x:c r="S79" s="369" t="str">
        <x:v>AS_OF_2026-08-04_PRELAUNCH</x:v>
      </x:c>
      <x:c r="T79" s="369" t="str">
        <x:v>POSITIVE</x:v>
      </x:c>
      <x:c r="U79" s="369" t="str">
        <x:v>CONFIRMED</x:v>
      </x:c>
      <x:c r="V79" s="369" t="str">
        <x:v>EXCLUDED_UNTIL_3.1C</x:v>
      </x:c>
      <x:c r="W79" s="369" t="str"/>
      <x:c r="X79" s="369" t="str">
        <x:v>NONE</x:v>
      </x:c>
      <x:c r="Y79" s="369" t="str"/>
    </x:row>
    <x:row r="80" ht="62" customHeight="1">
      <x:c r="A80" s="19" t="str">
        <x:v>B31-C075</x:v>
      </x:c>
      <x:c r="B80" s="19" t="str">
        <x:v>B31_SRC_N90_WEB</x:v>
      </x:c>
      <x:c r="C80" s="19" t="str">
        <x:v>TECH_RELEASE_20260730</x:v>
      </x:c>
      <x:c r="D80" s="19" t="str">
        <x:v>N90独立产品页对应章节</x:v>
      </x:c>
      <x:c r="E80" s="19" t="str">
        <x:v>支持车外6.6kW对外放电</x:v>
      </x:c>
      <x:c r="F80" s="19" t="str"/>
      <x:c r="G80" s="19" t="str">
        <x:v>PC-N90-MAX-CAND</x:v>
      </x:c>
      <x:c r="H80" s="19" t="str">
        <x:v>v2l_power</x:v>
      </x:c>
      <x:c r="I80" s="19" t="str">
        <x:v>ENERGY</x:v>
      </x:c>
      <x:c r="J80" s="19" t="str">
        <x:v>VALUE</x:v>
      </x:c>
      <x:c r="K80" s="19" t="str">
        <x:v>NUMERIC</x:v>
      </x:c>
      <x:c r="L80" s="152" t="n">
        <x:v>6.6</x:v>
      </x:c>
      <x:c r="M80" s="19" t="str"/>
      <x:c r="N80" s="19" t="str">
        <x:v>kW</x:v>
      </x:c>
      <x:c r="O80" s="19" t="str">
        <x:v>N90_MAX</x:v>
      </x:c>
      <x:c r="P80" s="19" t="str">
        <x:v>CAPABILITY_CLAIM</x:v>
      </x:c>
      <x:c r="Q80" s="19" t="str">
        <x:v>支持</x:v>
      </x:c>
      <x:c r="R80" s="19" t="str">
        <x:v>SERIES_CAPABILITY</x:v>
      </x:c>
      <x:c r="S80" s="19" t="str">
        <x:v>AS_OF_2026-08-04_PRELAUNCH</x:v>
      </x:c>
      <x:c r="T80" s="19" t="str">
        <x:v>POSITIVE</x:v>
      </x:c>
      <x:c r="U80" s="19" t="str">
        <x:v>CONFIRMED</x:v>
      </x:c>
      <x:c r="V80" s="19" t="str">
        <x:v>EXCLUDED_UNTIL_3.1C</x:v>
      </x:c>
      <x:c r="W80" s="19" t="str"/>
      <x:c r="X80" s="19" t="str">
        <x:v>NONE</x:v>
      </x:c>
      <x:c r="Y80" s="19" t="str"/>
    </x:row>
    <x:row r="81" ht="62" customHeight="1">
      <x:c r="A81" s="369" t="str">
        <x:v>B31-C076</x:v>
      </x:c>
      <x:c r="B81" s="369" t="str">
        <x:v>B31_SRC_N90_WEB</x:v>
      </x:c>
      <x:c r="C81" s="369" t="str">
        <x:v>TECH_RELEASE_20260730</x:v>
      </x:c>
      <x:c r="D81" s="369" t="str">
        <x:v>N90独立产品页对应章节</x:v>
      </x:c>
      <x:c r="E81" s="369" t="str">
        <x:v>前双叉臂+后多连杆独立悬架</x:v>
      </x:c>
      <x:c r="F81" s="369" t="str"/>
      <x:c r="G81" s="369" t="str">
        <x:v>PC-N90-MAX-CAND</x:v>
      </x:c>
      <x:c r="H81" s="369" t="str">
        <x:v>suspension_layout</x:v>
      </x:c>
      <x:c r="I81" s="369" t="str">
        <x:v>CHASSIS</x:v>
      </x:c>
      <x:c r="J81" s="369" t="str">
        <x:v>VALUE</x:v>
      </x:c>
      <x:c r="K81" s="369" t="str">
        <x:v>TEXT</x:v>
      </x:c>
      <x:c r="L81" s="373" t="str"/>
      <x:c r="M81" s="369" t="str">
        <x:v>前双叉臂+后多连杆独立悬架</x:v>
      </x:c>
      <x:c r="N81" s="369" t="str"/>
      <x:c r="O81" s="369" t="str">
        <x:v>N90_MAX</x:v>
      </x:c>
      <x:c r="P81" s="369" t="str">
        <x:v>EQUIPPED_CLAIM</x:v>
      </x:c>
      <x:c r="Q81" s="369" t="str">
        <x:v>搭载/配备/页面展示</x:v>
      </x:c>
      <x:c r="R81" s="369" t="str">
        <x:v>EQUIPPED_STANDARD_UNCONFIRMED</x:v>
      </x:c>
      <x:c r="S81" s="369" t="str">
        <x:v>AS_OF_2026-08-04_PRELAUNCH</x:v>
      </x:c>
      <x:c r="T81" s="369" t="str">
        <x:v>POSITIVE</x:v>
      </x:c>
      <x:c r="U81" s="369" t="str">
        <x:v>CONFIRMED</x:v>
      </x:c>
      <x:c r="V81" s="369" t="str">
        <x:v>EXCLUDED_UNTIL_3.1C</x:v>
      </x:c>
      <x:c r="W81" s="369" t="str"/>
      <x:c r="X81" s="369" t="str">
        <x:v>NONE</x:v>
      </x:c>
      <x:c r="Y81" s="369" t="str"/>
    </x:row>
    <x:row r="82" ht="62" customHeight="1">
      <x:c r="A82" s="19" t="str">
        <x:v>B31-C077</x:v>
      </x:c>
      <x:c r="B82" s="19" t="str">
        <x:v>B31_SRC_N90_WEB</x:v>
      </x:c>
      <x:c r="C82" s="19" t="str">
        <x:v>TECH_RELEASE_20260730</x:v>
      </x:c>
      <x:c r="D82" s="19" t="str">
        <x:v>N90独立产品页对应章节</x:v>
      </x:c>
      <x:c r="E82" s="19" t="str">
        <x:v>空气弹簧+连续阻尼可变减振器</x:v>
      </x:c>
      <x:c r="F82" s="19" t="str"/>
      <x:c r="G82" s="19" t="str">
        <x:v>PC-N90-MAX-CAND</x:v>
      </x:c>
      <x:c r="H82" s="19" t="str">
        <x:v>air_suspension</x:v>
      </x:c>
      <x:c r="I82" s="19" t="str">
        <x:v>CHASSIS</x:v>
      </x:c>
      <x:c r="J82" s="19" t="str">
        <x:v>VALUE</x:v>
      </x:c>
      <x:c r="K82" s="19" t="str">
        <x:v>TEXT</x:v>
      </x:c>
      <x:c r="L82" s="152" t="str"/>
      <x:c r="M82" s="19" t="str">
        <x:v>空气弹簧</x:v>
      </x:c>
      <x:c r="N82" s="19" t="str"/>
      <x:c r="O82" s="19" t="str">
        <x:v>N90_MAX</x:v>
      </x:c>
      <x:c r="P82" s="19" t="str">
        <x:v>EQUIPPED_CLAIM</x:v>
      </x:c>
      <x:c r="Q82" s="19" t="str">
        <x:v>搭载/配备/页面展示</x:v>
      </x:c>
      <x:c r="R82" s="19" t="str">
        <x:v>EQUIPPED_STANDARD_UNCONFIRMED</x:v>
      </x:c>
      <x:c r="S82" s="19" t="str">
        <x:v>AS_OF_2026-08-04_PRELAUNCH</x:v>
      </x:c>
      <x:c r="T82" s="19" t="str">
        <x:v>POSITIVE</x:v>
      </x:c>
      <x:c r="U82" s="19" t="str">
        <x:v>CONFIRMED</x:v>
      </x:c>
      <x:c r="V82" s="19" t="str">
        <x:v>EXCLUDED_UNTIL_3.1C</x:v>
      </x:c>
      <x:c r="W82" s="19" t="str"/>
      <x:c r="X82" s="19" t="str">
        <x:v>NONE</x:v>
      </x:c>
      <x:c r="Y82" s="19" t="str"/>
    </x:row>
    <x:row r="83" ht="62" customHeight="1">
      <x:c r="A83" s="369" t="str">
        <x:v>B31-C078</x:v>
      </x:c>
      <x:c r="B83" s="369" t="str">
        <x:v>B31_SRC_N90_WEB</x:v>
      </x:c>
      <x:c r="C83" s="369" t="str">
        <x:v>TECH_RELEASE_20260730</x:v>
      </x:c>
      <x:c r="D83" s="369" t="str">
        <x:v>N90独立产品页对应章节</x:v>
      </x:c>
      <x:c r="E83" s="369" t="str">
        <x:v>空气弹簧+连续阻尼可变减振器</x:v>
      </x:c>
      <x:c r="F83" s="369" t="str"/>
      <x:c r="G83" s="369" t="str">
        <x:v>PC-N90-MAX-CAND</x:v>
      </x:c>
      <x:c r="H83" s="369" t="str">
        <x:v>adaptive_damper</x:v>
      </x:c>
      <x:c r="I83" s="369" t="str">
        <x:v>CHASSIS</x:v>
      </x:c>
      <x:c r="J83" s="369" t="str">
        <x:v>VALUE</x:v>
      </x:c>
      <x:c r="K83" s="369" t="str">
        <x:v>TEXT</x:v>
      </x:c>
      <x:c r="L83" s="373" t="str"/>
      <x:c r="M83" s="369" t="str">
        <x:v>连续阻尼可变减振器</x:v>
      </x:c>
      <x:c r="N83" s="369" t="str"/>
      <x:c r="O83" s="369" t="str">
        <x:v>N90_MAX</x:v>
      </x:c>
      <x:c r="P83" s="369" t="str">
        <x:v>EQUIPPED_CLAIM</x:v>
      </x:c>
      <x:c r="Q83" s="369" t="str">
        <x:v>搭载/配备/页面展示</x:v>
      </x:c>
      <x:c r="R83" s="369" t="str">
        <x:v>EQUIPPED_STANDARD_UNCONFIRMED</x:v>
      </x:c>
      <x:c r="S83" s="369" t="str">
        <x:v>AS_OF_2026-08-04_PRELAUNCH</x:v>
      </x:c>
      <x:c r="T83" s="369" t="str">
        <x:v>POSITIVE</x:v>
      </x:c>
      <x:c r="U83" s="369" t="str">
        <x:v>CONFIRMED</x:v>
      </x:c>
      <x:c r="V83" s="369" t="str">
        <x:v>EXCLUDED_UNTIL_3.1C</x:v>
      </x:c>
      <x:c r="W83" s="369" t="str"/>
      <x:c r="X83" s="369" t="str">
        <x:v>NONE</x:v>
      </x:c>
      <x:c r="Y83" s="369" t="str"/>
    </x:row>
    <x:row r="84" ht="62" customHeight="1">
      <x:c r="A84" s="19" t="str">
        <x:v>B31-C079</x:v>
      </x:c>
      <x:c r="B84" s="19" t="str">
        <x:v>B31_SRC_N90_WEB</x:v>
      </x:c>
      <x:c r="C84" s="19" t="str">
        <x:v>TECH_RELEASE_20260730</x:v>
      </x:c>
      <x:c r="D84" s="19" t="str">
        <x:v>N90独立产品页对应章节</x:v>
      </x:c>
      <x:c r="E84" s="19" t="str">
        <x:v>全车4个液压衬套</x:v>
      </x:c>
      <x:c r="F84" s="19" t="str"/>
      <x:c r="G84" s="19" t="str">
        <x:v>PC-N90-MAX-CAND</x:v>
      </x:c>
      <x:c r="H84" s="19" t="str">
        <x:v>hydraulic_bushing_count</x:v>
      </x:c>
      <x:c r="I84" s="19" t="str">
        <x:v>CHASSIS</x:v>
      </x:c>
      <x:c r="J84" s="19" t="str">
        <x:v>VALUE</x:v>
      </x:c>
      <x:c r="K84" s="19" t="str">
        <x:v>NUMERIC</x:v>
      </x:c>
      <x:c r="L84" s="152" t="n">
        <x:v>4</x:v>
      </x:c>
      <x:c r="M84" s="19" t="str"/>
      <x:c r="N84" s="19" t="str">
        <x:v>count</x:v>
      </x:c>
      <x:c r="O84" s="19" t="str">
        <x:v>N90_MAX</x:v>
      </x:c>
      <x:c r="P84" s="19" t="str">
        <x:v>EQUIPPED_CLAIM</x:v>
      </x:c>
      <x:c r="Q84" s="19" t="str">
        <x:v>搭载/配备/页面展示</x:v>
      </x:c>
      <x:c r="R84" s="19" t="str">
        <x:v>EQUIPPED_STANDARD_UNCONFIRMED</x:v>
      </x:c>
      <x:c r="S84" s="19" t="str">
        <x:v>AS_OF_2026-08-04_PRELAUNCH</x:v>
      </x:c>
      <x:c r="T84" s="19" t="str">
        <x:v>POSITIVE</x:v>
      </x:c>
      <x:c r="U84" s="19" t="str">
        <x:v>CONFIRMED</x:v>
      </x:c>
      <x:c r="V84" s="19" t="str">
        <x:v>EXCLUDED_UNTIL_3.1C</x:v>
      </x:c>
      <x:c r="W84" s="19" t="str"/>
      <x:c r="X84" s="19" t="str">
        <x:v>NONE</x:v>
      </x:c>
      <x:c r="Y84" s="19" t="str"/>
    </x:row>
    <x:row r="85" ht="62" customHeight="1">
      <x:c r="A85" s="369" t="str">
        <x:v>B31-C080</x:v>
      </x:c>
      <x:c r="B85" s="369" t="str">
        <x:v>B31_SRC_N90_WEB</x:v>
      </x:c>
      <x:c r="C85" s="369" t="str">
        <x:v>TECH_RELEASE_20260730</x:v>
      </x:c>
      <x:c r="D85" s="369" t="str">
        <x:v>N90独立产品页对应章节</x:v>
      </x:c>
      <x:c r="E85" s="369" t="str">
        <x:v>博世ESP 10.0车身稳定系统、博世DPB智能制动助力器</x:v>
      </x:c>
      <x:c r="F85" s="369" t="str"/>
      <x:c r="G85" s="369" t="str">
        <x:v>PC-N90-MAX-CAND</x:v>
      </x:c>
      <x:c r="H85" s="369" t="str">
        <x:v>brake_control</x:v>
      </x:c>
      <x:c r="I85" s="369" t="str">
        <x:v>CHASSIS</x:v>
      </x:c>
      <x:c r="J85" s="369" t="str">
        <x:v>VALUE</x:v>
      </x:c>
      <x:c r="K85" s="369" t="str">
        <x:v>TEXT</x:v>
      </x:c>
      <x:c r="L85" s="373" t="str"/>
      <x:c r="M85" s="369" t="str">
        <x:v>Bosch ESP 10.0 + DPB</x:v>
      </x:c>
      <x:c r="N85" s="369" t="str"/>
      <x:c r="O85" s="369" t="str">
        <x:v>N90_MAX</x:v>
      </x:c>
      <x:c r="P85" s="369" t="str">
        <x:v>EQUIPPED_CLAIM</x:v>
      </x:c>
      <x:c r="Q85" s="369" t="str">
        <x:v>搭载/配备/页面展示</x:v>
      </x:c>
      <x:c r="R85" s="369" t="str">
        <x:v>EQUIPPED_STANDARD_UNCONFIRMED</x:v>
      </x:c>
      <x:c r="S85" s="369" t="str">
        <x:v>AS_OF_2026-08-04_PRELAUNCH</x:v>
      </x:c>
      <x:c r="T85" s="369" t="str">
        <x:v>POSITIVE</x:v>
      </x:c>
      <x:c r="U85" s="369" t="str">
        <x:v>CONFIRMED</x:v>
      </x:c>
      <x:c r="V85" s="369" t="str">
        <x:v>EXCLUDED_UNTIL_3.1C</x:v>
      </x:c>
      <x:c r="W85" s="369" t="str"/>
      <x:c r="X85" s="369" t="str">
        <x:v>NONE</x:v>
      </x:c>
      <x:c r="Y85" s="369" t="str"/>
    </x:row>
    <x:row r="86" ht="62" customHeight="1">
      <x:c r="A86" s="19" t="str">
        <x:v>B31-C081</x:v>
      </x:c>
      <x:c r="B86" s="19" t="str">
        <x:v>B31_SRC_N90_WEB</x:v>
      </x:c>
      <x:c r="C86" s="19" t="str">
        <x:v>TECH_RELEASE_20260730</x:v>
      </x:c>
      <x:c r="D86" s="19" t="str">
        <x:v>N90独立产品页对应章节</x:v>
      </x:c>
      <x:c r="E86" s="19" t="str">
        <x:v>前255mm、后265mm静音宽胎</x:v>
      </x:c>
      <x:c r="F86" s="19" t="str"/>
      <x:c r="G86" s="19" t="str">
        <x:v>PC-N90-MAX-CAND</x:v>
      </x:c>
      <x:c r="H86" s="19" t="str">
        <x:v>tire_width_front_rear</x:v>
      </x:c>
      <x:c r="I86" s="19" t="str">
        <x:v>CHASSIS</x:v>
      </x:c>
      <x:c r="J86" s="19" t="str">
        <x:v>VALUE</x:v>
      </x:c>
      <x:c r="K86" s="19" t="str">
        <x:v>TEXT</x:v>
      </x:c>
      <x:c r="L86" s="152" t="str"/>
      <x:c r="M86" s="19" t="str">
        <x:v>前255 / 后265静音宽胎</x:v>
      </x:c>
      <x:c r="N86" s="19" t="str"/>
      <x:c r="O86" s="19" t="str">
        <x:v>N90_MAX</x:v>
      </x:c>
      <x:c r="P86" s="19" t="str">
        <x:v>EQUIPPED_CLAIM</x:v>
      </x:c>
      <x:c r="Q86" s="19" t="str">
        <x:v>搭载/配备/页面展示</x:v>
      </x:c>
      <x:c r="R86" s="19" t="str">
        <x:v>EQUIPPED_STANDARD_UNCONFIRMED</x:v>
      </x:c>
      <x:c r="S86" s="19" t="str">
        <x:v>AS_OF_2026-08-04_PRELAUNCH</x:v>
      </x:c>
      <x:c r="T86" s="19" t="str">
        <x:v>POSITIVE</x:v>
      </x:c>
      <x:c r="U86" s="19" t="str">
        <x:v>CONFIRMED</x:v>
      </x:c>
      <x:c r="V86" s="19" t="str">
        <x:v>EXCLUDED_UNTIL_3.1C</x:v>
      </x:c>
      <x:c r="W86" s="19" t="str"/>
      <x:c r="X86" s="19" t="str">
        <x:v>NONE</x:v>
      </x:c>
      <x:c r="Y86" s="19" t="str"/>
    </x:row>
    <x:row r="87" ht="62" customHeight="1">
      <x:c r="A87" s="369" t="str">
        <x:v>B31-C082</x:v>
      </x:c>
      <x:c r="B87" s="369" t="str">
        <x:v>B31_SRC_N90_WEB</x:v>
      </x:c>
      <x:c r="C87" s="369" t="str">
        <x:v>TECH_RELEASE_20260730</x:v>
      </x:c>
      <x:c r="D87" s="369" t="str">
        <x:v>N90独立产品页对应章节</x:v>
      </x:c>
      <x:c r="E87" s="369" t="str">
        <x:v>仅5.95m转弯半径</x:v>
      </x:c>
      <x:c r="F87" s="369" t="str"/>
      <x:c r="G87" s="369" t="str">
        <x:v>PC-N90-MAX-CAND</x:v>
      </x:c>
      <x:c r="H87" s="369" t="str">
        <x:v>turning_radius</x:v>
      </x:c>
      <x:c r="I87" s="369" t="str">
        <x:v>CHASSIS</x:v>
      </x:c>
      <x:c r="J87" s="369" t="str">
        <x:v>VALUE</x:v>
      </x:c>
      <x:c r="K87" s="369" t="str">
        <x:v>NUMERIC</x:v>
      </x:c>
      <x:c r="L87" s="373" t="n">
        <x:v>5.95</x:v>
      </x:c>
      <x:c r="M87" s="369" t="str"/>
      <x:c r="N87" s="369" t="str">
        <x:v>m</x:v>
      </x:c>
      <x:c r="O87" s="369" t="str">
        <x:v>N90_MAX</x:v>
      </x:c>
      <x:c r="P87" s="369" t="str">
        <x:v>EQUIPPED_CLAIM</x:v>
      </x:c>
      <x:c r="Q87" s="369" t="str">
        <x:v>搭载/配备/页面展示</x:v>
      </x:c>
      <x:c r="R87" s="369" t="str">
        <x:v>EQUIPPED_STANDARD_UNCONFIRMED</x:v>
      </x:c>
      <x:c r="S87" s="369" t="str">
        <x:v>AS_OF_2026-08-04_PRELAUNCH</x:v>
      </x:c>
      <x:c r="T87" s="369" t="str">
        <x:v>POSITIVE</x:v>
      </x:c>
      <x:c r="U87" s="369" t="str">
        <x:v>CONFIRMED</x:v>
      </x:c>
      <x:c r="V87" s="369" t="str">
        <x:v>EXCLUDED_UNTIL_3.1C</x:v>
      </x:c>
      <x:c r="W87" s="369" t="str"/>
      <x:c r="X87" s="369" t="str">
        <x:v>NONE</x:v>
      </x:c>
      <x:c r="Y87" s="369" t="str"/>
    </x:row>
    <x:row r="88" ht="62" customHeight="1">
      <x:c r="A88" s="19" t="str">
        <x:v>B31-C083</x:v>
      </x:c>
      <x:c r="B88" s="19" t="str">
        <x:v>B31_SRC_N90_WEB</x:v>
      </x:c>
      <x:c r="C88" s="19" t="str">
        <x:v>TECH_RELEASE_20260730</x:v>
      </x:c>
      <x:c r="D88" s="19" t="str">
        <x:v>N90独立产品页对应章节</x:v>
      </x:c>
      <x:c r="E88" s="19" t="str">
        <x:v>100-0km/h制动距离38.57m</x:v>
      </x:c>
      <x:c r="F88" s="19" t="str"/>
      <x:c r="G88" s="19" t="str">
        <x:v>PC-N90-MAX-CAND</x:v>
      </x:c>
      <x:c r="H88" s="19" t="str">
        <x:v>braking_100_0</x:v>
      </x:c>
      <x:c r="I88" s="19" t="str">
        <x:v>CHASSIS</x:v>
      </x:c>
      <x:c r="J88" s="19" t="str">
        <x:v>VALUE</x:v>
      </x:c>
      <x:c r="K88" s="19" t="str">
        <x:v>NUMERIC</x:v>
      </x:c>
      <x:c r="L88" s="152" t="n">
        <x:v>38.57</x:v>
      </x:c>
      <x:c r="M88" s="19" t="str"/>
      <x:c r="N88" s="19" t="str">
        <x:v>m</x:v>
      </x:c>
      <x:c r="O88" s="19" t="str">
        <x:v>N90_MAX</x:v>
      </x:c>
      <x:c r="P88" s="19" t="str">
        <x:v>EQUIPPED_CLAIM</x:v>
      </x:c>
      <x:c r="Q88" s="19" t="str">
        <x:v>搭载/配备/页面展示</x:v>
      </x:c>
      <x:c r="R88" s="19" t="str">
        <x:v>EQUIPPED_STANDARD_UNCONFIRMED</x:v>
      </x:c>
      <x:c r="S88" s="19" t="str">
        <x:v>AS_OF_2026-08-04_PRELAUNCH</x:v>
      </x:c>
      <x:c r="T88" s="19" t="str">
        <x:v>POSITIVE</x:v>
      </x:c>
      <x:c r="U88" s="19" t="str">
        <x:v>CONFIRMED</x:v>
      </x:c>
      <x:c r="V88" s="19" t="str">
        <x:v>EXCLUDED_UNTIL_3.1C</x:v>
      </x:c>
      <x:c r="W88" s="19" t="str"/>
      <x:c r="X88" s="19" t="str">
        <x:v>NONE</x:v>
      </x:c>
      <x:c r="Y88" s="19" t="str"/>
    </x:row>
    <x:row r="89" ht="62" customHeight="1">
      <x:c r="A89" s="369" t="str">
        <x:v>B31-C084</x:v>
      </x:c>
      <x:c r="B89" s="369" t="str">
        <x:v>B31_SRC_N90_WEB</x:v>
      </x:c>
      <x:c r="C89" s="369" t="str">
        <x:v>TECH_RELEASE_20260730</x:v>
      </x:c>
      <x:c r="D89" s="369" t="str">
        <x:v>N90独立产品页对应章节</x:v>
      </x:c>
      <x:c r="E89" s="369" t="str">
        <x:v>160km/h高速爆胎稳定控制</x:v>
      </x:c>
      <x:c r="F89" s="369" t="str"/>
      <x:c r="G89" s="369" t="str">
        <x:v>PC-N90-MAX-CAND</x:v>
      </x:c>
      <x:c r="H89" s="369" t="str">
        <x:v>blowout_stability_speed</x:v>
      </x:c>
      <x:c r="I89" s="369" t="str">
        <x:v>SAFETY</x:v>
      </x:c>
      <x:c r="J89" s="369" t="str">
        <x:v>VALUE</x:v>
      </x:c>
      <x:c r="K89" s="369" t="str">
        <x:v>NUMERIC</x:v>
      </x:c>
      <x:c r="L89" s="373" t="n">
        <x:v>160</x:v>
      </x:c>
      <x:c r="M89" s="369" t="str"/>
      <x:c r="N89" s="369" t="str">
        <x:v>km/h</x:v>
      </x:c>
      <x:c r="O89" s="369" t="str">
        <x:v>N90_MAX</x:v>
      </x:c>
      <x:c r="P89" s="369" t="str">
        <x:v>EQUIPPED_CLAIM</x:v>
      </x:c>
      <x:c r="Q89" s="369" t="str">
        <x:v>搭载/配备/页面展示</x:v>
      </x:c>
      <x:c r="R89" s="369" t="str">
        <x:v>EQUIPPED_STANDARD_UNCONFIRMED</x:v>
      </x:c>
      <x:c r="S89" s="369" t="str">
        <x:v>AS_OF_2026-08-04_PRELAUNCH</x:v>
      </x:c>
      <x:c r="T89" s="369" t="str">
        <x:v>POSITIVE</x:v>
      </x:c>
      <x:c r="U89" s="369" t="str">
        <x:v>CONFIRMED</x:v>
      </x:c>
      <x:c r="V89" s="369" t="str">
        <x:v>EXCLUDED_UNTIL_3.1C</x:v>
      </x:c>
      <x:c r="W89" s="369" t="str"/>
      <x:c r="X89" s="369" t="str">
        <x:v>NONE</x:v>
      </x:c>
      <x:c r="Y89" s="369" t="str"/>
    </x:row>
    <x:row r="90" ht="62" customHeight="1">
      <x:c r="A90" s="19" t="str">
        <x:v>B31-C085</x:v>
      </x:c>
      <x:c r="B90" s="19" t="str">
        <x:v>B31_SRC_N90_WEB</x:v>
      </x:c>
      <x:c r="C90" s="19" t="str">
        <x:v>TECH_RELEASE_20260730</x:v>
      </x:c>
      <x:c r="D90" s="19" t="str">
        <x:v>N90独立产品页对应章节</x:v>
      </x:c>
      <x:c r="E90" s="19" t="str">
        <x:v>13合1热成型门环，贯穿一二三排、覆盖ABCD柱</x:v>
      </x:c>
      <x:c r="F90" s="19" t="str"/>
      <x:c r="G90" s="19" t="str">
        <x:v>PC-N90-MAX-CAND</x:v>
      </x:c>
      <x:c r="H90" s="19" t="str">
        <x:v>integrated_door_ring</x:v>
      </x:c>
      <x:c r="I90" s="19" t="str">
        <x:v>BODY_SAFETY</x:v>
      </x:c>
      <x:c r="J90" s="19" t="str">
        <x:v>VALUE</x:v>
      </x:c>
      <x:c r="K90" s="19" t="str">
        <x:v>TEXT</x:v>
      </x:c>
      <x:c r="L90" s="152" t="str"/>
      <x:c r="M90" s="19" t="str">
        <x:v>13合1一体式热成型门环，覆盖ABCD柱</x:v>
      </x:c>
      <x:c r="N90" s="19" t="str"/>
      <x:c r="O90" s="19" t="str">
        <x:v>N90_MAX</x:v>
      </x:c>
      <x:c r="P90" s="19" t="str">
        <x:v>EQUIPPED_CLAIM</x:v>
      </x:c>
      <x:c r="Q90" s="19" t="str">
        <x:v>搭载/配备/页面展示</x:v>
      </x:c>
      <x:c r="R90" s="19" t="str">
        <x:v>EQUIPPED_STANDARD_UNCONFIRMED</x:v>
      </x:c>
      <x:c r="S90" s="19" t="str">
        <x:v>AS_OF_2026-08-04_PRELAUNCH</x:v>
      </x:c>
      <x:c r="T90" s="19" t="str">
        <x:v>POSITIVE</x:v>
      </x:c>
      <x:c r="U90" s="19" t="str">
        <x:v>CONFIRMED</x:v>
      </x:c>
      <x:c r="V90" s="19" t="str">
        <x:v>EXCLUDED_UNTIL_3.1C</x:v>
      </x:c>
      <x:c r="W90" s="19" t="str"/>
      <x:c r="X90" s="19" t="str">
        <x:v>NONE</x:v>
      </x:c>
      <x:c r="Y90" s="19" t="str"/>
    </x:row>
    <x:row r="91" ht="62" customHeight="1">
      <x:c r="A91" s="369" t="str">
        <x:v>B31-C086</x:v>
      </x:c>
      <x:c r="B91" s="369" t="str">
        <x:v>B31_SRC_N90_WEB</x:v>
      </x:c>
      <x:c r="C91" s="369" t="str">
        <x:v>TECH_RELEASE_20260730</x:v>
      </x:c>
      <x:c r="D91" s="369" t="str">
        <x:v>N90独立产品页对应章节</x:v>
      </x:c>
      <x:c r="E91" s="369" t="str">
        <x:v>90.4%高强度钢和铝合金占比</x:v>
      </x:c>
      <x:c r="F91" s="369" t="str"/>
      <x:c r="G91" s="369" t="str">
        <x:v>PC-N90-MAX-CAND</x:v>
      </x:c>
      <x:c r="H91" s="369" t="str">
        <x:v>high_strength_material_ratio</x:v>
      </x:c>
      <x:c r="I91" s="369" t="str">
        <x:v>BODY_SAFETY</x:v>
      </x:c>
      <x:c r="J91" s="369" t="str">
        <x:v>VALUE</x:v>
      </x:c>
      <x:c r="K91" s="369" t="str">
        <x:v>NUMERIC</x:v>
      </x:c>
      <x:c r="L91" s="373" t="n">
        <x:v>90.4</x:v>
      </x:c>
      <x:c r="M91" s="369" t="str"/>
      <x:c r="N91" s="369" t="str">
        <x:v>%</x:v>
      </x:c>
      <x:c r="O91" s="369" t="str">
        <x:v>N90_MAX</x:v>
      </x:c>
      <x:c r="P91" s="369" t="str">
        <x:v>EQUIPPED_CLAIM</x:v>
      </x:c>
      <x:c r="Q91" s="369" t="str">
        <x:v>搭载/配备/页面展示</x:v>
      </x:c>
      <x:c r="R91" s="369" t="str">
        <x:v>EQUIPPED_STANDARD_UNCONFIRMED</x:v>
      </x:c>
      <x:c r="S91" s="369" t="str">
        <x:v>AS_OF_2026-08-04_PRELAUNCH</x:v>
      </x:c>
      <x:c r="T91" s="369" t="str">
        <x:v>POSITIVE</x:v>
      </x:c>
      <x:c r="U91" s="369" t="str">
        <x:v>CONFIRMED</x:v>
      </x:c>
      <x:c r="V91" s="369" t="str">
        <x:v>EXCLUDED_UNTIL_3.1C</x:v>
      </x:c>
      <x:c r="W91" s="369" t="str"/>
      <x:c r="X91" s="369" t="str">
        <x:v>NONE</x:v>
      </x:c>
      <x:c r="Y91" s="369" t="str"/>
    </x:row>
    <x:row r="92" ht="62" customHeight="1">
      <x:c r="A92" s="19" t="str">
        <x:v>B31-C087</x:v>
      </x:c>
      <x:c r="B92" s="19" t="str">
        <x:v>B31_SRC_N90_WEB</x:v>
      </x:c>
      <x:c r="C92" s="19" t="str">
        <x:v>TECH_RELEASE_20260730</x:v>
      </x:c>
      <x:c r="D92" s="19" t="str">
        <x:v>N90独立产品页对应章节</x:v>
      </x:c>
      <x:c r="E92" s="19" t="str">
        <x:v>16处2200MPa小米超强钢</x:v>
      </x:c>
      <x:c r="F92" s="19" t="str"/>
      <x:c r="G92" s="19" t="str">
        <x:v>PC-N90-MAX-CAND</x:v>
      </x:c>
      <x:c r="H92" s="19" t="str">
        <x:v>steel_2200mpa_locations</x:v>
      </x:c>
      <x:c r="I92" s="19" t="str">
        <x:v>BODY_SAFETY</x:v>
      </x:c>
      <x:c r="J92" s="19" t="str">
        <x:v>VALUE</x:v>
      </x:c>
      <x:c r="K92" s="19" t="str">
        <x:v>NUMERIC</x:v>
      </x:c>
      <x:c r="L92" s="152" t="n">
        <x:v>16</x:v>
      </x:c>
      <x:c r="M92" s="19" t="str"/>
      <x:c r="N92" s="19" t="str">
        <x:v>count</x:v>
      </x:c>
      <x:c r="O92" s="19" t="str">
        <x:v>N90_MAX</x:v>
      </x:c>
      <x:c r="P92" s="19" t="str">
        <x:v>EQUIPPED_CLAIM</x:v>
      </x:c>
      <x:c r="Q92" s="19" t="str">
        <x:v>搭载/配备/页面展示</x:v>
      </x:c>
      <x:c r="R92" s="19" t="str">
        <x:v>EQUIPPED_STANDARD_UNCONFIRMED</x:v>
      </x:c>
      <x:c r="S92" s="19" t="str">
        <x:v>AS_OF_2026-08-04_PRELAUNCH</x:v>
      </x:c>
      <x:c r="T92" s="19" t="str">
        <x:v>POSITIVE</x:v>
      </x:c>
      <x:c r="U92" s="19" t="str">
        <x:v>CONFIRMED</x:v>
      </x:c>
      <x:c r="V92" s="19" t="str">
        <x:v>EXCLUDED_UNTIL_3.1C</x:v>
      </x:c>
      <x:c r="W92" s="19" t="str"/>
      <x:c r="X92" s="19" t="str">
        <x:v>NONE</x:v>
      </x:c>
      <x:c r="Y92" s="19" t="str"/>
    </x:row>
    <x:row r="93" ht="62" customHeight="1">
      <x:c r="A93" s="369" t="str">
        <x:v>B31-C088</x:v>
      </x:c>
      <x:c r="B93" s="369" t="str">
        <x:v>B31_SRC_N90_WEB</x:v>
      </x:c>
      <x:c r="C93" s="369" t="str">
        <x:v>TECH_RELEASE_20260730</x:v>
      </x:c>
      <x:c r="D93" s="369" t="str">
        <x:v>N90独立产品页对应章节</x:v>
      </x:c>
      <x:c r="E93" s="369" t="str">
        <x:v>顶压载荷高达136.6kN</x:v>
      </x:c>
      <x:c r="F93" s="369" t="str"/>
      <x:c r="G93" s="369" t="str">
        <x:v>PC-N90-MAX-CAND</x:v>
      </x:c>
      <x:c r="H93" s="369" t="str">
        <x:v>roof_crush_load</x:v>
      </x:c>
      <x:c r="I93" s="369" t="str">
        <x:v>BODY_SAFETY</x:v>
      </x:c>
      <x:c r="J93" s="369" t="str">
        <x:v>VALUE</x:v>
      </x:c>
      <x:c r="K93" s="369" t="str">
        <x:v>NUMERIC</x:v>
      </x:c>
      <x:c r="L93" s="373" t="n">
        <x:v>136.6</x:v>
      </x:c>
      <x:c r="M93" s="369" t="str"/>
      <x:c r="N93" s="369" t="str">
        <x:v>kN</x:v>
      </x:c>
      <x:c r="O93" s="369" t="str">
        <x:v>N90_MAX</x:v>
      </x:c>
      <x:c r="P93" s="369" t="str">
        <x:v>EQUIPPED_CLAIM</x:v>
      </x:c>
      <x:c r="Q93" s="369" t="str">
        <x:v>搭载/配备/页面展示</x:v>
      </x:c>
      <x:c r="R93" s="369" t="str">
        <x:v>EQUIPPED_STANDARD_UNCONFIRMED</x:v>
      </x:c>
      <x:c r="S93" s="369" t="str">
        <x:v>AS_OF_2026-08-04_PRELAUNCH</x:v>
      </x:c>
      <x:c r="T93" s="369" t="str">
        <x:v>POSITIVE</x:v>
      </x:c>
      <x:c r="U93" s="369" t="str">
        <x:v>CONFIRMED</x:v>
      </x:c>
      <x:c r="V93" s="369" t="str">
        <x:v>EXCLUDED_UNTIL_3.1C</x:v>
      </x:c>
      <x:c r="W93" s="369" t="str"/>
      <x:c r="X93" s="369" t="str">
        <x:v>NONE</x:v>
      </x:c>
      <x:c r="Y93" s="369" t="str"/>
    </x:row>
    <x:row r="94" ht="62" customHeight="1">
      <x:c r="A94" s="19" t="str">
        <x:v>B31-C089</x:v>
      </x:c>
      <x:c r="B94" s="19" t="str">
        <x:v>B31_SRC_N90_WEB</x:v>
      </x:c>
      <x:c r="C94" s="19" t="str">
        <x:v>TECH_RELEASE_20260730</x:v>
      </x:c>
      <x:c r="D94" s="19" t="str">
        <x:v>N90独立产品页对应章节</x:v>
      </x:c>
      <x:c r="E94" s="19" t="str">
        <x:v>全车12个安全气囊</x:v>
      </x:c>
      <x:c r="F94" s="19" t="str"/>
      <x:c r="G94" s="19" t="str">
        <x:v>PC-N90-MAX-CAND</x:v>
      </x:c>
      <x:c r="H94" s="19" t="str">
        <x:v>airbag_count</x:v>
      </x:c>
      <x:c r="I94" s="19" t="str">
        <x:v>SAFETY</x:v>
      </x:c>
      <x:c r="J94" s="19" t="str">
        <x:v>VALUE</x:v>
      </x:c>
      <x:c r="K94" s="19" t="str">
        <x:v>NUMERIC</x:v>
      </x:c>
      <x:c r="L94" s="152" t="n">
        <x:v>12</x:v>
      </x:c>
      <x:c r="M94" s="19" t="str"/>
      <x:c r="N94" s="19" t="str">
        <x:v>count</x:v>
      </x:c>
      <x:c r="O94" s="19" t="str">
        <x:v>N90_MAX</x:v>
      </x:c>
      <x:c r="P94" s="19" t="str">
        <x:v>EQUIPPED_CLAIM</x:v>
      </x:c>
      <x:c r="Q94" s="19" t="str">
        <x:v>搭载/配备/页面展示</x:v>
      </x:c>
      <x:c r="R94" s="19" t="str">
        <x:v>EQUIPPED_STANDARD_UNCONFIRMED</x:v>
      </x:c>
      <x:c r="S94" s="19" t="str">
        <x:v>AS_OF_2026-08-04_PRELAUNCH</x:v>
      </x:c>
      <x:c r="T94" s="19" t="str">
        <x:v>POSITIVE</x:v>
      </x:c>
      <x:c r="U94" s="19" t="str">
        <x:v>CONFIRMED</x:v>
      </x:c>
      <x:c r="V94" s="19" t="str">
        <x:v>EXCLUDED_UNTIL_3.1C</x:v>
      </x:c>
      <x:c r="W94" s="19" t="str"/>
      <x:c r="X94" s="19" t="str">
        <x:v>NONE</x:v>
      </x:c>
      <x:c r="Y94" s="19" t="str"/>
    </x:row>
    <x:row r="95" ht="62" customHeight="1">
      <x:c r="A95" s="369" t="str">
        <x:v>B31-C090</x:v>
      </x:c>
      <x:c r="B95" s="369" t="str">
        <x:v>B31_SRC_N90_WEB</x:v>
      </x:c>
      <x:c r="C95" s="369" t="str">
        <x:v>TECH_RELEASE_20260730</x:v>
      </x:c>
      <x:c r="D95" s="369" t="str">
        <x:v>N90独立产品页对应章节</x:v>
      </x:c>
      <x:c r="E95" s="369" t="str">
        <x:v>全车9个碰撞传感器</x:v>
      </x:c>
      <x:c r="F95" s="369" t="str"/>
      <x:c r="G95" s="369" t="str">
        <x:v>PC-N90-MAX-CAND</x:v>
      </x:c>
      <x:c r="H95" s="369" t="str">
        <x:v>collision_sensor_count</x:v>
      </x:c>
      <x:c r="I95" s="369" t="str">
        <x:v>SAFETY</x:v>
      </x:c>
      <x:c r="J95" s="369" t="str">
        <x:v>VALUE</x:v>
      </x:c>
      <x:c r="K95" s="369" t="str">
        <x:v>NUMERIC</x:v>
      </x:c>
      <x:c r="L95" s="373" t="n">
        <x:v>9</x:v>
      </x:c>
      <x:c r="M95" s="369" t="str"/>
      <x:c r="N95" s="369" t="str">
        <x:v>count</x:v>
      </x:c>
      <x:c r="O95" s="369" t="str">
        <x:v>N90_MAX</x:v>
      </x:c>
      <x:c r="P95" s="369" t="str">
        <x:v>EQUIPPED_CLAIM</x:v>
      </x:c>
      <x:c r="Q95" s="369" t="str">
        <x:v>搭载/配备/页面展示</x:v>
      </x:c>
      <x:c r="R95" s="369" t="str">
        <x:v>EQUIPPED_STANDARD_UNCONFIRMED</x:v>
      </x:c>
      <x:c r="S95" s="369" t="str">
        <x:v>AS_OF_2026-08-04_PRELAUNCH</x:v>
      </x:c>
      <x:c r="T95" s="369" t="str">
        <x:v>POSITIVE</x:v>
      </x:c>
      <x:c r="U95" s="369" t="str">
        <x:v>CONFIRMED</x:v>
      </x:c>
      <x:c r="V95" s="369" t="str">
        <x:v>EXCLUDED_UNTIL_3.1C</x:v>
      </x:c>
      <x:c r="W95" s="369" t="str"/>
      <x:c r="X95" s="369" t="str">
        <x:v>NONE</x:v>
      </x:c>
      <x:c r="Y95" s="369" t="str"/>
    </x:row>
    <x:row r="96" ht="62" customHeight="1">
      <x:c r="A96" s="19" t="str">
        <x:v>B31-C091</x:v>
      </x:c>
      <x:c r="B96" s="19" t="str">
        <x:v>B31_SRC_N90_WEB</x:v>
      </x:c>
      <x:c r="C96" s="19" t="str">
        <x:v>TECH_RELEASE_20260730</x:v>
      </x:c>
      <x:c r="D96" s="19" t="str">
        <x:v>N90独立产品页对应章节</x:v>
      </x:c>
      <x:c r="E96" s="19" t="str">
        <x:v>3030mm超长侧气帘</x:v>
      </x:c>
      <x:c r="F96" s="19" t="str"/>
      <x:c r="G96" s="19" t="str">
        <x:v>PC-N90-MAX-CAND</x:v>
      </x:c>
      <x:c r="H96" s="19" t="str">
        <x:v>curtain_airbag_length</x:v>
      </x:c>
      <x:c r="I96" s="19" t="str">
        <x:v>SAFETY</x:v>
      </x:c>
      <x:c r="J96" s="19" t="str">
        <x:v>VALUE</x:v>
      </x:c>
      <x:c r="K96" s="19" t="str">
        <x:v>NUMERIC</x:v>
      </x:c>
      <x:c r="L96" s="152" t="n">
        <x:v>3030</x:v>
      </x:c>
      <x:c r="M96" s="19" t="str"/>
      <x:c r="N96" s="19" t="str">
        <x:v>mm</x:v>
      </x:c>
      <x:c r="O96" s="19" t="str">
        <x:v>N90_MAX</x:v>
      </x:c>
      <x:c r="P96" s="19" t="str">
        <x:v>EQUIPPED_CLAIM</x:v>
      </x:c>
      <x:c r="Q96" s="19" t="str">
        <x:v>搭载/配备/页面展示</x:v>
      </x:c>
      <x:c r="R96" s="19" t="str">
        <x:v>EQUIPPED_STANDARD_UNCONFIRMED</x:v>
      </x:c>
      <x:c r="S96" s="19" t="str">
        <x:v>AS_OF_2026-08-04_PRELAUNCH</x:v>
      </x:c>
      <x:c r="T96" s="19" t="str">
        <x:v>POSITIVE</x:v>
      </x:c>
      <x:c r="U96" s="19" t="str">
        <x:v>CONFIRMED</x:v>
      </x:c>
      <x:c r="V96" s="19" t="str">
        <x:v>EXCLUDED_UNTIL_3.1C</x:v>
      </x:c>
      <x:c r="W96" s="19" t="str"/>
      <x:c r="X96" s="19" t="str">
        <x:v>NONE</x:v>
      </x:c>
      <x:c r="Y96" s="19" t="str"/>
    </x:row>
    <x:row r="97" ht="62" customHeight="1">
      <x:c r="A97" s="369" t="str">
        <x:v>B31-C092</x:v>
      </x:c>
      <x:c r="B97" s="369" t="str">
        <x:v>B31_SRC_N90_WEB</x:v>
      </x:c>
      <x:c r="C97" s="369" t="str">
        <x:v>TECH_RELEASE_20260730</x:v>
      </x:c>
      <x:c r="D97" s="369" t="str">
        <x:v>N90独立产品页对应章节</x:v>
      </x:c>
      <x:c r="E97" s="369" t="str">
        <x:v>750mm最高涉水能力</x:v>
      </x:c>
      <x:c r="F97" s="369" t="str"/>
      <x:c r="G97" s="369" t="str">
        <x:v>PC-N90-MAX-CAND</x:v>
      </x:c>
      <x:c r="H97" s="369" t="str">
        <x:v>max_wading_depth</x:v>
      </x:c>
      <x:c r="I97" s="369" t="str">
        <x:v>SAFETY</x:v>
      </x:c>
      <x:c r="J97" s="369" t="str">
        <x:v>VALUE</x:v>
      </x:c>
      <x:c r="K97" s="369" t="str">
        <x:v>NUMERIC</x:v>
      </x:c>
      <x:c r="L97" s="373" t="n">
        <x:v>750</x:v>
      </x:c>
      <x:c r="M97" s="369" t="str"/>
      <x:c r="N97" s="369" t="str">
        <x:v>mm</x:v>
      </x:c>
      <x:c r="O97" s="369" t="str">
        <x:v>N90_MAX</x:v>
      </x:c>
      <x:c r="P97" s="369" t="str">
        <x:v>EQUIPPED_CLAIM</x:v>
      </x:c>
      <x:c r="Q97" s="369" t="str">
        <x:v>搭载/配备/页面展示</x:v>
      </x:c>
      <x:c r="R97" s="369" t="str">
        <x:v>EQUIPPED_STANDARD_UNCONFIRMED</x:v>
      </x:c>
      <x:c r="S97" s="369" t="str">
        <x:v>AS_OF_2026-08-04_PRELAUNCH</x:v>
      </x:c>
      <x:c r="T97" s="369" t="str">
        <x:v>POSITIVE</x:v>
      </x:c>
      <x:c r="U97" s="369" t="str">
        <x:v>CONFIRMED</x:v>
      </x:c>
      <x:c r="V97" s="369" t="str">
        <x:v>EXCLUDED_UNTIL_3.1C</x:v>
      </x:c>
      <x:c r="W97" s="369" t="str"/>
      <x:c r="X97" s="369" t="str">
        <x:v>NONE</x:v>
      </x:c>
      <x:c r="Y97" s="369" t="str"/>
    </x:row>
    <x:row r="98" ht="62" customHeight="1">
      <x:c r="A98" s="19" t="str">
        <x:v>B31-C093</x:v>
      </x:c>
      <x:c r="B98" s="19" t="str">
        <x:v>B31_SRC_N90_WEB</x:v>
      </x:c>
      <x:c r="C98" s="19" t="str">
        <x:v>TECH_RELEASE_20260730</x:v>
      </x:c>
      <x:c r="D98" s="19" t="str">
        <x:v>N90独立产品页对应章节</x:v>
      </x:c>
      <x:c r="E98" s="19" t="str">
        <x:v>2颗涉水雷达</x:v>
      </x:c>
      <x:c r="F98" s="19" t="str"/>
      <x:c r="G98" s="19" t="str">
        <x:v>PC-N90-MAX-CAND</x:v>
      </x:c>
      <x:c r="H98" s="19" t="str">
        <x:v>wading_radar_count</x:v>
      </x:c>
      <x:c r="I98" s="19" t="str">
        <x:v>SAFETY</x:v>
      </x:c>
      <x:c r="J98" s="19" t="str">
        <x:v>VALUE</x:v>
      </x:c>
      <x:c r="K98" s="19" t="str">
        <x:v>NUMERIC</x:v>
      </x:c>
      <x:c r="L98" s="152" t="n">
        <x:v>2</x:v>
      </x:c>
      <x:c r="M98" s="19" t="str"/>
      <x:c r="N98" s="19" t="str">
        <x:v>count</x:v>
      </x:c>
      <x:c r="O98" s="19" t="str">
        <x:v>N90_MAX</x:v>
      </x:c>
      <x:c r="P98" s="19" t="str">
        <x:v>EQUIPPED_CLAIM</x:v>
      </x:c>
      <x:c r="Q98" s="19" t="str">
        <x:v>搭载/配备/页面展示</x:v>
      </x:c>
      <x:c r="R98" s="19" t="str">
        <x:v>EQUIPPED_STANDARD_UNCONFIRMED</x:v>
      </x:c>
      <x:c r="S98" s="19" t="str">
        <x:v>AS_OF_2026-08-04_PRELAUNCH</x:v>
      </x:c>
      <x:c r="T98" s="19" t="str">
        <x:v>POSITIVE</x:v>
      </x:c>
      <x:c r="U98" s="19" t="str">
        <x:v>CONFIRMED</x:v>
      </x:c>
      <x:c r="V98" s="19" t="str">
        <x:v>EXCLUDED_UNTIL_3.1C</x:v>
      </x:c>
      <x:c r="W98" s="19" t="str"/>
      <x:c r="X98" s="19" t="str">
        <x:v>NONE</x:v>
      </x:c>
      <x:c r="Y98" s="19" t="str"/>
    </x:row>
    <x:row r="99" ht="62" customHeight="1">
      <x:c r="A99" s="369" t="str">
        <x:v>B31-C094</x:v>
      </x:c>
      <x:c r="B99" s="369" t="str">
        <x:v>B31_SRC_N90_WEB</x:v>
      </x:c>
      <x:c r="C99" s="369" t="str">
        <x:v>TECH_RELEASE_20260730</x:v>
      </x:c>
      <x:c r="D99" s="369" t="str">
        <x:v>N90独立产品页对应章节</x:v>
      </x:c>
      <x:c r="E99" s="369" t="str">
        <x:v>18层硬核结构安全防护</x:v>
      </x:c>
      <x:c r="F99" s="369" t="str"/>
      <x:c r="G99" s="369" t="str">
        <x:v>PC-N90-MAX-CAND</x:v>
      </x:c>
      <x:c r="H99" s="369" t="str">
        <x:v>battery_safety_layers</x:v>
      </x:c>
      <x:c r="I99" s="369" t="str">
        <x:v>SAFETY</x:v>
      </x:c>
      <x:c r="J99" s="369" t="str">
        <x:v>VALUE</x:v>
      </x:c>
      <x:c r="K99" s="369" t="str">
        <x:v>NUMERIC</x:v>
      </x:c>
      <x:c r="L99" s="373" t="n">
        <x:v>18</x:v>
      </x:c>
      <x:c r="M99" s="369" t="str"/>
      <x:c r="N99" s="369" t="str">
        <x:v>count</x:v>
      </x:c>
      <x:c r="O99" s="369" t="str">
        <x:v>N90_MAX</x:v>
      </x:c>
      <x:c r="P99" s="369" t="str">
        <x:v>EQUIPPED_CLAIM</x:v>
      </x:c>
      <x:c r="Q99" s="369" t="str">
        <x:v>搭载/配备/页面展示</x:v>
      </x:c>
      <x:c r="R99" s="369" t="str">
        <x:v>EQUIPPED_STANDARD_UNCONFIRMED</x:v>
      </x:c>
      <x:c r="S99" s="369" t="str">
        <x:v>AS_OF_2026-08-04_PRELAUNCH</x:v>
      </x:c>
      <x:c r="T99" s="369" t="str">
        <x:v>POSITIVE</x:v>
      </x:c>
      <x:c r="U99" s="369" t="str">
        <x:v>CONFIRMED</x:v>
      </x:c>
      <x:c r="V99" s="369" t="str">
        <x:v>EXCLUDED_UNTIL_3.1C</x:v>
      </x:c>
      <x:c r="W99" s="369" t="str"/>
      <x:c r="X99" s="369" t="str">
        <x:v>NONE</x:v>
      </x:c>
      <x:c r="Y99" s="369" t="str"/>
    </x:row>
    <x:row r="100" ht="62" customHeight="1">
      <x:c r="A100" s="19" t="str">
        <x:v>B31-C095</x:v>
      </x:c>
      <x:c r="B100" s="19" t="str">
        <x:v>B31_SRC_N90_WEB</x:v>
      </x:c>
      <x:c r="C100" s="19" t="str">
        <x:v>TECH_RELEASE_20260730</x:v>
      </x:c>
      <x:c r="D100" s="19" t="str">
        <x:v>N90独立产品页对应章节</x:v>
      </x:c>
      <x:c r="E100" s="19" t="str">
        <x:v>500J底部撞击能量，电池功能不失效</x:v>
      </x:c>
      <x:c r="F100" s="19" t="str"/>
      <x:c r="G100" s="19" t="str">
        <x:v>PC-N90-MAX-CAND</x:v>
      </x:c>
      <x:c r="H100" s="19" t="str">
        <x:v>battery_bottom_impact</x:v>
      </x:c>
      <x:c r="I100" s="19" t="str">
        <x:v>SAFETY</x:v>
      </x:c>
      <x:c r="J100" s="19" t="str">
        <x:v>VALUE</x:v>
      </x:c>
      <x:c r="K100" s="19" t="str">
        <x:v>NUMERIC</x:v>
      </x:c>
      <x:c r="L100" s="152" t="n">
        <x:v>500</x:v>
      </x:c>
      <x:c r="M100" s="19" t="str"/>
      <x:c r="N100" s="19" t="str">
        <x:v>J</x:v>
      </x:c>
      <x:c r="O100" s="19" t="str">
        <x:v>N90_MAX</x:v>
      </x:c>
      <x:c r="P100" s="19" t="str">
        <x:v>EQUIPPED_CLAIM</x:v>
      </x:c>
      <x:c r="Q100" s="19" t="str">
        <x:v>搭载/配备/页面展示</x:v>
      </x:c>
      <x:c r="R100" s="19" t="str">
        <x:v>EQUIPPED_STANDARD_UNCONFIRMED</x:v>
      </x:c>
      <x:c r="S100" s="19" t="str">
        <x:v>AS_OF_2026-08-04_PRELAUNCH</x:v>
      </x:c>
      <x:c r="T100" s="19" t="str">
        <x:v>POSITIVE</x:v>
      </x:c>
      <x:c r="U100" s="19" t="str">
        <x:v>CONFIRMED</x:v>
      </x:c>
      <x:c r="V100" s="19" t="str">
        <x:v>EXCLUDED_UNTIL_3.1C</x:v>
      </x:c>
      <x:c r="W100" s="19" t="str"/>
      <x:c r="X100" s="19" t="str">
        <x:v>NONE</x:v>
      </x:c>
      <x:c r="Y100" s="19" t="str"/>
    </x:row>
    <x:row r="101" ht="62" customHeight="1">
      <x:c r="A101" s="369" t="str">
        <x:v>B31-C096</x:v>
      </x:c>
      <x:c r="B101" s="369" t="str">
        <x:v>B31_SRC_N90_WEB</x:v>
      </x:c>
      <x:c r="C101" s="369" t="str">
        <x:v>TECH_RELEASE_20260730</x:v>
      </x:c>
      <x:c r="D101" s="369" t="str">
        <x:v>N90独立产品页对应章节</x:v>
      </x:c>
      <x:c r="E101" s="369" t="str">
        <x:v>55℃高温满电热失控无热蔓延</x:v>
      </x:c>
      <x:c r="F101" s="369" t="str"/>
      <x:c r="G101" s="369" t="str">
        <x:v>PC-N90-MAX-CAND</x:v>
      </x:c>
      <x:c r="H101" s="369" t="str">
        <x:v>battery_thermal_propagation</x:v>
      </x:c>
      <x:c r="I101" s="369" t="str">
        <x:v>SAFETY</x:v>
      </x:c>
      <x:c r="J101" s="369" t="str">
        <x:v>VALUE</x:v>
      </x:c>
      <x:c r="K101" s="369" t="str">
        <x:v>TEXT</x:v>
      </x:c>
      <x:c r="L101" s="373" t="str"/>
      <x:c r="M101" s="369" t="str">
        <x:v>55℃高温满电热失控无热蔓延</x:v>
      </x:c>
      <x:c r="N101" s="369" t="str"/>
      <x:c r="O101" s="369" t="str">
        <x:v>N90_MAX</x:v>
      </x:c>
      <x:c r="P101" s="369" t="str">
        <x:v>EQUIPPED_CLAIM</x:v>
      </x:c>
      <x:c r="Q101" s="369" t="str">
        <x:v>搭载/配备/页面展示</x:v>
      </x:c>
      <x:c r="R101" s="369" t="str">
        <x:v>EQUIPPED_STANDARD_UNCONFIRMED</x:v>
      </x:c>
      <x:c r="S101" s="369" t="str">
        <x:v>AS_OF_2026-08-04_PRELAUNCH</x:v>
      </x:c>
      <x:c r="T101" s="369" t="str">
        <x:v>POSITIVE</x:v>
      </x:c>
      <x:c r="U101" s="369" t="str">
        <x:v>CONFIRMED</x:v>
      </x:c>
      <x:c r="V101" s="369" t="str">
        <x:v>EXCLUDED_UNTIL_3.1C</x:v>
      </x:c>
      <x:c r="W101" s="369" t="str"/>
      <x:c r="X101" s="369" t="str">
        <x:v>NONE</x:v>
      </x:c>
      <x:c r="Y101" s="369" t="str"/>
    </x:row>
    <x:row r="102" ht="62" customHeight="1">
      <x:c r="A102" s="19" t="str">
        <x:v>B31-C097</x:v>
      </x:c>
      <x:c r="B102" s="19" t="str">
        <x:v>B31_SRC_N90_WEB</x:v>
      </x:c>
      <x:c r="C102" s="19" t="str">
        <x:v>TECH_RELEASE_20260730</x:v>
      </x:c>
      <x:c r="D102" s="19" t="str">
        <x:v>N90独立产品页对应章节</x:v>
      </x:c>
      <x:c r="E102" s="19" t="str">
        <x:v>标配26项安全辅助功能</x:v>
      </x:c>
      <x:c r="F102" s="19" t="str"/>
      <x:c r="G102" s="19" t="str">
        <x:v>PC-N90-MAX-CAND</x:v>
      </x:c>
      <x:c r="H102" s="19" t="str">
        <x:v>safety_assist_count</x:v>
      </x:c>
      <x:c r="I102" s="19" t="str">
        <x:v>ADAS</x:v>
      </x:c>
      <x:c r="J102" s="19" t="str">
        <x:v>VALUE</x:v>
      </x:c>
      <x:c r="K102" s="19" t="str">
        <x:v>NUMERIC</x:v>
      </x:c>
      <x:c r="L102" s="152" t="n">
        <x:v>26</x:v>
      </x:c>
      <x:c r="M102" s="19" t="str"/>
      <x:c r="N102" s="19" t="str">
        <x:v>count</x:v>
      </x:c>
      <x:c r="O102" s="19" t="str">
        <x:v>N90_MAX</x:v>
      </x:c>
      <x:c r="P102" s="19" t="str">
        <x:v>EXPLICIT_STANDARD</x:v>
      </x:c>
      <x:c r="Q102" s="19" t="str">
        <x:v>标配</x:v>
      </x:c>
      <x:c r="R102" s="19" t="str">
        <x:v>STANDARD_AT_RELEASE</x:v>
      </x:c>
      <x:c r="S102" s="19" t="str">
        <x:v>AS_OF_2026-08-04_PRELAUNCH</x:v>
      </x:c>
      <x:c r="T102" s="19" t="str">
        <x:v>POSITIVE</x:v>
      </x:c>
      <x:c r="U102" s="19" t="str">
        <x:v>CONFIRMED</x:v>
      </x:c>
      <x:c r="V102" s="19" t="str">
        <x:v>INCLUDED_TEMP_BOM</x:v>
      </x:c>
      <x:c r="W102" s="19" t="str"/>
      <x:c r="X102" s="19" t="str">
        <x:v>NONE</x:v>
      </x:c>
      <x:c r="Y102" s="19" t="str"/>
    </x:row>
    <x:row r="103" ht="62" customHeight="1">
      <x:c r="A103" s="369" t="str">
        <x:v>B31-C098</x:v>
      </x:c>
      <x:c r="B103" s="369" t="str">
        <x:v>B31_SRC_N90_WEB</x:v>
      </x:c>
      <x:c r="C103" s="369" t="str">
        <x:v>TECH_RELEASE_20260730</x:v>
      </x:c>
      <x:c r="D103" s="369" t="str">
        <x:v>N90独立产品页对应章节</x:v>
      </x:c>
      <x:c r="E103" s="369" t="str">
        <x:v>先进智能，全系标配；四合一域控制模块</x:v>
      </x:c>
      <x:c r="F103" s="369" t="str"/>
      <x:c r="G103" s="369" t="str">
        <x:v>PC-N90-MAX-CAND</x:v>
      </x:c>
      <x:c r="H103" s="369" t="str">
        <x:v>domain_controller_4in1</x:v>
      </x:c>
      <x:c r="I103" s="369" t="str">
        <x:v>ELECTRONICS</x:v>
      </x:c>
      <x:c r="J103" s="369" t="str">
        <x:v>VALUE</x:v>
      </x:c>
      <x:c r="K103" s="369" t="str">
        <x:v>TEXT</x:v>
      </x:c>
      <x:c r="L103" s="373" t="str"/>
      <x:c r="M103" s="369" t="str">
        <x:v>辅助驾驶/座舱/通讯/整车四合一域控</x:v>
      </x:c>
      <x:c r="N103" s="369" t="str"/>
      <x:c r="O103" s="369" t="str">
        <x:v>N90_MAX</x:v>
      </x:c>
      <x:c r="P103" s="369" t="str">
        <x:v>EXPLICIT_STANDARD</x:v>
      </x:c>
      <x:c r="Q103" s="369" t="str">
        <x:v>章节“先进智能，全系标配”</x:v>
      </x:c>
      <x:c r="R103" s="369" t="str">
        <x:v>STANDARD_AT_RELEASE</x:v>
      </x:c>
      <x:c r="S103" s="369" t="str">
        <x:v>AS_OF_2026-08-04_PRELAUNCH</x:v>
      </x:c>
      <x:c r="T103" s="369" t="str">
        <x:v>POSITIVE</x:v>
      </x:c>
      <x:c r="U103" s="369" t="str">
        <x:v>CONFIRMED</x:v>
      </x:c>
      <x:c r="V103" s="369" t="str">
        <x:v>INCLUDED_TEMP_BOM</x:v>
      </x:c>
      <x:c r="W103" s="369" t="str"/>
      <x:c r="X103" s="369" t="str">
        <x:v>NONE</x:v>
      </x:c>
      <x:c r="Y103" s="369" t="str"/>
    </x:row>
    <x:row r="104" ht="62" customHeight="1">
      <x:c r="A104" s="19" t="str">
        <x:v>B31-C099</x:v>
      </x:c>
      <x:c r="B104" s="19" t="str">
        <x:v>B31_SRC_N90_WEB</x:v>
      </x:c>
      <x:c r="C104" s="19" t="str">
        <x:v>TECH_RELEASE_20260730</x:v>
      </x:c>
      <x:c r="D104" s="19" t="str">
        <x:v>N90独立产品页对应章节</x:v>
      </x:c>
      <x:c r="E104" s="19" t="str">
        <x:v>先进智能，全系标配；支持双5G并行、三蓝牙、双Wi-Fi、Wi-Fi7</x:v>
      </x:c>
      <x:c r="F104" s="19" t="str"/>
      <x:c r="G104" s="19" t="str">
        <x:v>PC-N90-MAX-CAND</x:v>
      </x:c>
      <x:c r="H104" s="19" t="str">
        <x:v>connectivity</x:v>
      </x:c>
      <x:c r="I104" s="19" t="str">
        <x:v>ELECTRONICS</x:v>
      </x:c>
      <x:c r="J104" s="19" t="str">
        <x:v>VALUE</x:v>
      </x:c>
      <x:c r="K104" s="19" t="str">
        <x:v>TEXT</x:v>
      </x:c>
      <x:c r="L104" s="152" t="str"/>
      <x:c r="M104" s="19" t="str">
        <x:v>双5G、三蓝牙、双Wi-Fi、Wi-Fi7</x:v>
      </x:c>
      <x:c r="N104" s="19" t="str"/>
      <x:c r="O104" s="19" t="str">
        <x:v>N90_MAX</x:v>
      </x:c>
      <x:c r="P104" s="19" t="str">
        <x:v>EXPLICIT_STANDARD</x:v>
      </x:c>
      <x:c r="Q104" s="19" t="str">
        <x:v>章节“先进智能，全系标配”</x:v>
      </x:c>
      <x:c r="R104" s="19" t="str">
        <x:v>STANDARD_AT_RELEASE</x:v>
      </x:c>
      <x:c r="S104" s="19" t="str">
        <x:v>AS_OF_2026-08-04_PRELAUNCH</x:v>
      </x:c>
      <x:c r="T104" s="19" t="str">
        <x:v>POSITIVE</x:v>
      </x:c>
      <x:c r="U104" s="19" t="str">
        <x:v>CONFIRMED</x:v>
      </x:c>
      <x:c r="V104" s="19" t="str">
        <x:v>INCLUDED_TEMP_BOM</x:v>
      </x:c>
      <x:c r="W104" s="19" t="str"/>
      <x:c r="X104" s="19" t="str">
        <x:v>NONE</x:v>
      </x:c>
      <x:c r="Y104" s="19" t="str"/>
    </x:row>
    <x:row r="105" ht="62" customHeight="1">
      <x:c r="A105" s="369" t="str">
        <x:v>B31-C100</x:v>
      </x:c>
      <x:c r="B105" s="369" t="str">
        <x:v>B31_SRC_N90_WEB</x:v>
      </x:c>
      <x:c r="C105" s="369" t="str">
        <x:v>TECH_RELEASE_20260730</x:v>
      </x:c>
      <x:c r="D105" s="369" t="str">
        <x:v>N90独立产品页对应章节</x:v>
      </x:c>
      <x:c r="E105" s="369" t="str">
        <x:v>先进智能，全系标配；Flyback车载低压供电系统</x:v>
      </x:c>
      <x:c r="F105" s="369" t="str"/>
      <x:c r="G105" s="369" t="str">
        <x:v>PC-N90-MAX-CAND</x:v>
      </x:c>
      <x:c r="H105" s="369" t="str">
        <x:v>flyback_low_voltage</x:v>
      </x:c>
      <x:c r="I105" s="369" t="str">
        <x:v>ELECTRONICS</x:v>
      </x:c>
      <x:c r="J105" s="369" t="str">
        <x:v>VALUE</x:v>
      </x:c>
      <x:c r="K105" s="369" t="str">
        <x:v>TEXT</x:v>
      </x:c>
      <x:c r="L105" s="373" t="str"/>
      <x:c r="M105" s="369" t="str">
        <x:v>Flyback车载低压供电系统</x:v>
      </x:c>
      <x:c r="N105" s="369" t="str"/>
      <x:c r="O105" s="369" t="str">
        <x:v>N90_MAX</x:v>
      </x:c>
      <x:c r="P105" s="369" t="str">
        <x:v>EXPLICIT_STANDARD</x:v>
      </x:c>
      <x:c r="Q105" s="369" t="str">
        <x:v>章节“先进智能，全系标配”</x:v>
      </x:c>
      <x:c r="R105" s="369" t="str">
        <x:v>STANDARD_AT_RELEASE</x:v>
      </x:c>
      <x:c r="S105" s="369" t="str">
        <x:v>AS_OF_2026-08-04_PRELAUNCH</x:v>
      </x:c>
      <x:c r="T105" s="369" t="str">
        <x:v>POSITIVE</x:v>
      </x:c>
      <x:c r="U105" s="369" t="str">
        <x:v>CONFIRMED</x:v>
      </x:c>
      <x:c r="V105" s="369" t="str">
        <x:v>INCLUDED_TEMP_BOM</x:v>
      </x:c>
      <x:c r="W105" s="369" t="str"/>
      <x:c r="X105" s="369" t="str">
        <x:v>NONE</x:v>
      </x:c>
      <x:c r="Y105" s="369" t="str"/>
    </x:row>
    <x:row r="106" ht="62" customHeight="1">
      <x:c r="A106" s="19" t="str">
        <x:v>B31-C101</x:v>
      </x:c>
      <x:c r="B106" s="19" t="str">
        <x:v>B31_SRC_N90_WEB</x:v>
      </x:c>
      <x:c r="C106" s="19" t="str">
        <x:v>TECH_RELEASE_20260730</x:v>
      </x:c>
      <x:c r="D106" s="19" t="str">
        <x:v>N90独立产品页对应章节</x:v>
      </x:c>
      <x:c r="E106" s="19" t="str">
        <x:v>小米澎湃智能座舱，前后排六屏联动；扩展Pad需自行购买</x:v>
      </x:c>
      <x:c r="F106" s="19" t="str"/>
      <x:c r="G106" s="19" t="str">
        <x:v>PC-N90-MAX-CAND</x:v>
      </x:c>
      <x:c r="H106" s="19" t="str">
        <x:v>hyperos_cabin</x:v>
      </x:c>
      <x:c r="I106" s="19" t="str">
        <x:v>CABIN</x:v>
      </x:c>
      <x:c r="J106" s="19" t="str">
        <x:v>VALUE</x:v>
      </x:c>
      <x:c r="K106" s="19" t="str">
        <x:v>TEXT</x:v>
      </x:c>
      <x:c r="L106" s="152" t="str"/>
      <x:c r="M106" s="19" t="str">
        <x:v>小米澎湃智能座舱/前后排六屏联动</x:v>
      </x:c>
      <x:c r="N106" s="19" t="str"/>
      <x:c r="O106" s="19" t="str">
        <x:v>N90_MAX</x:v>
      </x:c>
      <x:c r="P106" s="19" t="str">
        <x:v>EQUIPPED_CLAIM</x:v>
      </x:c>
      <x:c r="Q106" s="19" t="str">
        <x:v>搭载/配备/页面展示</x:v>
      </x:c>
      <x:c r="R106" s="19" t="str">
        <x:v>EQUIPPED_STANDARD_UNCONFIRMED</x:v>
      </x:c>
      <x:c r="S106" s="19" t="str">
        <x:v>AS_OF_2026-08-04_PRELAUNCH</x:v>
      </x:c>
      <x:c r="T106" s="19" t="str">
        <x:v>POSITIVE</x:v>
      </x:c>
      <x:c r="U106" s="19" t="str">
        <x:v>CONFIRMED</x:v>
      </x:c>
      <x:c r="V106" s="19" t="str">
        <x:v>EXCLUDED_UNTIL_3.1C</x:v>
      </x:c>
      <x:c r="W106" s="19" t="str"/>
      <x:c r="X106" s="19" t="str">
        <x:v>NONE</x:v>
      </x:c>
      <x:c r="Y106" s="19" t="str"/>
    </x:row>
    <x:row r="107" ht="62" customHeight="1">
      <x:c r="A107" s="369" t="str">
        <x:v>B31-C102</x:v>
      </x:c>
      <x:c r="B107" s="369" t="str">
        <x:v>B31_SRC_N90_WEB</x:v>
      </x:c>
      <x:c r="C107" s="369" t="str">
        <x:v>TECH_RELEASE_20260730</x:v>
      </x:c>
      <x:c r="D107" s="369" t="str">
        <x:v>N90独立产品页对应章节</x:v>
      </x:c>
      <x:c r="E107" s="369" t="str">
        <x:v>超级小爱</x:v>
      </x:c>
      <x:c r="F107" s="369" t="str"/>
      <x:c r="G107" s="369" t="str">
        <x:v>PC-N90-MAX-CAND</x:v>
      </x:c>
      <x:c r="H107" s="369" t="str">
        <x:v>super_xiaoai</x:v>
      </x:c>
      <x:c r="I107" s="369" t="str">
        <x:v>CABIN</x:v>
      </x:c>
      <x:c r="J107" s="369" t="str">
        <x:v>VALUE</x:v>
      </x:c>
      <x:c r="K107" s="369" t="str">
        <x:v>TEXT</x:v>
      </x:c>
      <x:c r="L107" s="373" t="str"/>
      <x:c r="M107" s="369" t="str">
        <x:v>超级小爱</x:v>
      </x:c>
      <x:c r="N107" s="369" t="str"/>
      <x:c r="O107" s="369" t="str">
        <x:v>N90_MAX</x:v>
      </x:c>
      <x:c r="P107" s="369" t="str">
        <x:v>EQUIPPED_CLAIM</x:v>
      </x:c>
      <x:c r="Q107" s="369" t="str">
        <x:v>搭载/配备/页面展示</x:v>
      </x:c>
      <x:c r="R107" s="369" t="str">
        <x:v>EQUIPPED_STANDARD_UNCONFIRMED</x:v>
      </x:c>
      <x:c r="S107" s="369" t="str">
        <x:v>AS_OF_2026-08-04_PRELAUNCH</x:v>
      </x:c>
      <x:c r="T107" s="369" t="str">
        <x:v>POSITIVE</x:v>
      </x:c>
      <x:c r="U107" s="369" t="str">
        <x:v>CONFIRMED</x:v>
      </x:c>
      <x:c r="V107" s="369" t="str">
        <x:v>EXCLUDED_UNTIL_3.1C</x:v>
      </x:c>
      <x:c r="W107" s="369" t="str"/>
      <x:c r="X107" s="369" t="str">
        <x:v>NONE</x:v>
      </x:c>
      <x:c r="Y107" s="369" t="str"/>
    </x:row>
    <x:row r="108" ht="62" customHeight="1">
      <x:c r="A108" s="19" t="str">
        <x:v>B31-C103</x:v>
      </x:c>
      <x:c r="B108" s="19" t="str">
        <x:v>B31_SRC_N90_WEB</x:v>
      </x:c>
      <x:c r="C108" s="19" t="str">
        <x:v>TECH_RELEASE_20260730</x:v>
      </x:c>
      <x:c r="D108" s="19" t="str">
        <x:v>N90独立产品页对应章节</x:v>
      </x:c>
      <x:c r="E108" s="19" t="str">
        <x:v>后向固态激光雷达，2cm精度，140°×105°视角</x:v>
      </x:c>
      <x:c r="F108" s="19" t="str"/>
      <x:c r="G108" s="19" t="str">
        <x:v>PC-N90-MAX-CAND</x:v>
      </x:c>
      <x:c r="H108" s="19" t="str">
        <x:v>rear_solid_state_lidar</x:v>
      </x:c>
      <x:c r="I108" s="19" t="str">
        <x:v>ADAS</x:v>
      </x:c>
      <x:c r="J108" s="19" t="str">
        <x:v>VALUE</x:v>
      </x:c>
      <x:c r="K108" s="19" t="str">
        <x:v>TEXT</x:v>
      </x:c>
      <x:c r="L108" s="152" t="str"/>
      <x:c r="M108" s="19" t="str">
        <x:v>后向固态激光雷达</x:v>
      </x:c>
      <x:c r="N108" s="19" t="str"/>
      <x:c r="O108" s="19" t="str">
        <x:v>N90_MAX</x:v>
      </x:c>
      <x:c r="P108" s="19" t="str">
        <x:v>EQUIPPED_CLAIM</x:v>
      </x:c>
      <x:c r="Q108" s="19" t="str">
        <x:v>搭载/配备/页面展示</x:v>
      </x:c>
      <x:c r="R108" s="19" t="str">
        <x:v>EQUIPPED_STANDARD_UNCONFIRMED</x:v>
      </x:c>
      <x:c r="S108" s="19" t="str">
        <x:v>AS_OF_2026-08-04_PRELAUNCH</x:v>
      </x:c>
      <x:c r="T108" s="19" t="str">
        <x:v>POSITIVE</x:v>
      </x:c>
      <x:c r="U108" s="19" t="str">
        <x:v>CONFIRMED</x:v>
      </x:c>
      <x:c r="V108" s="19" t="str">
        <x:v>EXCLUDED_UNTIL_3.1C</x:v>
      </x:c>
      <x:c r="W108" s="19" t="str"/>
      <x:c r="X108" s="19" t="str">
        <x:v>NONE</x:v>
      </x:c>
      <x:c r="Y108" s="19" t="str"/>
    </x:row>
    <x:row r="109" ht="62" customHeight="1">
      <x:c r="A109" s="369" t="str">
        <x:v>B31-C104</x:v>
      </x:c>
      <x:c r="B109" s="369" t="str">
        <x:v>B31_SRC_N90_WEB</x:v>
      </x:c>
      <x:c r="C109" s="369" t="str">
        <x:v>TECH_RELEASE_20260730</x:v>
      </x:c>
      <x:c r="D109" s="369" t="str">
        <x:v>N90独立产品页对应章节</x:v>
      </x:c>
      <x:c r="E109" s="369" t="str">
        <x:v>小米XLA认知大模型 全系标配</x:v>
      </x:c>
      <x:c r="F109" s="369" t="str"/>
      <x:c r="G109" s="369" t="str">
        <x:v>PC-N90-MAX-CAND</x:v>
      </x:c>
      <x:c r="H109" s="369" t="str">
        <x:v>xiaomi_xla</x:v>
      </x:c>
      <x:c r="I109" s="369" t="str">
        <x:v>ADAS</x:v>
      </x:c>
      <x:c r="J109" s="369" t="str">
        <x:v>VALUE</x:v>
      </x:c>
      <x:c r="K109" s="369" t="str">
        <x:v>TEXT</x:v>
      </x:c>
      <x:c r="L109" s="373" t="str"/>
      <x:c r="M109" s="369" t="str">
        <x:v>小米XLA认知大模型</x:v>
      </x:c>
      <x:c r="N109" s="369" t="str"/>
      <x:c r="O109" s="369" t="str">
        <x:v>N90_MAX</x:v>
      </x:c>
      <x:c r="P109" s="369" t="str">
        <x:v>EXPLICIT_STANDARD</x:v>
      </x:c>
      <x:c r="Q109" s="369" t="str">
        <x:v>全系标配</x:v>
      </x:c>
      <x:c r="R109" s="369" t="str">
        <x:v>STANDARD_AT_RELEASE</x:v>
      </x:c>
      <x:c r="S109" s="369" t="str">
        <x:v>AS_OF_2026-08-04_PRELAUNCH</x:v>
      </x:c>
      <x:c r="T109" s="369" t="str">
        <x:v>POSITIVE</x:v>
      </x:c>
      <x:c r="U109" s="369" t="str">
        <x:v>CONFIRMED</x:v>
      </x:c>
      <x:c r="V109" s="369" t="str">
        <x:v>INCLUDED_TEMP_BOM</x:v>
      </x:c>
      <x:c r="W109" s="369" t="str"/>
      <x:c r="X109" s="369" t="str">
        <x:v>NONE</x:v>
      </x:c>
      <x:c r="Y109" s="369" t="str"/>
    </x:row>
    <x:row r="110" ht="62" customHeight="1">
      <x:c r="A110" s="19" t="str">
        <x:v>B31-C105</x:v>
      </x:c>
      <x:c r="B110" s="19" t="str">
        <x:v>B31_SRC_N90_WEB</x:v>
      </x:c>
      <x:c r="C110" s="19" t="str">
        <x:v>TECH_RELEASE_20260730</x:v>
      </x:c>
      <x:c r="D110" s="19" t="str">
        <x:v>L103-L181/L208-L245</x:v>
      </x:c>
      <x:c r="E110" s="19" t="str">
        <x:v>可选智能电动门</x:v>
      </x:c>
      <x:c r="F110" s="19" t="str"/>
      <x:c r="G110" s="19" t="str">
        <x:v>PC-N90-MAX-CAND</x:v>
      </x:c>
      <x:c r="H110" s="19" t="str">
        <x:v>smart_power_doors</x:v>
      </x:c>
      <x:c r="I110" s="19" t="str">
        <x:v>EXTERIOR</x:v>
      </x:c>
      <x:c r="J110" s="19" t="str">
        <x:v>VALUE</x:v>
      </x:c>
      <x:c r="K110" s="19" t="str">
        <x:v>TEXT</x:v>
      </x:c>
      <x:c r="L110" s="152" t="str"/>
      <x:c r="M110" s="19" t="str">
        <x:v>智能电动门</x:v>
      </x:c>
      <x:c r="N110" s="19" t="str"/>
      <x:c r="O110" s="19" t="str">
        <x:v>N90_MAX</x:v>
      </x:c>
      <x:c r="P110" s="19" t="str">
        <x:v>EXPLICIT_OPTIONAL</x:v>
      </x:c>
      <x:c r="Q110" s="19" t="str">
        <x:v>可选/可选装</x:v>
      </x:c>
      <x:c r="R110" s="19" t="str">
        <x:v>OPTIONAL_AT_RELEASE</x:v>
      </x:c>
      <x:c r="S110" s="19" t="str">
        <x:v>AS_OF_2026-08-04_PRELAUNCH</x:v>
      </x:c>
      <x:c r="T110" s="19" t="str">
        <x:v>POSITIVE</x:v>
      </x:c>
      <x:c r="U110" s="19" t="str">
        <x:v>CONFIRMED</x:v>
      </x:c>
      <x:c r="V110" s="19" t="str">
        <x:v>MODEL_EXCLUDED</x:v>
      </x:c>
      <x:c r="W110" s="19" t="str"/>
      <x:c r="X110" s="19" t="str">
        <x:v>NONE</x:v>
      </x:c>
      <x:c r="Y110" s="19" t="str"/>
    </x:row>
    <x:row r="111" ht="62" customHeight="1">
      <x:c r="A111" s="369" t="str">
        <x:v>B31-C106</x:v>
      </x:c>
      <x:c r="B111" s="369" t="str">
        <x:v>B31_SRC_N90_WEB</x:v>
      </x:c>
      <x:c r="C111" s="369" t="str">
        <x:v>TECH_RELEASE_20260730</x:v>
      </x:c>
      <x:c r="D111" s="369" t="str">
        <x:v>L103-L181/L208-L245</x:v>
      </x:c>
      <x:c r="E111" s="369" t="str">
        <x:v>电动迎宾踏板可选</x:v>
      </x:c>
      <x:c r="F111" s="369" t="str"/>
      <x:c r="G111" s="369" t="str">
        <x:v>PC-N90-MAX-CAND</x:v>
      </x:c>
      <x:c r="H111" s="369" t="str">
        <x:v>power_running_boards</x:v>
      </x:c>
      <x:c r="I111" s="369" t="str">
        <x:v>EXTERIOR</x:v>
      </x:c>
      <x:c r="J111" s="369" t="str">
        <x:v>VALUE</x:v>
      </x:c>
      <x:c r="K111" s="369" t="str">
        <x:v>TEXT</x:v>
      </x:c>
      <x:c r="L111" s="373" t="str"/>
      <x:c r="M111" s="369" t="str">
        <x:v>电动迎宾踏板</x:v>
      </x:c>
      <x:c r="N111" s="369" t="str"/>
      <x:c r="O111" s="369" t="str">
        <x:v>N90_MAX</x:v>
      </x:c>
      <x:c r="P111" s="369" t="str">
        <x:v>EXPLICIT_OPTIONAL</x:v>
      </x:c>
      <x:c r="Q111" s="369" t="str">
        <x:v>可选/可选装</x:v>
      </x:c>
      <x:c r="R111" s="369" t="str">
        <x:v>OPTIONAL_AT_RELEASE</x:v>
      </x:c>
      <x:c r="S111" s="369" t="str">
        <x:v>AS_OF_2026-08-04_PRELAUNCH</x:v>
      </x:c>
      <x:c r="T111" s="369" t="str">
        <x:v>POSITIVE</x:v>
      </x:c>
      <x:c r="U111" s="369" t="str">
        <x:v>CONFIRMED</x:v>
      </x:c>
      <x:c r="V111" s="369" t="str">
        <x:v>MODEL_EXCLUDED</x:v>
      </x:c>
      <x:c r="W111" s="369" t="str"/>
      <x:c r="X111" s="369" t="str">
        <x:v>NONE</x:v>
      </x:c>
      <x:c r="Y111" s="369" t="str"/>
    </x:row>
    <x:row r="112" ht="62" customHeight="1">
      <x:c r="A112" s="19" t="str">
        <x:v>B31-C107</x:v>
      </x:c>
      <x:c r="B112" s="19" t="str">
        <x:v>B31_SRC_N90_WEB</x:v>
      </x:c>
      <x:c r="C112" s="19" t="str">
        <x:v>TECH_RELEASE_20260730</x:v>
      </x:c>
      <x:c r="D112" s="19" t="str">
        <x:v>L103-L181/L208-L245</x:v>
      </x:c>
      <x:c r="E112" s="19" t="str">
        <x:v>可选装电动旋转一排座椅</x:v>
      </x:c>
      <x:c r="F112" s="19" t="str"/>
      <x:c r="G112" s="19" t="str">
        <x:v>PC-N90-MAX-CAND</x:v>
      </x:c>
      <x:c r="H112" s="19" t="str">
        <x:v>front_swivel_seats</x:v>
      </x:c>
      <x:c r="I112" s="19" t="str">
        <x:v>COMFORT</x:v>
      </x:c>
      <x:c r="J112" s="19" t="str">
        <x:v>VALUE</x:v>
      </x:c>
      <x:c r="K112" s="19" t="str">
        <x:v>TEXT</x:v>
      </x:c>
      <x:c r="L112" s="152" t="str"/>
      <x:c r="M112" s="19" t="str">
        <x:v>一排电动旋转座椅</x:v>
      </x:c>
      <x:c r="N112" s="19" t="str"/>
      <x:c r="O112" s="19" t="str">
        <x:v>N90_MAX</x:v>
      </x:c>
      <x:c r="P112" s="19" t="str">
        <x:v>EXPLICIT_OPTIONAL</x:v>
      </x:c>
      <x:c r="Q112" s="19" t="str">
        <x:v>可选/可选装</x:v>
      </x:c>
      <x:c r="R112" s="19" t="str">
        <x:v>OPTIONAL_AT_RELEASE</x:v>
      </x:c>
      <x:c r="S112" s="19" t="str">
        <x:v>AS_OF_2026-08-04_PRELAUNCH</x:v>
      </x:c>
      <x:c r="T112" s="19" t="str">
        <x:v>POSITIVE</x:v>
      </x:c>
      <x:c r="U112" s="19" t="str">
        <x:v>CONFIRMED</x:v>
      </x:c>
      <x:c r="V112" s="19" t="str">
        <x:v>MODEL_EXCLUDED</x:v>
      </x:c>
      <x:c r="W112" s="19" t="str"/>
      <x:c r="X112" s="19" t="str">
        <x:v>NONE</x:v>
      </x:c>
      <x:c r="Y112" s="19" t="str"/>
    </x:row>
    <x:row r="113" ht="62" customHeight="1">
      <x:c r="A113" s="369" t="str">
        <x:v>B31-C108</x:v>
      </x:c>
      <x:c r="B113" s="369" t="str">
        <x:v>B31_SRC_N90_WEB</x:v>
      </x:c>
      <x:c r="C113" s="369" t="str">
        <x:v>TECH_RELEASE_20260730</x:v>
      </x:c>
      <x:c r="D113" s="369" t="str">
        <x:v>L103-L181/L208-L245</x:v>
      </x:c>
      <x:c r="E113" s="369" t="str">
        <x:v>全车最多可选4把零重力座椅</x:v>
      </x:c>
      <x:c r="F113" s="369" t="str"/>
      <x:c r="G113" s="369" t="str">
        <x:v>PC-N90-MAX-CAND</x:v>
      </x:c>
      <x:c r="H113" s="369" t="str">
        <x:v>zero_gravity_seats</x:v>
      </x:c>
      <x:c r="I113" s="369" t="str">
        <x:v>COMFORT</x:v>
      </x:c>
      <x:c r="J113" s="369" t="str">
        <x:v>VALUE</x:v>
      </x:c>
      <x:c r="K113" s="369" t="str">
        <x:v>TEXT</x:v>
      </x:c>
      <x:c r="L113" s="373" t="str"/>
      <x:c r="M113" s="369" t="str">
        <x:v>全车最多4把零重力座椅</x:v>
      </x:c>
      <x:c r="N113" s="369" t="str"/>
      <x:c r="O113" s="369" t="str">
        <x:v>N90_MAX</x:v>
      </x:c>
      <x:c r="P113" s="369" t="str">
        <x:v>EXPLICIT_OPTIONAL</x:v>
      </x:c>
      <x:c r="Q113" s="369" t="str">
        <x:v>可选/可选装</x:v>
      </x:c>
      <x:c r="R113" s="369" t="str">
        <x:v>OPTIONAL_AT_RELEASE</x:v>
      </x:c>
      <x:c r="S113" s="369" t="str">
        <x:v>AS_OF_2026-08-04_PRELAUNCH</x:v>
      </x:c>
      <x:c r="T113" s="369" t="str">
        <x:v>POSITIVE</x:v>
      </x:c>
      <x:c r="U113" s="369" t="str">
        <x:v>CONFIRMED</x:v>
      </x:c>
      <x:c r="V113" s="369" t="str">
        <x:v>MODEL_EXCLUDED</x:v>
      </x:c>
      <x:c r="W113" s="369" t="str"/>
      <x:c r="X113" s="369" t="str">
        <x:v>NONE</x:v>
      </x:c>
      <x:c r="Y113" s="369" t="str"/>
    </x:row>
    <x:row r="114" ht="62" customHeight="1">
      <x:c r="A114" s="19" t="str">
        <x:v>B31-C109</x:v>
      </x:c>
      <x:c r="B114" s="19" t="str">
        <x:v>B31_SRC_N90_WEB</x:v>
      </x:c>
      <x:c r="C114" s="19" t="str">
        <x:v>TECH_RELEASE_20260730</x:v>
      </x:c>
      <x:c r="D114" s="19" t="str">
        <x:v>L103-L181/L208-L245</x:v>
      </x:c>
      <x:c r="E114" s="19" t="str">
        <x:v>四款轮毂设计可选</x:v>
      </x:c>
      <x:c r="F114" s="19" t="str"/>
      <x:c r="G114" s="19" t="str">
        <x:v>PC-N90-MAX-CAND</x:v>
      </x:c>
      <x:c r="H114" s="19" t="str">
        <x:v>wheel_designs_21</x:v>
      </x:c>
      <x:c r="I114" s="19" t="str">
        <x:v>EXTERIOR</x:v>
      </x:c>
      <x:c r="J114" s="19" t="str">
        <x:v>VALUE</x:v>
      </x:c>
      <x:c r="K114" s="19" t="str">
        <x:v>TEXT</x:v>
      </x:c>
      <x:c r="L114" s="152" t="str"/>
      <x:c r="M114" s="19" t="str">
        <x:v>四款21英寸轮毂造型</x:v>
      </x:c>
      <x:c r="N114" s="19" t="str"/>
      <x:c r="O114" s="19" t="str">
        <x:v>N90_MAX</x:v>
      </x:c>
      <x:c r="P114" s="19" t="str">
        <x:v>EXPLICIT_OPTIONAL</x:v>
      </x:c>
      <x:c r="Q114" s="19" t="str">
        <x:v>可选/可选装</x:v>
      </x:c>
      <x:c r="R114" s="19" t="str">
        <x:v>OPTIONAL_AT_RELEASE</x:v>
      </x:c>
      <x:c r="S114" s="19" t="str">
        <x:v>AS_OF_2026-08-04_PRELAUNCH</x:v>
      </x:c>
      <x:c r="T114" s="19" t="str">
        <x:v>POSITIVE</x:v>
      </x:c>
      <x:c r="U114" s="19" t="str">
        <x:v>CONFIRMED</x:v>
      </x:c>
      <x:c r="V114" s="19" t="str">
        <x:v>MODEL_EXCLUDED</x:v>
      </x:c>
      <x:c r="W114" s="19" t="str"/>
      <x:c r="X114" s="19" t="str">
        <x:v>NONE</x:v>
      </x:c>
      <x:c r="Y114" s="19" t="str"/>
    </x:row>
    <x:row r="115" ht="62" customHeight="1">
      <x:c r="A115" s="369" t="str">
        <x:v>B31-C110</x:v>
      </x:c>
      <x:c r="B115" s="369" t="str">
        <x:v>B31_SRC_N90_WEB</x:v>
      </x:c>
      <x:c r="C115" s="369" t="str">
        <x:v>TECH_RELEASE_20260730</x:v>
      </x:c>
      <x:c r="D115" s="369" t="str">
        <x:v>L103-L181/L208-L245</x:v>
      </x:c>
      <x:c r="E115" s="369" t="str">
        <x:v>前格栅饰板提供多种替换方案可选</x:v>
      </x:c>
      <x:c r="F115" s="369" t="str"/>
      <x:c r="G115" s="369" t="str">
        <x:v>PC-N90-MAX-CAND</x:v>
      </x:c>
      <x:c r="H115" s="369" t="str">
        <x:v>grille_trim</x:v>
      </x:c>
      <x:c r="I115" s="369" t="str">
        <x:v>EXTERIOR</x:v>
      </x:c>
      <x:c r="J115" s="369" t="str">
        <x:v>VALUE</x:v>
      </x:c>
      <x:c r="K115" s="369" t="str">
        <x:v>TEXT</x:v>
      </x:c>
      <x:c r="L115" s="373" t="str"/>
      <x:c r="M115" s="369" t="str">
        <x:v>个性化前格栅饰板</x:v>
      </x:c>
      <x:c r="N115" s="369" t="str"/>
      <x:c r="O115" s="369" t="str">
        <x:v>N90_MAX</x:v>
      </x:c>
      <x:c r="P115" s="369" t="str">
        <x:v>EXPLICIT_OPTIONAL</x:v>
      </x:c>
      <x:c r="Q115" s="369" t="str">
        <x:v>可选/可选装</x:v>
      </x:c>
      <x:c r="R115" s="369" t="str">
        <x:v>OPTIONAL_AT_RELEASE</x:v>
      </x:c>
      <x:c r="S115" s="369" t="str">
        <x:v>AS_OF_2026-08-04_PRELAUNCH</x:v>
      </x:c>
      <x:c r="T115" s="369" t="str">
        <x:v>POSITIVE</x:v>
      </x:c>
      <x:c r="U115" s="369" t="str">
        <x:v>CONFIRMED</x:v>
      </x:c>
      <x:c r="V115" s="369" t="str">
        <x:v>MODEL_EXCLUDED</x:v>
      </x:c>
      <x:c r="W115" s="369" t="str"/>
      <x:c r="X115" s="369" t="str">
        <x:v>NONE</x:v>
      </x:c>
      <x:c r="Y115" s="369" t="str"/>
    </x:row>
    <x:row r="116" ht="62" customHeight="1">
      <x:c r="A116" s="19" t="str">
        <x:v>B31-C111</x:v>
      </x:c>
      <x:c r="B116" s="19" t="str">
        <x:v>B31_SRC_N90_WEB</x:v>
      </x:c>
      <x:c r="C116" s="19" t="str">
        <x:v>TECH_RELEASE_20260730</x:v>
      </x:c>
      <x:c r="D116" s="19" t="str">
        <x:v>L231-L270/L617-L619</x:v>
      </x:c>
      <x:c r="E116" s="19" t="str">
        <x:v>车载桌板需单独购买</x:v>
      </x:c>
      <x:c r="F116" s="19" t="str"/>
      <x:c r="G116" s="19" t="str">
        <x:v>PC-N90-MAX-CAND</x:v>
      </x:c>
      <x:c r="H116" s="19" t="str">
        <x:v>vehicle_table</x:v>
      </x:c>
      <x:c r="I116" s="19" t="str">
        <x:v>ACCESSORY</x:v>
      </x:c>
      <x:c r="J116" s="19" t="str">
        <x:v>VALUE</x:v>
      </x:c>
      <x:c r="K116" s="19" t="str">
        <x:v>TEXT</x:v>
      </x:c>
      <x:c r="L116" s="152" t="str"/>
      <x:c r="M116" s="19" t="str">
        <x:v>600×420mm车载桌板</x:v>
      </x:c>
      <x:c r="N116" s="19" t="str"/>
      <x:c r="O116" s="19" t="str">
        <x:v>N90_MAX</x:v>
      </x:c>
      <x:c r="P116" s="19" t="str">
        <x:v>EXPLICIT_SEPARATE_PURCHASE</x:v>
      </x:c>
      <x:c r="Q116" s="19" t="str">
        <x:v>需单独/自行购买</x:v>
      </x:c>
      <x:c r="R116" s="19" t="str">
        <x:v>SEPARATE_PURCHASE</x:v>
      </x:c>
      <x:c r="S116" s="19" t="str">
        <x:v>AS_OF_2026-08-04_PRELAUNCH</x:v>
      </x:c>
      <x:c r="T116" s="19" t="str">
        <x:v>POSITIVE</x:v>
      </x:c>
      <x:c r="U116" s="19" t="str">
        <x:v>CONFIRMED</x:v>
      </x:c>
      <x:c r="V116" s="19" t="str">
        <x:v>MODEL_EXCLUDED</x:v>
      </x:c>
      <x:c r="W116" s="19" t="str"/>
      <x:c r="X116" s="19" t="str">
        <x:v>NONE</x:v>
      </x:c>
      <x:c r="Y116" s="19" t="str"/>
    </x:row>
    <x:row r="117" ht="62" customHeight="1">
      <x:c r="A117" s="369" t="str">
        <x:v>B31-C112</x:v>
      </x:c>
      <x:c r="B117" s="369" t="str">
        <x:v>B31_SRC_N90_WEB</x:v>
      </x:c>
      <x:c r="C117" s="369" t="str">
        <x:v>TECH_RELEASE_20260730</x:v>
      </x:c>
      <x:c r="D117" s="369" t="str">
        <x:v>L231-L270/L617-L619</x:v>
      </x:c>
      <x:c r="E117" s="369" t="str">
        <x:v>床垫需要单独购买</x:v>
      </x:c>
      <x:c r="F117" s="369" t="str"/>
      <x:c r="G117" s="369" t="str">
        <x:v>PC-N90-MAX-CAND</x:v>
      </x:c>
      <x:c r="H117" s="369" t="str">
        <x:v>mattress</x:v>
      </x:c>
      <x:c r="I117" s="369" t="str">
        <x:v>ACCESSORY</x:v>
      </x:c>
      <x:c r="J117" s="369" t="str">
        <x:v>VALUE</x:v>
      </x:c>
      <x:c r="K117" s="369" t="str">
        <x:v>TEXT</x:v>
      </x:c>
      <x:c r="L117" s="373" t="str"/>
      <x:c r="M117" s="369" t="str">
        <x:v>专用床垫</x:v>
      </x:c>
      <x:c r="N117" s="369" t="str"/>
      <x:c r="O117" s="369" t="str">
        <x:v>N90_MAX</x:v>
      </x:c>
      <x:c r="P117" s="369" t="str">
        <x:v>EXPLICIT_SEPARATE_PURCHASE</x:v>
      </x:c>
      <x:c r="Q117" s="369" t="str">
        <x:v>需单独/自行购买</x:v>
      </x:c>
      <x:c r="R117" s="369" t="str">
        <x:v>SEPARATE_PURCHASE</x:v>
      </x:c>
      <x:c r="S117" s="369" t="str">
        <x:v>AS_OF_2026-08-04_PRELAUNCH</x:v>
      </x:c>
      <x:c r="T117" s="369" t="str">
        <x:v>POSITIVE</x:v>
      </x:c>
      <x:c r="U117" s="369" t="str">
        <x:v>CONFIRMED</x:v>
      </x:c>
      <x:c r="V117" s="369" t="str">
        <x:v>MODEL_EXCLUDED</x:v>
      </x:c>
      <x:c r="W117" s="369" t="str"/>
      <x:c r="X117" s="369" t="str">
        <x:v>NONE</x:v>
      </x:c>
      <x:c r="Y117" s="369" t="str"/>
    </x:row>
    <x:row r="118" ht="62" customHeight="1">
      <x:c r="A118" s="19" t="str">
        <x:v>B31-C113</x:v>
      </x:c>
      <x:c r="B118" s="19" t="str">
        <x:v>B31_SRC_N90_WEB</x:v>
      </x:c>
      <x:c r="C118" s="19" t="str">
        <x:v>TECH_RELEASE_20260730</x:v>
      </x:c>
      <x:c r="D118" s="19" t="str">
        <x:v>L231-L270/L617-L619</x:v>
      </x:c>
      <x:c r="E118" s="19" t="str">
        <x:v>隐私帘需要单独购买</x:v>
      </x:c>
      <x:c r="F118" s="19" t="str"/>
      <x:c r="G118" s="19" t="str">
        <x:v>PC-N90-MAX-CAND</x:v>
      </x:c>
      <x:c r="H118" s="19" t="str">
        <x:v>privacy_curtains</x:v>
      </x:c>
      <x:c r="I118" s="19" t="str">
        <x:v>ACCESSORY</x:v>
      </x:c>
      <x:c r="J118" s="19" t="str">
        <x:v>VALUE</x:v>
      </x:c>
      <x:c r="K118" s="19" t="str">
        <x:v>TEXT</x:v>
      </x:c>
      <x:c r="L118" s="152" t="str"/>
      <x:c r="M118" s="19" t="str">
        <x:v>隐私帘</x:v>
      </x:c>
      <x:c r="N118" s="19" t="str"/>
      <x:c r="O118" s="19" t="str">
        <x:v>N90_MAX</x:v>
      </x:c>
      <x:c r="P118" s="19" t="str">
        <x:v>EXPLICIT_SEPARATE_PURCHASE</x:v>
      </x:c>
      <x:c r="Q118" s="19" t="str">
        <x:v>需单独/自行购买</x:v>
      </x:c>
      <x:c r="R118" s="19" t="str">
        <x:v>SEPARATE_PURCHASE</x:v>
      </x:c>
      <x:c r="S118" s="19" t="str">
        <x:v>AS_OF_2026-08-04_PRELAUNCH</x:v>
      </x:c>
      <x:c r="T118" s="19" t="str">
        <x:v>POSITIVE</x:v>
      </x:c>
      <x:c r="U118" s="19" t="str">
        <x:v>CONFIRMED</x:v>
      </x:c>
      <x:c r="V118" s="19" t="str">
        <x:v>MODEL_EXCLUDED</x:v>
      </x:c>
      <x:c r="W118" s="19" t="str"/>
      <x:c r="X118" s="19" t="str">
        <x:v>NONE</x:v>
      </x:c>
      <x:c r="Y118" s="19" t="str"/>
    </x:row>
    <x:row r="119" ht="62" customHeight="1">
      <x:c r="A119" s="369" t="str">
        <x:v>B31-C114</x:v>
      </x:c>
      <x:c r="B119" s="369" t="str">
        <x:v>B31_SRC_N90_WEB</x:v>
      </x:c>
      <x:c r="C119" s="369" t="str">
        <x:v>TECH_RELEASE_20260730</x:v>
      </x:c>
      <x:c r="D119" s="369" t="str">
        <x:v>L231-L270/L617-L619</x:v>
      </x:c>
      <x:c r="E119" s="369" t="str">
        <x:v>尾帐需单独购买</x:v>
      </x:c>
      <x:c r="F119" s="369" t="str"/>
      <x:c r="G119" s="369" t="str">
        <x:v>PC-N90-MAX-CAND</x:v>
      </x:c>
      <x:c r="H119" s="369" t="str">
        <x:v>tail_tent</x:v>
      </x:c>
      <x:c r="I119" s="369" t="str">
        <x:v>ACCESSORY</x:v>
      </x:c>
      <x:c r="J119" s="369" t="str">
        <x:v>VALUE</x:v>
      </x:c>
      <x:c r="K119" s="369" t="str">
        <x:v>TEXT</x:v>
      </x:c>
      <x:c r="L119" s="373" t="str"/>
      <x:c r="M119" s="369" t="str">
        <x:v>尾帐</x:v>
      </x:c>
      <x:c r="N119" s="369" t="str"/>
      <x:c r="O119" s="369" t="str">
        <x:v>N90_MAX</x:v>
      </x:c>
      <x:c r="P119" s="369" t="str">
        <x:v>EXPLICIT_SEPARATE_PURCHASE</x:v>
      </x:c>
      <x:c r="Q119" s="369" t="str">
        <x:v>需单独/自行购买</x:v>
      </x:c>
      <x:c r="R119" s="369" t="str">
        <x:v>SEPARATE_PURCHASE</x:v>
      </x:c>
      <x:c r="S119" s="369" t="str">
        <x:v>AS_OF_2026-08-04_PRELAUNCH</x:v>
      </x:c>
      <x:c r="T119" s="369" t="str">
        <x:v>POSITIVE</x:v>
      </x:c>
      <x:c r="U119" s="369" t="str">
        <x:v>CONFIRMED</x:v>
      </x:c>
      <x:c r="V119" s="369" t="str">
        <x:v>MODEL_EXCLUDED</x:v>
      </x:c>
      <x:c r="W119" s="369" t="str"/>
      <x:c r="X119" s="369" t="str">
        <x:v>NONE</x:v>
      </x:c>
      <x:c r="Y119" s="369" t="str"/>
    </x:row>
    <x:row r="120" ht="62" customHeight="1">
      <x:c r="A120" s="19" t="str">
        <x:v>B31-C115</x:v>
      </x:c>
      <x:c r="B120" s="19" t="str">
        <x:v>B31_SRC_N90_WEB</x:v>
      </x:c>
      <x:c r="C120" s="19" t="str">
        <x:v>TECH_RELEASE_20260730</x:v>
      </x:c>
      <x:c r="D120" s="19" t="str">
        <x:v>L231-L270/L617-L619</x:v>
      </x:c>
      <x:c r="E120" s="19" t="str">
        <x:v>车边帐需单独购买</x:v>
      </x:c>
      <x:c r="F120" s="19" t="str"/>
      <x:c r="G120" s="19" t="str">
        <x:v>PC-N90-MAX-CAND</x:v>
      </x:c>
      <x:c r="H120" s="19" t="str">
        <x:v>side_tent</x:v>
      </x:c>
      <x:c r="I120" s="19" t="str">
        <x:v>ACCESSORY</x:v>
      </x:c>
      <x:c r="J120" s="19" t="str">
        <x:v>VALUE</x:v>
      </x:c>
      <x:c r="K120" s="19" t="str">
        <x:v>TEXT</x:v>
      </x:c>
      <x:c r="L120" s="152" t="str"/>
      <x:c r="M120" s="19" t="str">
        <x:v>车边帐</x:v>
      </x:c>
      <x:c r="N120" s="19" t="str"/>
      <x:c r="O120" s="19" t="str">
        <x:v>N90_MAX</x:v>
      </x:c>
      <x:c r="P120" s="19" t="str">
        <x:v>EXPLICIT_SEPARATE_PURCHASE</x:v>
      </x:c>
      <x:c r="Q120" s="19" t="str">
        <x:v>需单独/自行购买</x:v>
      </x:c>
      <x:c r="R120" s="19" t="str">
        <x:v>SEPARATE_PURCHASE</x:v>
      </x:c>
      <x:c r="S120" s="19" t="str">
        <x:v>AS_OF_2026-08-04_PRELAUNCH</x:v>
      </x:c>
      <x:c r="T120" s="19" t="str">
        <x:v>POSITIVE</x:v>
      </x:c>
      <x:c r="U120" s="19" t="str">
        <x:v>CONFIRMED</x:v>
      </x:c>
      <x:c r="V120" s="19" t="str">
        <x:v>MODEL_EXCLUDED</x:v>
      </x:c>
      <x:c r="W120" s="19" t="str"/>
      <x:c r="X120" s="19" t="str">
        <x:v>NONE</x:v>
      </x:c>
      <x:c r="Y120" s="19" t="str"/>
    </x:row>
    <x:row r="121" ht="62" customHeight="1">
      <x:c r="A121" s="369" t="str">
        <x:v>B31-C116</x:v>
      </x:c>
      <x:c r="B121" s="369" t="str">
        <x:v>B31_SRC_N90_WEB</x:v>
      </x:c>
      <x:c r="C121" s="369" t="str">
        <x:v>TECH_RELEASE_20260730</x:v>
      </x:c>
      <x:c r="D121" s="369" t="str">
        <x:v>L231-L270/L617-L619</x:v>
      </x:c>
      <x:c r="E121" s="369" t="str">
        <x:v>副驾靠背扩展Pad需自行购买</x:v>
      </x:c>
      <x:c r="F121" s="369" t="str"/>
      <x:c r="G121" s="369" t="str">
        <x:v>PC-N90-MAX-CAND</x:v>
      </x:c>
      <x:c r="H121" s="369" t="str">
        <x:v>passenger_seat_pad</x:v>
      </x:c>
      <x:c r="I121" s="369" t="str">
        <x:v>ACCESSORY</x:v>
      </x:c>
      <x:c r="J121" s="369" t="str">
        <x:v>VALUE</x:v>
      </x:c>
      <x:c r="K121" s="369" t="str">
        <x:v>TEXT</x:v>
      </x:c>
      <x:c r="L121" s="373" t="str"/>
      <x:c r="M121" s="369" t="str">
        <x:v>副驾靠背扩展Pad</x:v>
      </x:c>
      <x:c r="N121" s="369" t="str"/>
      <x:c r="O121" s="369" t="str">
        <x:v>N90_MAX</x:v>
      </x:c>
      <x:c r="P121" s="369" t="str">
        <x:v>EXPLICIT_SEPARATE_PURCHASE</x:v>
      </x:c>
      <x:c r="Q121" s="369" t="str">
        <x:v>需单独/自行购买</x:v>
      </x:c>
      <x:c r="R121" s="369" t="str">
        <x:v>SEPARATE_PURCHASE</x:v>
      </x:c>
      <x:c r="S121" s="369" t="str">
        <x:v>AS_OF_2026-08-04_PRELAUNCH</x:v>
      </x:c>
      <x:c r="T121" s="369" t="str">
        <x:v>POSITIVE</x:v>
      </x:c>
      <x:c r="U121" s="369" t="str">
        <x:v>CONFIRMED</x:v>
      </x:c>
      <x:c r="V121" s="369" t="str">
        <x:v>MODEL_EXCLUDED</x:v>
      </x:c>
      <x:c r="W121" s="369" t="str"/>
      <x:c r="X121" s="369" t="str">
        <x:v>NONE</x:v>
      </x:c>
      <x:c r="Y121" s="369" t="str"/>
    </x:row>
    <x:row r="122" ht="62" customHeight="1">
      <x:c r="A122" s="19" t="str">
        <x:v>B31-C117</x:v>
      </x:c>
      <x:c r="B122" s="19" t="str">
        <x:v>B31_SRC_N70_POWER</x:v>
      </x:c>
      <x:c r="C122" s="19" t="str">
        <x:v>TECH_RELEASE_20260730</x:v>
      </x:c>
      <x:c r="D122" s="19" t="str"/>
      <x:c r="E122" s="19" t="str">
        <x:v>官方N70 Max单车公开材料未披露</x:v>
      </x:c>
      <x:c r="F122" s="19" t="str"/>
      <x:c r="G122" s="19" t="str">
        <x:v>PC-N70-MAX-CAND</x:v>
      </x:c>
      <x:c r="H122" s="19" t="str">
        <x:v>zero_to_100</x:v>
      </x:c>
      <x:c r="I122" s="19" t="str">
        <x:v>POWERTRAIN</x:v>
      </x:c>
      <x:c r="J122" s="19" t="str">
        <x:v>VALUE</x:v>
      </x:c>
      <x:c r="K122" s="19" t="str">
        <x:v>TEXT</x:v>
      </x:c>
      <x:c r="L122" s="152" t="str"/>
      <x:c r="M122" s="19" t="str">
        <x:v>NOT_DISCLOSED</x:v>
      </x:c>
      <x:c r="N122" s="19" t="str"/>
      <x:c r="O122" s="19" t="str">
        <x:v>N70_MAX</x:v>
      </x:c>
      <x:c r="P122" s="19" t="str">
        <x:v>OMISSION_STATE</x:v>
      </x:c>
      <x:c r="Q122" s="19" t="str">
        <x:v>未披露</x:v>
      </x:c>
      <x:c r="R122" s="19" t="str">
        <x:v>NOT_DISCLOSED</x:v>
      </x:c>
      <x:c r="S122" s="19" t="str">
        <x:v>AS_OF_2026-08-04_PRELAUNCH</x:v>
      </x:c>
      <x:c r="T122" s="19" t="str">
        <x:v>NEUTRAL</x:v>
      </x:c>
      <x:c r="U122" s="19" t="str">
        <x:v>NOT_DISCLOSED</x:v>
      </x:c>
      <x:c r="V122" s="19" t="str">
        <x:v>MODEL_EXCLUDED</x:v>
      </x:c>
      <x:c r="W122" s="19" t="str"/>
      <x:c r="X122" s="19" t="str">
        <x:v>NONE</x:v>
      </x:c>
      <x:c r="Y122" s="19" t="str">
        <x:v>未披露不等于无此配置</x:v>
      </x:c>
    </x:row>
    <x:row r="123" ht="62" customHeight="1">
      <x:c r="A123" s="369" t="str">
        <x:v>B31-C118</x:v>
      </x:c>
      <x:c r="B123" s="369" t="str">
        <x:v>B31_SRC_N70_POWER</x:v>
      </x:c>
      <x:c r="C123" s="369" t="str">
        <x:v>TECH_RELEASE_20260730</x:v>
      </x:c>
      <x:c r="D123" s="369" t="str"/>
      <x:c r="E123" s="369" t="str">
        <x:v>官方N70 Max单车公开材料未披露</x:v>
      </x:c>
      <x:c r="F123" s="369" t="str"/>
      <x:c r="G123" s="369" t="str">
        <x:v>PC-N70-MAX-CAND</x:v>
      </x:c>
      <x:c r="H123" s="369" t="str">
        <x:v>peak_torque</x:v>
      </x:c>
      <x:c r="I123" s="369" t="str">
        <x:v>POWERTRAIN</x:v>
      </x:c>
      <x:c r="J123" s="369" t="str">
        <x:v>VALUE</x:v>
      </x:c>
      <x:c r="K123" s="369" t="str">
        <x:v>TEXT</x:v>
      </x:c>
      <x:c r="L123" s="373" t="str"/>
      <x:c r="M123" s="369" t="str">
        <x:v>NOT_DISCLOSED</x:v>
      </x:c>
      <x:c r="N123" s="369" t="str"/>
      <x:c r="O123" s="369" t="str">
        <x:v>N70_MAX</x:v>
      </x:c>
      <x:c r="P123" s="369" t="str">
        <x:v>OMISSION_STATE</x:v>
      </x:c>
      <x:c r="Q123" s="369" t="str">
        <x:v>未披露</x:v>
      </x:c>
      <x:c r="R123" s="369" t="str">
        <x:v>NOT_DISCLOSED</x:v>
      </x:c>
      <x:c r="S123" s="369" t="str">
        <x:v>AS_OF_2026-08-04_PRELAUNCH</x:v>
      </x:c>
      <x:c r="T123" s="369" t="str">
        <x:v>NEUTRAL</x:v>
      </x:c>
      <x:c r="U123" s="369" t="str">
        <x:v>NOT_DISCLOSED</x:v>
      </x:c>
      <x:c r="V123" s="369" t="str">
        <x:v>MODEL_EXCLUDED</x:v>
      </x:c>
      <x:c r="W123" s="369" t="str"/>
      <x:c r="X123" s="369" t="str">
        <x:v>NONE</x:v>
      </x:c>
      <x:c r="Y123" s="369" t="str">
        <x:v>未披露不等于无此配置</x:v>
      </x:c>
    </x:row>
    <x:row r="124" ht="62" customHeight="1">
      <x:c r="A124" s="19" t="str">
        <x:v>B31-C119</x:v>
      </x:c>
      <x:c r="B124" s="19" t="str">
        <x:v>B31_SRC_N70_POWER</x:v>
      </x:c>
      <x:c r="C124" s="19" t="str">
        <x:v>TECH_RELEASE_20260730</x:v>
      </x:c>
      <x:c r="D124" s="19" t="str"/>
      <x:c r="E124" s="19" t="str">
        <x:v>官方N70 Max单车公开材料未披露</x:v>
      </x:c>
      <x:c r="F124" s="19" t="str"/>
      <x:c r="G124" s="19" t="str">
        <x:v>PC-N70-MAX-CAND</x:v>
      </x:c>
      <x:c r="H124" s="19" t="str">
        <x:v>battery_capacity</x:v>
      </x:c>
      <x:c r="I124" s="19" t="str">
        <x:v>ENERGY</x:v>
      </x:c>
      <x:c r="J124" s="19" t="str">
        <x:v>VALUE</x:v>
      </x:c>
      <x:c r="K124" s="19" t="str">
        <x:v>TEXT</x:v>
      </x:c>
      <x:c r="L124" s="152" t="str"/>
      <x:c r="M124" s="19" t="str">
        <x:v>NOT_DISCLOSED</x:v>
      </x:c>
      <x:c r="N124" s="19" t="str"/>
      <x:c r="O124" s="19" t="str">
        <x:v>N70_MAX</x:v>
      </x:c>
      <x:c r="P124" s="19" t="str">
        <x:v>OMISSION_STATE</x:v>
      </x:c>
      <x:c r="Q124" s="19" t="str">
        <x:v>未披露</x:v>
      </x:c>
      <x:c r="R124" s="19" t="str">
        <x:v>NOT_DISCLOSED</x:v>
      </x:c>
      <x:c r="S124" s="19" t="str">
        <x:v>AS_OF_2026-08-04_PRELAUNCH</x:v>
      </x:c>
      <x:c r="T124" s="19" t="str">
        <x:v>NEUTRAL</x:v>
      </x:c>
      <x:c r="U124" s="19" t="str">
        <x:v>NOT_DISCLOSED</x:v>
      </x:c>
      <x:c r="V124" s="19" t="str">
        <x:v>MODEL_EXCLUDED</x:v>
      </x:c>
      <x:c r="W124" s="19" t="str"/>
      <x:c r="X124" s="19" t="str">
        <x:v>NONE</x:v>
      </x:c>
      <x:c r="Y124" s="19" t="str">
        <x:v>未披露不等于无此配置</x:v>
      </x:c>
    </x:row>
    <x:row r="125" ht="62" customHeight="1">
      <x:c r="A125" s="369" t="str">
        <x:v>B31-C120</x:v>
      </x:c>
      <x:c r="B125" s="369" t="str">
        <x:v>B31_SRC_N70_POWER</x:v>
      </x:c>
      <x:c r="C125" s="369" t="str">
        <x:v>TECH_RELEASE_20260730</x:v>
      </x:c>
      <x:c r="D125" s="369" t="str"/>
      <x:c r="E125" s="369" t="str">
        <x:v>官方N70 Max单车公开材料未披露</x:v>
      </x:c>
      <x:c r="F125" s="369" t="str"/>
      <x:c r="G125" s="369" t="str">
        <x:v>PC-N70-MAX-CAND</x:v>
      </x:c>
      <x:c r="H125" s="369" t="str">
        <x:v>fast_charge_rate</x:v>
      </x:c>
      <x:c r="I125" s="369" t="str">
        <x:v>ENERGY</x:v>
      </x:c>
      <x:c r="J125" s="369" t="str">
        <x:v>VALUE</x:v>
      </x:c>
      <x:c r="K125" s="369" t="str">
        <x:v>TEXT</x:v>
      </x:c>
      <x:c r="L125" s="373" t="str"/>
      <x:c r="M125" s="369" t="str">
        <x:v>NOT_DISCLOSED</x:v>
      </x:c>
      <x:c r="N125" s="369" t="str"/>
      <x:c r="O125" s="369" t="str">
        <x:v>N70_MAX</x:v>
      </x:c>
      <x:c r="P125" s="369" t="str">
        <x:v>OMISSION_STATE</x:v>
      </x:c>
      <x:c r="Q125" s="369" t="str">
        <x:v>未披露</x:v>
      </x:c>
      <x:c r="R125" s="369" t="str">
        <x:v>NOT_DISCLOSED</x:v>
      </x:c>
      <x:c r="S125" s="369" t="str">
        <x:v>AS_OF_2026-08-04_PRELAUNCH</x:v>
      </x:c>
      <x:c r="T125" s="369" t="str">
        <x:v>NEUTRAL</x:v>
      </x:c>
      <x:c r="U125" s="369" t="str">
        <x:v>NOT_DISCLOSED</x:v>
      </x:c>
      <x:c r="V125" s="369" t="str">
        <x:v>MODEL_EXCLUDED</x:v>
      </x:c>
      <x:c r="W125" s="369" t="str"/>
      <x:c r="X125" s="369" t="str">
        <x:v>NONE</x:v>
      </x:c>
      <x:c r="Y125" s="369" t="str">
        <x:v>未披露不等于无此配置</x:v>
      </x:c>
    </x:row>
    <x:row r="126" ht="62" customHeight="1">
      <x:c r="A126" s="19" t="str">
        <x:v>B31-C121</x:v>
      </x:c>
      <x:c r="B126" s="19" t="str">
        <x:v>B31_SRC_N70_POWER</x:v>
      </x:c>
      <x:c r="C126" s="19" t="str">
        <x:v>TECH_RELEASE_20260730</x:v>
      </x:c>
      <x:c r="D126" s="19" t="str"/>
      <x:c r="E126" s="19" t="str">
        <x:v>官方N70 Max单车公开材料未披露</x:v>
      </x:c>
      <x:c r="F126" s="19" t="str"/>
      <x:c r="G126" s="19" t="str">
        <x:v>PC-N70-MAX-CAND</x:v>
      </x:c>
      <x:c r="H126" s="19" t="str">
        <x:v>suspension_layout</x:v>
      </x:c>
      <x:c r="I126" s="19" t="str">
        <x:v>CHASSIS</x:v>
      </x:c>
      <x:c r="J126" s="19" t="str">
        <x:v>VALUE</x:v>
      </x:c>
      <x:c r="K126" s="19" t="str">
        <x:v>TEXT</x:v>
      </x:c>
      <x:c r="L126" s="152" t="str"/>
      <x:c r="M126" s="19" t="str">
        <x:v>NOT_DISCLOSED</x:v>
      </x:c>
      <x:c r="N126" s="19" t="str"/>
      <x:c r="O126" s="19" t="str">
        <x:v>N70_MAX</x:v>
      </x:c>
      <x:c r="P126" s="19" t="str">
        <x:v>OMISSION_STATE</x:v>
      </x:c>
      <x:c r="Q126" s="19" t="str">
        <x:v>未披露</x:v>
      </x:c>
      <x:c r="R126" s="19" t="str">
        <x:v>NOT_DISCLOSED</x:v>
      </x:c>
      <x:c r="S126" s="19" t="str">
        <x:v>AS_OF_2026-08-04_PRELAUNCH</x:v>
      </x:c>
      <x:c r="T126" s="19" t="str">
        <x:v>NEUTRAL</x:v>
      </x:c>
      <x:c r="U126" s="19" t="str">
        <x:v>NOT_DISCLOSED</x:v>
      </x:c>
      <x:c r="V126" s="19" t="str">
        <x:v>MODEL_EXCLUDED</x:v>
      </x:c>
      <x:c r="W126" s="19" t="str"/>
      <x:c r="X126" s="19" t="str">
        <x:v>NONE</x:v>
      </x:c>
      <x:c r="Y126" s="19" t="str">
        <x:v>未披露不等于无此配置</x:v>
      </x:c>
    </x:row>
    <x:row r="127" ht="62" customHeight="1">
      <x:c r="A127" s="369" t="str">
        <x:v>B31-C122</x:v>
      </x:c>
      <x:c r="B127" s="369" t="str">
        <x:v>B31_SRC_N70_POWER</x:v>
      </x:c>
      <x:c r="C127" s="369" t="str">
        <x:v>TECH_RELEASE_20260730</x:v>
      </x:c>
      <x:c r="D127" s="369" t="str"/>
      <x:c r="E127" s="369" t="str">
        <x:v>官方N70 Max单车公开材料未披露</x:v>
      </x:c>
      <x:c r="F127" s="369" t="str"/>
      <x:c r="G127" s="369" t="str">
        <x:v>PC-N70-MAX-CAND</x:v>
      </x:c>
      <x:c r="H127" s="369" t="str">
        <x:v>tire_spec</x:v>
      </x:c>
      <x:c r="I127" s="369" t="str">
        <x:v>CHASSIS</x:v>
      </x:c>
      <x:c r="J127" s="369" t="str">
        <x:v>VALUE</x:v>
      </x:c>
      <x:c r="K127" s="369" t="str">
        <x:v>TEXT</x:v>
      </x:c>
      <x:c r="L127" s="373" t="str"/>
      <x:c r="M127" s="369" t="str">
        <x:v>NOT_DISCLOSED</x:v>
      </x:c>
      <x:c r="N127" s="369" t="str"/>
      <x:c r="O127" s="369" t="str">
        <x:v>N70_MAX</x:v>
      </x:c>
      <x:c r="P127" s="369" t="str">
        <x:v>OMISSION_STATE</x:v>
      </x:c>
      <x:c r="Q127" s="369" t="str">
        <x:v>未披露</x:v>
      </x:c>
      <x:c r="R127" s="369" t="str">
        <x:v>NOT_DISCLOSED</x:v>
      </x:c>
      <x:c r="S127" s="369" t="str">
        <x:v>AS_OF_2026-08-04_PRELAUNCH</x:v>
      </x:c>
      <x:c r="T127" s="369" t="str">
        <x:v>NEUTRAL</x:v>
      </x:c>
      <x:c r="U127" s="369" t="str">
        <x:v>NOT_DISCLOSED</x:v>
      </x:c>
      <x:c r="V127" s="369" t="str">
        <x:v>MODEL_EXCLUDED</x:v>
      </x:c>
      <x:c r="W127" s="369" t="str"/>
      <x:c r="X127" s="369" t="str">
        <x:v>NONE</x:v>
      </x:c>
      <x:c r="Y127" s="369" t="str">
        <x:v>未披露不等于无此配置</x:v>
      </x:c>
    </x:row>
    <x:row r="128" ht="62" customHeight="1">
      <x:c r="A128" s="19" t="str">
        <x:v>B31-C123</x:v>
      </x:c>
      <x:c r="B128" s="19" t="str">
        <x:v>B31_SRC_N70_POWER</x:v>
      </x:c>
      <x:c r="C128" s="19" t="str">
        <x:v>TECH_RELEASE_20260730</x:v>
      </x:c>
      <x:c r="D128" s="19" t="str"/>
      <x:c r="E128" s="19" t="str">
        <x:v>官方N70 Max单车公开材料未披露</x:v>
      </x:c>
      <x:c r="F128" s="19" t="str"/>
      <x:c r="G128" s="19" t="str">
        <x:v>PC-N70-MAX-CAND</x:v>
      </x:c>
      <x:c r="H128" s="19" t="str">
        <x:v>brake_hardware</x:v>
      </x:c>
      <x:c r="I128" s="19" t="str">
        <x:v>CHASSIS</x:v>
      </x:c>
      <x:c r="J128" s="19" t="str">
        <x:v>VALUE</x:v>
      </x:c>
      <x:c r="K128" s="19" t="str">
        <x:v>TEXT</x:v>
      </x:c>
      <x:c r="L128" s="152" t="str"/>
      <x:c r="M128" s="19" t="str">
        <x:v>NOT_DISCLOSED</x:v>
      </x:c>
      <x:c r="N128" s="19" t="str"/>
      <x:c r="O128" s="19" t="str">
        <x:v>N70_MAX</x:v>
      </x:c>
      <x:c r="P128" s="19" t="str">
        <x:v>OMISSION_STATE</x:v>
      </x:c>
      <x:c r="Q128" s="19" t="str">
        <x:v>未披露</x:v>
      </x:c>
      <x:c r="R128" s="19" t="str">
        <x:v>NOT_DISCLOSED</x:v>
      </x:c>
      <x:c r="S128" s="19" t="str">
        <x:v>AS_OF_2026-08-04_PRELAUNCH</x:v>
      </x:c>
      <x:c r="T128" s="19" t="str">
        <x:v>NEUTRAL</x:v>
      </x:c>
      <x:c r="U128" s="19" t="str">
        <x:v>NOT_DISCLOSED</x:v>
      </x:c>
      <x:c r="V128" s="19" t="str">
        <x:v>MODEL_EXCLUDED</x:v>
      </x:c>
      <x:c r="W128" s="19" t="str"/>
      <x:c r="X128" s="19" t="str">
        <x:v>NONE</x:v>
      </x:c>
      <x:c r="Y128" s="19" t="str">
        <x:v>未披露不等于无此配置</x:v>
      </x:c>
    </x:row>
    <x:row r="129" ht="62" customHeight="1">
      <x:c r="A129" s="369" t="str">
        <x:v>B31-C124</x:v>
      </x:c>
      <x:c r="B129" s="369" t="str">
        <x:v>B31_SRC_N70_POWER</x:v>
      </x:c>
      <x:c r="C129" s="369" t="str">
        <x:v>TECH_RELEASE_20260730</x:v>
      </x:c>
      <x:c r="D129" s="369" t="str"/>
      <x:c r="E129" s="369" t="str">
        <x:v>官方N70 Max单车公开材料未披露</x:v>
      </x:c>
      <x:c r="F129" s="369" t="str"/>
      <x:c r="G129" s="369" t="str">
        <x:v>PC-N70-MAX-CAND</x:v>
      </x:c>
      <x:c r="H129" s="369" t="str">
        <x:v>trunk_standard</x:v>
      </x:c>
      <x:c r="I129" s="369" t="str">
        <x:v>BODY_SPACE</x:v>
      </x:c>
      <x:c r="J129" s="369" t="str">
        <x:v>VALUE</x:v>
      </x:c>
      <x:c r="K129" s="369" t="str">
        <x:v>TEXT</x:v>
      </x:c>
      <x:c r="L129" s="373" t="str"/>
      <x:c r="M129" s="369" t="str">
        <x:v>NOT_DISCLOSED</x:v>
      </x:c>
      <x:c r="N129" s="369" t="str"/>
      <x:c r="O129" s="369" t="str">
        <x:v>N70_MAX</x:v>
      </x:c>
      <x:c r="P129" s="369" t="str">
        <x:v>OMISSION_STATE</x:v>
      </x:c>
      <x:c r="Q129" s="369" t="str">
        <x:v>未披露</x:v>
      </x:c>
      <x:c r="R129" s="369" t="str">
        <x:v>NOT_DISCLOSED</x:v>
      </x:c>
      <x:c r="S129" s="369" t="str">
        <x:v>AS_OF_2026-08-04_PRELAUNCH</x:v>
      </x:c>
      <x:c r="T129" s="369" t="str">
        <x:v>NEUTRAL</x:v>
      </x:c>
      <x:c r="U129" s="369" t="str">
        <x:v>NOT_DISCLOSED</x:v>
      </x:c>
      <x:c r="V129" s="369" t="str">
        <x:v>MODEL_EXCLUDED</x:v>
      </x:c>
      <x:c r="W129" s="369" t="str"/>
      <x:c r="X129" s="369" t="str">
        <x:v>NONE</x:v>
      </x:c>
      <x:c r="Y129" s="369" t="str">
        <x:v>未披露不等于无此配置</x:v>
      </x:c>
    </x:row>
    <x:row r="130" ht="62" customHeight="1">
      <x:c r="A130" s="19" t="str">
        <x:v>B31-C125</x:v>
      </x:c>
      <x:c r="B130" s="19" t="str">
        <x:v>B31_SRC_N70_POWER</x:v>
      </x:c>
      <x:c r="C130" s="19" t="str">
        <x:v>TECH_RELEASE_20260730</x:v>
      </x:c>
      <x:c r="D130" s="19" t="str"/>
      <x:c r="E130" s="19" t="str">
        <x:v>官方N70 Max单车公开材料未披露</x:v>
      </x:c>
      <x:c r="F130" s="19" t="str"/>
      <x:c r="G130" s="19" t="str">
        <x:v>PC-N70-MAX-CAND</x:v>
      </x:c>
      <x:c r="H130" s="19" t="str">
        <x:v>row2_space_max</x:v>
      </x:c>
      <x:c r="I130" s="19" t="str">
        <x:v>BODY_SPACE</x:v>
      </x:c>
      <x:c r="J130" s="19" t="str">
        <x:v>VALUE</x:v>
      </x:c>
      <x:c r="K130" s="19" t="str">
        <x:v>TEXT</x:v>
      </x:c>
      <x:c r="L130" s="152" t="str"/>
      <x:c r="M130" s="19" t="str">
        <x:v>NOT_DISCLOSED</x:v>
      </x:c>
      <x:c r="N130" s="19" t="str"/>
      <x:c r="O130" s="19" t="str">
        <x:v>N70_MAX</x:v>
      </x:c>
      <x:c r="P130" s="19" t="str">
        <x:v>OMISSION_STATE</x:v>
      </x:c>
      <x:c r="Q130" s="19" t="str">
        <x:v>未披露</x:v>
      </x:c>
      <x:c r="R130" s="19" t="str">
        <x:v>NOT_DISCLOSED</x:v>
      </x:c>
      <x:c r="S130" s="19" t="str">
        <x:v>AS_OF_2026-08-04_PRELAUNCH</x:v>
      </x:c>
      <x:c r="T130" s="19" t="str">
        <x:v>NEUTRAL</x:v>
      </x:c>
      <x:c r="U130" s="19" t="str">
        <x:v>NOT_DISCLOSED</x:v>
      </x:c>
      <x:c r="V130" s="19" t="str">
        <x:v>MODEL_EXCLUDED</x:v>
      </x:c>
      <x:c r="W130" s="19" t="str"/>
      <x:c r="X130" s="19" t="str">
        <x:v>NONE</x:v>
      </x:c>
      <x:c r="Y130" s="19" t="str">
        <x:v>未披露不等于无此配置</x:v>
      </x:c>
    </x:row>
    <x:row r="131" ht="62" customHeight="1">
      <x:c r="A131" s="369" t="str">
        <x:v>B31-C126</x:v>
      </x:c>
      <x:c r="B131" s="369" t="str">
        <x:v>B31_SRC_N70_POWER</x:v>
      </x:c>
      <x:c r="C131" s="369" t="str">
        <x:v>TECH_RELEASE_20260730</x:v>
      </x:c>
      <x:c r="D131" s="369" t="str"/>
      <x:c r="E131" s="369" t="str">
        <x:v>官方N70 Max单车公开材料未披露</x:v>
      </x:c>
      <x:c r="F131" s="369" t="str"/>
      <x:c r="G131" s="369" t="str">
        <x:v>PC-N70-MAX-CAND</x:v>
      </x:c>
      <x:c r="H131" s="369" t="str">
        <x:v>front_swivel_seats</x:v>
      </x:c>
      <x:c r="I131" s="369" t="str">
        <x:v>COMFORT</x:v>
      </x:c>
      <x:c r="J131" s="369" t="str">
        <x:v>VALUE</x:v>
      </x:c>
      <x:c r="K131" s="369" t="str">
        <x:v>TEXT</x:v>
      </x:c>
      <x:c r="L131" s="373" t="str"/>
      <x:c r="M131" s="369" t="str">
        <x:v>NOT_DISCLOSED</x:v>
      </x:c>
      <x:c r="N131" s="369" t="str"/>
      <x:c r="O131" s="369" t="str">
        <x:v>N70_MAX</x:v>
      </x:c>
      <x:c r="P131" s="369" t="str">
        <x:v>OMISSION_STATE</x:v>
      </x:c>
      <x:c r="Q131" s="369" t="str">
        <x:v>未披露</x:v>
      </x:c>
      <x:c r="R131" s="369" t="str">
        <x:v>NOT_DISCLOSED</x:v>
      </x:c>
      <x:c r="S131" s="369" t="str">
        <x:v>AS_OF_2026-08-04_PRELAUNCH</x:v>
      </x:c>
      <x:c r="T131" s="369" t="str">
        <x:v>NEUTRAL</x:v>
      </x:c>
      <x:c r="U131" s="369" t="str">
        <x:v>NOT_DISCLOSED</x:v>
      </x:c>
      <x:c r="V131" s="369" t="str">
        <x:v>MODEL_EXCLUDED</x:v>
      </x:c>
      <x:c r="W131" s="369" t="str"/>
      <x:c r="X131" s="369" t="str">
        <x:v>NONE</x:v>
      </x:c>
      <x:c r="Y131" s="369" t="str">
        <x:v>未披露不等于无此配置</x:v>
      </x:c>
    </x:row>
    <x:row r="132" ht="62" customHeight="1">
      <x:c r="A132" s="19" t="str">
        <x:v>B31-C127</x:v>
      </x:c>
      <x:c r="B132" s="19" t="str">
        <x:v>B31_SRC_N70_POWER</x:v>
      </x:c>
      <x:c r="C132" s="19" t="str">
        <x:v>TECH_RELEASE_20260730</x:v>
      </x:c>
      <x:c r="D132" s="19" t="str"/>
      <x:c r="E132" s="19" t="str">
        <x:v>官方N70 Max单车公开材料未披露</x:v>
      </x:c>
      <x:c r="F132" s="19" t="str"/>
      <x:c r="G132" s="19" t="str">
        <x:v>PC-N70-MAX-CAND</x:v>
      </x:c>
      <x:c r="H132" s="19" t="str">
        <x:v>zero_gravity_seats</x:v>
      </x:c>
      <x:c r="I132" s="19" t="str">
        <x:v>COMFORT</x:v>
      </x:c>
      <x:c r="J132" s="19" t="str">
        <x:v>VALUE</x:v>
      </x:c>
      <x:c r="K132" s="19" t="str">
        <x:v>TEXT</x:v>
      </x:c>
      <x:c r="L132" s="152" t="str"/>
      <x:c r="M132" s="19" t="str">
        <x:v>NOT_DISCLOSED</x:v>
      </x:c>
      <x:c r="N132" s="19" t="str"/>
      <x:c r="O132" s="19" t="str">
        <x:v>N70_MAX</x:v>
      </x:c>
      <x:c r="P132" s="19" t="str">
        <x:v>OMISSION_STATE</x:v>
      </x:c>
      <x:c r="Q132" s="19" t="str">
        <x:v>未披露</x:v>
      </x:c>
      <x:c r="R132" s="19" t="str">
        <x:v>NOT_DISCLOSED</x:v>
      </x:c>
      <x:c r="S132" s="19" t="str">
        <x:v>AS_OF_2026-08-04_PRELAUNCH</x:v>
      </x:c>
      <x:c r="T132" s="19" t="str">
        <x:v>NEUTRAL</x:v>
      </x:c>
      <x:c r="U132" s="19" t="str">
        <x:v>NOT_DISCLOSED</x:v>
      </x:c>
      <x:c r="V132" s="19" t="str">
        <x:v>MODEL_EXCLUDED</x:v>
      </x:c>
      <x:c r="W132" s="19" t="str"/>
      <x:c r="X132" s="19" t="str">
        <x:v>NONE</x:v>
      </x:c>
      <x:c r="Y132" s="19" t="str">
        <x:v>未披露不等于无此配置</x:v>
      </x:c>
    </x:row>
    <x:row r="133" ht="62" customHeight="1">
      <x:c r="A133" s="369" t="str">
        <x:v>B31-C128</x:v>
      </x:c>
      <x:c r="B133" s="369" t="str">
        <x:v>B31_SRC_N70_POWER</x:v>
      </x:c>
      <x:c r="C133" s="369" t="str">
        <x:v>TECH_RELEASE_20260730</x:v>
      </x:c>
      <x:c r="D133" s="369" t="str"/>
      <x:c r="E133" s="369" t="str">
        <x:v>官方N70 Max单车公开材料未披露</x:v>
      </x:c>
      <x:c r="F133" s="369" t="str"/>
      <x:c r="G133" s="369" t="str">
        <x:v>PC-N70-MAX-CAND</x:v>
      </x:c>
      <x:c r="H133" s="369" t="str">
        <x:v>fridge_capacity</x:v>
      </x:c>
      <x:c r="I133" s="369" t="str">
        <x:v>CABIN</x:v>
      </x:c>
      <x:c r="J133" s="369" t="str">
        <x:v>VALUE</x:v>
      </x:c>
      <x:c r="K133" s="369" t="str">
        <x:v>TEXT</x:v>
      </x:c>
      <x:c r="L133" s="373" t="str"/>
      <x:c r="M133" s="369" t="str">
        <x:v>NOT_DISCLOSED</x:v>
      </x:c>
      <x:c r="N133" s="369" t="str"/>
      <x:c r="O133" s="369" t="str">
        <x:v>N70_MAX</x:v>
      </x:c>
      <x:c r="P133" s="369" t="str">
        <x:v>OMISSION_STATE</x:v>
      </x:c>
      <x:c r="Q133" s="369" t="str">
        <x:v>未披露</x:v>
      </x:c>
      <x:c r="R133" s="369" t="str">
        <x:v>NOT_DISCLOSED</x:v>
      </x:c>
      <x:c r="S133" s="369" t="str">
        <x:v>AS_OF_2026-08-04_PRELAUNCH</x:v>
      </x:c>
      <x:c r="T133" s="369" t="str">
        <x:v>NEUTRAL</x:v>
      </x:c>
      <x:c r="U133" s="369" t="str">
        <x:v>NOT_DISCLOSED</x:v>
      </x:c>
      <x:c r="V133" s="369" t="str">
        <x:v>MODEL_EXCLUDED</x:v>
      </x:c>
      <x:c r="W133" s="369" t="str"/>
      <x:c r="X133" s="369" t="str">
        <x:v>NONE</x:v>
      </x:c>
      <x:c r="Y133" s="369" t="str">
        <x:v>未披露不等于无此配置</x:v>
      </x:c>
    </x:row>
    <x:row r="134" ht="62" customHeight="1">
      <x:c r="A134" s="19" t="str">
        <x:v>B31-C129</x:v>
      </x:c>
      <x:c r="B134" s="19" t="str">
        <x:v>B31_SRC_N70_POWER</x:v>
      </x:c>
      <x:c r="C134" s="19" t="str">
        <x:v>TECH_RELEASE_20260730</x:v>
      </x:c>
      <x:c r="D134" s="19" t="str"/>
      <x:c r="E134" s="19" t="str">
        <x:v>官方N70 Max单车公开材料未披露</x:v>
      </x:c>
      <x:c r="F134" s="19" t="str"/>
      <x:c r="G134" s="19" t="str">
        <x:v>PC-N70-MAX-CAND</x:v>
      </x:c>
      <x:c r="H134" s="19" t="str">
        <x:v>rear_entertainment_screen</x:v>
      </x:c>
      <x:c r="I134" s="19" t="str">
        <x:v>CABIN</x:v>
      </x:c>
      <x:c r="J134" s="19" t="str">
        <x:v>VALUE</x:v>
      </x:c>
      <x:c r="K134" s="19" t="str">
        <x:v>TEXT</x:v>
      </x:c>
      <x:c r="L134" s="152" t="str"/>
      <x:c r="M134" s="19" t="str">
        <x:v>NOT_DISCLOSED</x:v>
      </x:c>
      <x:c r="N134" s="19" t="str"/>
      <x:c r="O134" s="19" t="str">
        <x:v>N70_MAX</x:v>
      </x:c>
      <x:c r="P134" s="19" t="str">
        <x:v>OMISSION_STATE</x:v>
      </x:c>
      <x:c r="Q134" s="19" t="str">
        <x:v>未披露</x:v>
      </x:c>
      <x:c r="R134" s="19" t="str">
        <x:v>NOT_DISCLOSED</x:v>
      </x:c>
      <x:c r="S134" s="19" t="str">
        <x:v>AS_OF_2026-08-04_PRELAUNCH</x:v>
      </x:c>
      <x:c r="T134" s="19" t="str">
        <x:v>NEUTRAL</x:v>
      </x:c>
      <x:c r="U134" s="19" t="str">
        <x:v>NOT_DISCLOSED</x:v>
      </x:c>
      <x:c r="V134" s="19" t="str">
        <x:v>MODEL_EXCLUDED</x:v>
      </x:c>
      <x:c r="W134" s="19" t="str"/>
      <x:c r="X134" s="19" t="str">
        <x:v>NONE</x:v>
      </x:c>
      <x:c r="Y134" s="19" t="str">
        <x:v>未披露不等于无此配置</x:v>
      </x:c>
    </x:row>
    <x:row r="135" ht="62" customHeight="1">
      <x:c r="A135" s="369" t="str">
        <x:v>B31-C130</x:v>
      </x:c>
      <x:c r="B135" s="369" t="str">
        <x:v>B31_SRC_N70_POWER</x:v>
      </x:c>
      <x:c r="C135" s="369" t="str">
        <x:v>TECH_RELEASE_20260730</x:v>
      </x:c>
      <x:c r="D135" s="369" t="str"/>
      <x:c r="E135" s="369" t="str">
        <x:v>官方N70 Max单车公开材料未披露</x:v>
      </x:c>
      <x:c r="F135" s="369" t="str"/>
      <x:c r="G135" s="369" t="str">
        <x:v>PC-N70-MAX-CAND</x:v>
      </x:c>
      <x:c r="H135" s="369" t="str">
        <x:v>airbag_count</x:v>
      </x:c>
      <x:c r="I135" s="369" t="str">
        <x:v>SAFETY</x:v>
      </x:c>
      <x:c r="J135" s="369" t="str">
        <x:v>VALUE</x:v>
      </x:c>
      <x:c r="K135" s="369" t="str">
        <x:v>TEXT</x:v>
      </x:c>
      <x:c r="L135" s="373" t="str"/>
      <x:c r="M135" s="369" t="str">
        <x:v>NOT_DISCLOSED</x:v>
      </x:c>
      <x:c r="N135" s="369" t="str"/>
      <x:c r="O135" s="369" t="str">
        <x:v>N70_MAX</x:v>
      </x:c>
      <x:c r="P135" s="369" t="str">
        <x:v>OMISSION_STATE</x:v>
      </x:c>
      <x:c r="Q135" s="369" t="str">
        <x:v>未披露</x:v>
      </x:c>
      <x:c r="R135" s="369" t="str">
        <x:v>NOT_DISCLOSED</x:v>
      </x:c>
      <x:c r="S135" s="369" t="str">
        <x:v>AS_OF_2026-08-04_PRELAUNCH</x:v>
      </x:c>
      <x:c r="T135" s="369" t="str">
        <x:v>NEUTRAL</x:v>
      </x:c>
      <x:c r="U135" s="369" t="str">
        <x:v>NOT_DISCLOSED</x:v>
      </x:c>
      <x:c r="V135" s="369" t="str">
        <x:v>MODEL_EXCLUDED</x:v>
      </x:c>
      <x:c r="W135" s="369" t="str"/>
      <x:c r="X135" s="369" t="str">
        <x:v>NONE</x:v>
      </x:c>
      <x:c r="Y135" s="369" t="str">
        <x:v>未披露不等于无此配置</x:v>
      </x:c>
    </x:row>
    <x:row r="136" ht="62" customHeight="1">
      <x:c r="A136" s="19" t="str">
        <x:v>B31-C131</x:v>
      </x:c>
      <x:c r="B136" s="19" t="str">
        <x:v>B31_SRC_N70_POWER</x:v>
      </x:c>
      <x:c r="C136" s="19" t="str">
        <x:v>TECH_RELEASE_20260730</x:v>
      </x:c>
      <x:c r="D136" s="19" t="str"/>
      <x:c r="E136" s="19" t="str">
        <x:v>官方N70 Max单车公开材料未披露</x:v>
      </x:c>
      <x:c r="F136" s="19" t="str"/>
      <x:c r="G136" s="19" t="str">
        <x:v>PC-N70-MAX-CAND</x:v>
      </x:c>
      <x:c r="H136" s="19" t="str">
        <x:v>rear_solid_state_lidar</x:v>
      </x:c>
      <x:c r="I136" s="19" t="str">
        <x:v>ADAS</x:v>
      </x:c>
      <x:c r="J136" s="19" t="str">
        <x:v>VALUE</x:v>
      </x:c>
      <x:c r="K136" s="19" t="str">
        <x:v>TEXT</x:v>
      </x:c>
      <x:c r="L136" s="152" t="str"/>
      <x:c r="M136" s="19" t="str">
        <x:v>NOT_DISCLOSED</x:v>
      </x:c>
      <x:c r="N136" s="19" t="str"/>
      <x:c r="O136" s="19" t="str">
        <x:v>N70_MAX</x:v>
      </x:c>
      <x:c r="P136" s="19" t="str">
        <x:v>OMISSION_STATE</x:v>
      </x:c>
      <x:c r="Q136" s="19" t="str">
        <x:v>未披露</x:v>
      </x:c>
      <x:c r="R136" s="19" t="str">
        <x:v>NOT_DISCLOSED</x:v>
      </x:c>
      <x:c r="S136" s="19" t="str">
        <x:v>AS_OF_2026-08-04_PRELAUNCH</x:v>
      </x:c>
      <x:c r="T136" s="19" t="str">
        <x:v>NEUTRAL</x:v>
      </x:c>
      <x:c r="U136" s="19" t="str">
        <x:v>NOT_DISCLOSED</x:v>
      </x:c>
      <x:c r="V136" s="19" t="str">
        <x:v>MODEL_EXCLUDED</x:v>
      </x:c>
      <x:c r="W136" s="19" t="str"/>
      <x:c r="X136" s="19" t="str">
        <x:v>NONE</x:v>
      </x:c>
      <x:c r="Y136" s="19" t="str">
        <x:v>未披露不等于无此配置</x:v>
      </x:c>
    </x:row>
    <x:row r="137" ht="62" customHeight="1">
      <x:c r="A137" s="369" t="str">
        <x:v>B31-C132</x:v>
      </x:c>
      <x:c r="B137" s="369" t="str">
        <x:v>B31_SRC_N70_POWER</x:v>
      </x:c>
      <x:c r="C137" s="369" t="str">
        <x:v>TECH_RELEASE_20260730</x:v>
      </x:c>
      <x:c r="D137" s="369" t="str"/>
      <x:c r="E137" s="369" t="str">
        <x:v>官方N70 Max单车公开材料未披露</x:v>
      </x:c>
      <x:c r="F137" s="369" t="str"/>
      <x:c r="G137" s="369" t="str">
        <x:v>PC-N70-MAX-CAND</x:v>
      </x:c>
      <x:c r="H137" s="369" t="str">
        <x:v>speaker_count</x:v>
      </x:c>
      <x:c r="I137" s="369" t="str">
        <x:v>CABIN</x:v>
      </x:c>
      <x:c r="J137" s="369" t="str">
        <x:v>VALUE</x:v>
      </x:c>
      <x:c r="K137" s="369" t="str">
        <x:v>TEXT</x:v>
      </x:c>
      <x:c r="L137" s="373" t="str"/>
      <x:c r="M137" s="369" t="str">
        <x:v>NOT_DISCLOSED</x:v>
      </x:c>
      <x:c r="N137" s="369" t="str"/>
      <x:c r="O137" s="369" t="str">
        <x:v>N70_MAX</x:v>
      </x:c>
      <x:c r="P137" s="369" t="str">
        <x:v>OMISSION_STATE</x:v>
      </x:c>
      <x:c r="Q137" s="369" t="str">
        <x:v>未披露</x:v>
      </x:c>
      <x:c r="R137" s="369" t="str">
        <x:v>NOT_DISCLOSED</x:v>
      </x:c>
      <x:c r="S137" s="369" t="str">
        <x:v>AS_OF_2026-08-04_PRELAUNCH</x:v>
      </x:c>
      <x:c r="T137" s="369" t="str">
        <x:v>NEUTRAL</x:v>
      </x:c>
      <x:c r="U137" s="369" t="str">
        <x:v>NOT_DISCLOSED</x:v>
      </x:c>
      <x:c r="V137" s="369" t="str">
        <x:v>MODEL_EXCLUDED</x:v>
      </x:c>
      <x:c r="W137" s="369" t="str"/>
      <x:c r="X137" s="369" t="str">
        <x:v>NONE</x:v>
      </x:c>
      <x:c r="Y137" s="369" t="str">
        <x:v>未披露不等于无此配置</x:v>
      </x:c>
    </x:row>
  </x:sheetData>
  <x:mergeCells>
    <x:mergeCell ref="A1:Y1"/>
    <x:mergeCell ref="A2:Y2"/>
    <x:mergeCell ref="A3:Y3"/>
  </x:mergeCells>
  <x:conditionalFormatting sqref="P6:X137">
    <x:cfRule type="containsText" dxfId="743" priority="1" operator="containsText" text="PASS"/>
    <x:cfRule type="containsText" dxfId="744" priority="2" operator="containsText" text="READY"/>
    <x:cfRule type="containsText" dxfId="745" priority="3" operator="containsText" text="TRUE"/>
    <x:cfRule type="containsText" dxfId="746" priority="4" operator="containsText" text="MATCH"/>
    <x:cfRule type="containsText" dxfId="747" priority="5" operator="containsText" text="STANDARD"/>
    <x:cfRule type="containsText" dxfId="748" priority="6" operator="containsText" text="ACCEPTED"/>
    <x:cfRule type="containsText" dxfId="749" priority="7" operator="containsText" text="OPTIONAL"/>
    <x:cfRule type="containsText" dxfId="750" priority="8" operator="containsText" text="SEPARATE_PURCHASE"/>
    <x:cfRule type="containsText" dxfId="751" priority="9" operator="containsText" text="EQUIPPED"/>
    <x:cfRule type="containsText" dxfId="752" priority="10" operator="containsText" text="PARTIAL"/>
    <x:cfRule type="containsText" dxfId="753" priority="11" operator="containsText" text="PENDING"/>
    <x:cfRule type="containsText" dxfId="754" priority="12" operator="containsText" text="NOT_DISCLOSED"/>
    <x:cfRule type="containsText" dxfId="755" priority="13" operator="containsText" text="NOT_EVIDENCED"/>
    <x:cfRule type="containsText" dxfId="756" priority="14" operator="containsText" text="NOT_COMPARABLE"/>
    <x:cfRule type="containsText" dxfId="757" priority="15" operator="containsText" text="PROVISIONAL"/>
    <x:cfRule type="containsText" dxfId="758" priority="16" operator="containsText" text="BLOCKED"/>
    <x:cfRule type="containsText" dxfId="759" priority="17" operator="containsText" text="FAIL"/>
    <x:cfRule type="containsText" dxfId="760" priority="18" operator="containsText" text="FALSE"/>
    <x:cfRule type="containsText" dxfId="761" priority="19" operator="containsText" text="CONFLICT"/>
    <x:cfRule type="containsText" dxfId="762" priority="20" operator="containsText" text="MISMATCH_HARD"/>
    <x:cfRule type="containsText" dxfId="763" priority="21" operator="containsText" text="REJECTED"/>
  </x:conditionalFormatting>
  <x:pageMargins left="0.7" right="0.7" top="0.75" bottom="0.75" header="0.3" footer="0.3"/>
</x:worksheet>
</file>

<file path=xl/worksheets/sheet5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4" hidden="0" customWidth="1"/>
    <x:col min="3" max="3" width="28" hidden="0" customWidth="1"/>
    <x:col min="4" max="4" width="16" hidden="0" customWidth="1"/>
    <x:col min="5" max="5" width="15" hidden="0" customWidth="1"/>
    <x:col min="6" max="6" width="14" hidden="0" customWidth="1"/>
    <x:col min="7" max="7" width="34" hidden="0" customWidth="1"/>
    <x:col min="8" max="8" width="15" hidden="0" customWidth="1"/>
    <x:col min="9" max="9" width="34" hidden="0" customWidth="1"/>
    <x:col min="10" max="10" width="22" hidden="0" customWidth="1"/>
    <x:col min="11" max="11" width="24" hidden="0" customWidth="1"/>
    <x:col min="12" max="12" width="28" hidden="0" customWidth="1"/>
    <x:col min="13" max="13" width="18" hidden="0" customWidth="1"/>
    <x:col min="14" max="14" width="18" hidden="0" customWidth="1"/>
    <x:col min="15" max="15" width="22" hidden="0" customWidth="1"/>
    <x:col min="16" max="16" width="22" hidden="0" customWidth="1"/>
    <x:col min="17" max="17" width="24" hidden="0" customWidth="1"/>
    <x:col min="18" max="18" width="40" hidden="0" customWidth="1"/>
    <x:col min="19" max="19" width="24" hidden="0" customWidth="1"/>
    <x:col min="20" max="20" width="18" hidden="0" customWidth="1"/>
    <x:col min="21" max="21" width="16" hidden="0" customWidth="1"/>
  </x:cols>
  <x:sheetData>
    <x:row r="1" ht="30" customHeight="1">
      <x:c r="A1" s="356" t="str">
        <x:v>51｜版本配置事实（双状态轴）</x:v>
      </x:c>
      <x:c r="B1" s="356"/>
      <x:c r="C1" s="356"/>
      <x:c r="D1" s="356"/>
      <x:c r="E1" s="356"/>
      <x:c r="F1" s="356"/>
      <x:c r="G1" s="356"/>
      <x:c r="H1" s="356"/>
      <x:c r="I1" s="356"/>
      <x:c r="J1" s="356"/>
      <x:c r="K1" s="356"/>
      <x:c r="L1" s="356"/>
      <x:c r="M1" s="356"/>
      <x:c r="N1" s="356"/>
      <x:c r="O1" s="356"/>
      <x:c r="P1" s="356"/>
      <x:c r="Q1" s="356"/>
      <x:c r="R1" s="356"/>
      <x:c r="S1" s="356"/>
      <x:c r="T1" s="356"/>
      <x:c r="U1" s="356"/>
    </x:row>
    <x:row r="2" ht="22" customHeight="1">
      <x:c r="A2" s="359" t="str">
        <x:v>发布时点状态与App当前状态分列｜只传播到已正式发布的两个Max商业节点</x:v>
      </x:c>
      <x:c r="B2" s="359"/>
      <x:c r="C2" s="359"/>
      <x:c r="D2" s="359"/>
      <x:c r="E2" s="359"/>
      <x:c r="F2" s="359"/>
      <x:c r="G2" s="359"/>
      <x:c r="H2" s="359"/>
      <x:c r="I2" s="359"/>
      <x:c r="J2" s="359"/>
      <x:c r="K2" s="359"/>
      <x:c r="L2" s="359"/>
      <x:c r="M2" s="359"/>
      <x:c r="N2" s="359"/>
      <x:c r="O2" s="359"/>
      <x:c r="P2" s="359"/>
      <x:c r="Q2" s="359"/>
      <x:c r="R2" s="359"/>
      <x:c r="S2" s="359"/>
      <x:c r="T2" s="359"/>
      <x:c r="U2" s="359"/>
    </x:row>
    <x:row r="3" ht="54" customHeight="1">
      <x:c r="A3" s="363" t="str">
        <x:v>事实行由50表主张生成。N70低阶候选与升顶候选不接收系列主张；发布会/官网来源只填release_availability，app_availability统一NOT_EVIDENCED。</x:v>
      </x:c>
      <x:c r="B3" s="363"/>
      <x:c r="C3" s="363"/>
      <x:c r="D3" s="363"/>
      <x:c r="E3" s="363"/>
      <x:c r="F3" s="363"/>
      <x:c r="G3" s="363"/>
      <x:c r="H3" s="363"/>
      <x:c r="I3" s="363"/>
      <x:c r="J3" s="363"/>
      <x:c r="K3" s="363"/>
      <x:c r="L3" s="363"/>
      <x:c r="M3" s="363"/>
      <x:c r="N3" s="363"/>
      <x:c r="O3" s="363"/>
      <x:c r="P3" s="363"/>
      <x:c r="Q3" s="363"/>
      <x:c r="R3" s="363"/>
      <x:c r="S3" s="363"/>
      <x:c r="T3" s="363"/>
      <x:c r="U3" s="363"/>
    </x:row>
    <x:row r="5" ht="58" customHeight="1">
      <x:c r="A5" s="368" t="str">
        <x:v>config_fact_id</x:v>
      </x:c>
      <x:c r="B5" s="368" t="str">
        <x:v>commercial_node_id</x:v>
      </x:c>
      <x:c r="C5" s="368" t="str">
        <x:v>feature_code</x:v>
      </x:c>
      <x:c r="D5" s="368" t="str">
        <x:v>module</x:v>
      </x:c>
      <x:c r="E5" s="368" t="str">
        <x:v>value_type</x:v>
      </x:c>
      <x:c r="F5" s="368" t="str">
        <x:v>value_numeric</x:v>
      </x:c>
      <x:c r="G5" s="368" t="str">
        <x:v>value_text</x:v>
      </x:c>
      <x:c r="H5" s="368" t="str">
        <x:v>unit_code</x:v>
      </x:c>
      <x:c r="I5" s="368" t="str">
        <x:v>release_availability</x:v>
      </x:c>
      <x:c r="J5" s="368" t="str">
        <x:v>app_availability</x:v>
      </x:c>
      <x:c r="K5" s="368" t="str">
        <x:v>homologation_status</x:v>
      </x:c>
      <x:c r="L5" s="368" t="str">
        <x:v>direct_or_propagated</x:v>
      </x:c>
      <x:c r="M5" s="368" t="str">
        <x:v>scope_parent_claim_id</x:v>
      </x:c>
      <x:c r="N5" s="368" t="str">
        <x:v>claim_refs</x:v>
      </x:c>
      <x:c r="O5" s="368" t="str">
        <x:v>release_model_included</x:v>
      </x:c>
      <x:c r="P5" s="368" t="str">
        <x:v>current_app_included</x:v>
      </x:c>
      <x:c r="Q5" s="368" t="str">
        <x:v>cost_driver_group</x:v>
      </x:c>
      <x:c r="R5" s="368" t="str">
        <x:v>double_count_key</x:v>
      </x:c>
      <x:c r="S5" s="368" t="str">
        <x:v>conflict_group_id</x:v>
      </x:c>
      <x:c r="T5" s="368" t="str">
        <x:v>conflict_status</x:v>
      </x:c>
      <x:c r="U5" s="368" t="str">
        <x:v>as_of</x:v>
      </x:c>
    </x:row>
    <x:row r="6" ht="56" customHeight="1">
      <x:c r="A6" s="19" t="str">
        <x:v>B31-F001</x:v>
      </x:c>
      <x:c r="B6" s="19" t="str">
        <x:v>PC-N70-MAX-CAND</x:v>
      </x:c>
      <x:c r="C6" s="19" t="str">
        <x:v>drive_layout</x:v>
      </x:c>
      <x:c r="D6" s="19" t="str">
        <x:v>POWERTRAIN</x:v>
      </x:c>
      <x:c r="E6" s="19" t="str">
        <x:v>TEXT</x:v>
      </x:c>
      <x:c r="F6" s="152" t="str"/>
      <x:c r="G6" s="19" t="str">
        <x:v>双电机四驱</x:v>
      </x:c>
      <x:c r="H6" s="19" t="str"/>
      <x:c r="I6" s="19" t="str">
        <x:v>EQUIPPED_STANDARD_UNCONFIRMED</x:v>
      </x:c>
      <x:c r="J6" s="19" t="str">
        <x:v>NOT_EVIDENCED</x:v>
      </x:c>
      <x:c r="K6" s="19" t="str">
        <x:v>NOT_COMPARED</x:v>
      </x:c>
      <x:c r="L6" s="19" t="str">
        <x:v>DIRECT_CLAIM</x:v>
      </x:c>
      <x:c r="M6" s="19" t="str"/>
      <x:c r="N6" s="19" t="str">
        <x:v>B31-C014</x:v>
      </x:c>
      <x:c r="O6" s="19" t="str">
        <x:f>IF(AND(I6="STANDARD_AT_RELEASE",T6="NONE"),"TRUE","FALSE")</x:f>
        <x:v>FALSE</x:v>
      </x:c>
      <x:c r="P6" s="19" t="str">
        <x:f>IF(AND(J6="STANDARD_CURRENT",T6="NONE"),"TRUE","FALSE")</x:f>
        <x:v>FALSE</x:v>
      </x:c>
      <x:c r="Q6" s="19" t="str">
        <x:v>E_DRIVE</x:v>
      </x:c>
      <x:c r="R6" s="19" t="str">
        <x:v>DC_POWERTRAIN_drive_layout</x:v>
      </x:c>
      <x:c r="S6" s="19" t="str"/>
      <x:c r="T6" s="19" t="str">
        <x:v>NONE</x:v>
      </x:c>
      <x:c r="U6" s="19" t="str">
        <x:v>2026-08-04</x:v>
      </x:c>
    </x:row>
    <x:row r="7" ht="56" customHeight="1">
      <x:c r="A7" s="369" t="str">
        <x:v>B31-F002</x:v>
      </x:c>
      <x:c r="B7" s="369" t="str">
        <x:v>PC-N70-MAX-CAND</x:v>
      </x:c>
      <x:c r="C7" s="369" t="str">
        <x:v>peak_power_total</x:v>
      </x:c>
      <x:c r="D7" s="369" t="str">
        <x:v>POWERTRAIN</x:v>
      </x:c>
      <x:c r="E7" s="369" t="str">
        <x:v>NUMERIC</x:v>
      </x:c>
      <x:c r="F7" s="373" t="n">
        <x:v>310</x:v>
      </x:c>
      <x:c r="G7" s="369" t="str"/>
      <x:c r="H7" s="369" t="str">
        <x:v>kW</x:v>
      </x:c>
      <x:c r="I7" s="369" t="str">
        <x:v>EQUIPPED_STANDARD_UNCONFIRMED</x:v>
      </x:c>
      <x:c r="J7" s="369" t="str">
        <x:v>NOT_EVIDENCED</x:v>
      </x:c>
      <x:c r="K7" s="369" t="str">
        <x:v>NOT_COMPARED</x:v>
      </x:c>
      <x:c r="L7" s="369" t="str">
        <x:v>DIRECT_CLAIM</x:v>
      </x:c>
      <x:c r="M7" s="369" t="str"/>
      <x:c r="N7" s="369" t="str">
        <x:v>B31-C015</x:v>
      </x:c>
      <x:c r="O7" s="369" t="str">
        <x:f>IF(AND(I7="STANDARD_AT_RELEASE",T7="NONE"),"TRUE","FALSE")</x:f>
        <x:v>FALSE</x:v>
      </x:c>
      <x:c r="P7" s="369" t="str">
        <x:f>IF(AND(J7="STANDARD_CURRENT",T7="NONE"),"TRUE","FALSE")</x:f>
        <x:v>FALSE</x:v>
      </x:c>
      <x:c r="Q7" s="369" t="str">
        <x:v>E_DRIVE</x:v>
      </x:c>
      <x:c r="R7" s="369" t="str">
        <x:v>DC_POWERTRAIN_peak_power_total</x:v>
      </x:c>
      <x:c r="S7" s="369" t="str"/>
      <x:c r="T7" s="369" t="str">
        <x:v>NONE</x:v>
      </x:c>
      <x:c r="U7" s="369" t="str">
        <x:v>2026-08-04</x:v>
      </x:c>
    </x:row>
    <x:row r="8" ht="56" customHeight="1">
      <x:c r="A8" s="19" t="str">
        <x:v>B31-F003</x:v>
      </x:c>
      <x:c r="B8" s="19" t="str">
        <x:v>PC-N70-MAX-CAND</x:v>
      </x:c>
      <x:c r="C8" s="19" t="str">
        <x:v>top_speed</x:v>
      </x:c>
      <x:c r="D8" s="19" t="str">
        <x:v>POWERTRAIN</x:v>
      </x:c>
      <x:c r="E8" s="19" t="str">
        <x:v>NUMERIC</x:v>
      </x:c>
      <x:c r="F8" s="152" t="n">
        <x:v>190</x:v>
      </x:c>
      <x:c r="G8" s="19" t="str"/>
      <x:c r="H8" s="19" t="str">
        <x:v>km/h</x:v>
      </x:c>
      <x:c r="I8" s="19" t="str">
        <x:v>EQUIPPED_STANDARD_UNCONFIRMED</x:v>
      </x:c>
      <x:c r="J8" s="19" t="str">
        <x:v>NOT_EVIDENCED</x:v>
      </x:c>
      <x:c r="K8" s="19" t="str">
        <x:v>NOT_COMPARED</x:v>
      </x:c>
      <x:c r="L8" s="19" t="str">
        <x:v>DIRECT_CLAIM</x:v>
      </x:c>
      <x:c r="M8" s="19" t="str"/>
      <x:c r="N8" s="19" t="str">
        <x:v>B31-C016</x:v>
      </x:c>
      <x:c r="O8" s="19" t="str">
        <x:f>IF(AND(I8="STANDARD_AT_RELEASE",T8="NONE"),"TRUE","FALSE")</x:f>
        <x:v>FALSE</x:v>
      </x:c>
      <x:c r="P8" s="19" t="str">
        <x:f>IF(AND(J8="STANDARD_CURRENT",T8="NONE"),"TRUE","FALSE")</x:f>
        <x:v>FALSE</x:v>
      </x:c>
      <x:c r="Q8" s="19" t="str">
        <x:v>E_DRIVE</x:v>
      </x:c>
      <x:c r="R8" s="19" t="str">
        <x:v>DC_POWERTRAIN_top_speed</x:v>
      </x:c>
      <x:c r="S8" s="19" t="str"/>
      <x:c r="T8" s="19" t="str">
        <x:v>NONE</x:v>
      </x:c>
      <x:c r="U8" s="19" t="str">
        <x:v>2026-08-04</x:v>
      </x:c>
    </x:row>
    <x:row r="9" ht="56" customHeight="1">
      <x:c r="A9" s="369" t="str">
        <x:v>B31-F004</x:v>
      </x:c>
      <x:c r="B9" s="369" t="str">
        <x:v>PC-N70-MAX-CAND</x:v>
      </x:c>
      <x:c r="C9" s="369" t="str">
        <x:v>cltc_ev_range</x:v>
      </x:c>
      <x:c r="D9" s="369" t="str">
        <x:v>ENERGY</x:v>
      </x:c>
      <x:c r="E9" s="369" t="str">
        <x:v>NUMERIC</x:v>
      </x:c>
      <x:c r="F9" s="373" t="n">
        <x:v>505</x:v>
      </x:c>
      <x:c r="G9" s="369" t="str"/>
      <x:c r="H9" s="369" t="str">
        <x:v>km</x:v>
      </x:c>
      <x:c r="I9" s="369" t="str">
        <x:v>EQUIPPED_STANDARD_UNCONFIRMED</x:v>
      </x:c>
      <x:c r="J9" s="369" t="str">
        <x:v>NOT_EVIDENCED</x:v>
      </x:c>
      <x:c r="K9" s="369" t="str">
        <x:v>NOT_COMPARED</x:v>
      </x:c>
      <x:c r="L9" s="369" t="str">
        <x:v>DIRECT_CLAIM</x:v>
      </x:c>
      <x:c r="M9" s="369" t="str"/>
      <x:c r="N9" s="369" t="str">
        <x:v>B31-C017</x:v>
      </x:c>
      <x:c r="O9" s="369" t="str">
        <x:f>IF(AND(I9="STANDARD_AT_RELEASE",T9="NONE"),"TRUE","FALSE")</x:f>
        <x:v>FALSE</x:v>
      </x:c>
      <x:c r="P9" s="369" t="str">
        <x:f>IF(AND(J9="STANDARD_CURRENT",T9="NONE"),"TRUE","FALSE")</x:f>
        <x:v>FALSE</x:v>
      </x:c>
      <x:c r="Q9" s="369" t="str">
        <x:v>ENERGY_SYSTEM</x:v>
      </x:c>
      <x:c r="R9" s="369" t="str">
        <x:v>DC_ENERGY_SYSTEM</x:v>
      </x:c>
      <x:c r="S9" s="369" t="str"/>
      <x:c r="T9" s="369" t="str">
        <x:v>NONE</x:v>
      </x:c>
      <x:c r="U9" s="369" t="str">
        <x:v>2026-08-04</x:v>
      </x:c>
    </x:row>
    <x:row r="10" ht="56" customHeight="1">
      <x:c r="A10" s="19" t="str">
        <x:v>B31-F005</x:v>
      </x:c>
      <x:c r="B10" s="19" t="str">
        <x:v>PC-N70-MAX-CAND</x:v>
      </x:c>
      <x:c r="C10" s="19" t="str">
        <x:v>cltc_combined_range</x:v>
      </x:c>
      <x:c r="D10" s="19" t="str">
        <x:v>ENERGY</x:v>
      </x:c>
      <x:c r="E10" s="19" t="str">
        <x:v>NUMERIC</x:v>
      </x:c>
      <x:c r="F10" s="152" t="n">
        <x:v>1461</x:v>
      </x:c>
      <x:c r="G10" s="19" t="str"/>
      <x:c r="H10" s="19" t="str">
        <x:v>km</x:v>
      </x:c>
      <x:c r="I10" s="19" t="str">
        <x:v>EQUIPPED_STANDARD_UNCONFIRMED</x:v>
      </x:c>
      <x:c r="J10" s="19" t="str">
        <x:v>NOT_EVIDENCED</x:v>
      </x:c>
      <x:c r="K10" s="19" t="str">
        <x:v>NOT_COMPARED</x:v>
      </x:c>
      <x:c r="L10" s="19" t="str">
        <x:v>DIRECT_CLAIM</x:v>
      </x:c>
      <x:c r="M10" s="19" t="str"/>
      <x:c r="N10" s="19" t="str">
        <x:v>B31-C018</x:v>
      </x:c>
      <x:c r="O10" s="19" t="str">
        <x:f>IF(AND(I10="STANDARD_AT_RELEASE",T10="NONE"),"TRUE","FALSE")</x:f>
        <x:v>FALSE</x:v>
      </x:c>
      <x:c r="P10" s="19" t="str">
        <x:f>IF(AND(J10="STANDARD_CURRENT",T10="NONE"),"TRUE","FALSE")</x:f>
        <x:v>FALSE</x:v>
      </x:c>
      <x:c r="Q10" s="19" t="str">
        <x:v>ENERGY_SYSTEM</x:v>
      </x:c>
      <x:c r="R10" s="19" t="str">
        <x:v>DC_ENERGY_SYSTEM</x:v>
      </x:c>
      <x:c r="S10" s="19" t="str"/>
      <x:c r="T10" s="19" t="str">
        <x:v>NONE</x:v>
      </x:c>
      <x:c r="U10" s="19" t="str">
        <x:v>2026-08-04</x:v>
      </x:c>
    </x:row>
    <x:row r="11" ht="56" customHeight="1">
      <x:c r="A11" s="369" t="str">
        <x:v>B31-F006</x:v>
      </x:c>
      <x:c r="B11" s="369" t="str">
        <x:v>PC-N70-MAX-CAND</x:v>
      </x:c>
      <x:c r="C11" s="369" t="str">
        <x:v>charge_sustaining_fuel</x:v>
      </x:c>
      <x:c r="D11" s="369" t="str">
        <x:v>ENERGY</x:v>
      </x:c>
      <x:c r="E11" s="369" t="str">
        <x:v>NUMERIC</x:v>
      </x:c>
      <x:c r="F11" s="373" t="n">
        <x:v>6.1</x:v>
      </x:c>
      <x:c r="G11" s="369" t="str"/>
      <x:c r="H11" s="369" t="str">
        <x:v>L/100km</x:v>
      </x:c>
      <x:c r="I11" s="369" t="str">
        <x:v>EQUIPPED_STANDARD_UNCONFIRMED</x:v>
      </x:c>
      <x:c r="J11" s="369" t="str">
        <x:v>NOT_EVIDENCED</x:v>
      </x:c>
      <x:c r="K11" s="369" t="str">
        <x:v>NOT_COMPARED</x:v>
      </x:c>
      <x:c r="L11" s="369" t="str">
        <x:v>DIRECT_CLAIM</x:v>
      </x:c>
      <x:c r="M11" s="369" t="str"/>
      <x:c r="N11" s="369" t="str">
        <x:v>B31-C019</x:v>
      </x:c>
      <x:c r="O11" s="369" t="str">
        <x:f>IF(AND(I11="STANDARD_AT_RELEASE",T11="NONE"),"TRUE","FALSE")</x:f>
        <x:v>FALSE</x:v>
      </x:c>
      <x:c r="P11" s="369" t="str">
        <x:f>IF(AND(J11="STANDARD_CURRENT",T11="NONE"),"TRUE","FALSE")</x:f>
        <x:v>FALSE</x:v>
      </x:c>
      <x:c r="Q11" s="369" t="str">
        <x:v>ENERGY_SYSTEM</x:v>
      </x:c>
      <x:c r="R11" s="369" t="str">
        <x:v>DC_ENERGY_SYSTEM</x:v>
      </x:c>
      <x:c r="S11" s="369" t="str">
        <x:v>CG_FUEL_CYCLE</x:v>
      </x:c>
      <x:c r="T11" s="369" t="str">
        <x:v>NONE</x:v>
      </x:c>
      <x:c r="U11" s="369" t="str">
        <x:v>2026-08-04</x:v>
      </x:c>
    </x:row>
    <x:row r="12" ht="56" customHeight="1">
      <x:c r="A12" s="19" t="str">
        <x:v>B31-F007</x:v>
      </x:c>
      <x:c r="B12" s="19" t="str">
        <x:v>PC-N70-MAX-CAND</x:v>
      </x:c>
      <x:c r="C12" s="19" t="str">
        <x:v>cltc_energy_consumption_min</x:v>
      </x:c>
      <x:c r="D12" s="19" t="str">
        <x:v>ENERGY</x:v>
      </x:c>
      <x:c r="E12" s="19" t="str">
        <x:v>NUMERIC</x:v>
      </x:c>
      <x:c r="F12" s="152" t="n">
        <x:v>15.85</x:v>
      </x:c>
      <x:c r="G12" s="19" t="str"/>
      <x:c r="H12" s="19" t="str">
        <x:v>kWh/100km</x:v>
      </x:c>
      <x:c r="I12" s="19" t="str">
        <x:v>EQUIPPED_STANDARD_UNCONFIRMED</x:v>
      </x:c>
      <x:c r="J12" s="19" t="str">
        <x:v>NOT_EVIDENCED</x:v>
      </x:c>
      <x:c r="K12" s="19" t="str">
        <x:v>NOT_COMPARED</x:v>
      </x:c>
      <x:c r="L12" s="19" t="str">
        <x:v>DIRECT_CLAIM</x:v>
      </x:c>
      <x:c r="M12" s="19" t="str"/>
      <x:c r="N12" s="19" t="str">
        <x:v>B31-C020</x:v>
      </x:c>
      <x:c r="O12" s="19" t="str">
        <x:f>IF(AND(I12="STANDARD_AT_RELEASE",T12="NONE"),"TRUE","FALSE")</x:f>
        <x:v>FALSE</x:v>
      </x:c>
      <x:c r="P12" s="19" t="str">
        <x:f>IF(AND(J12="STANDARD_CURRENT",T12="NONE"),"TRUE","FALSE")</x:f>
        <x:v>FALSE</x:v>
      </x:c>
      <x:c r="Q12" s="19" t="str">
        <x:v>ENERGY_SYSTEM</x:v>
      </x:c>
      <x:c r="R12" s="19" t="str">
        <x:v>DC_ENERGY_cltc_energy_consumption_min</x:v>
      </x:c>
      <x:c r="S12" s="19" t="str"/>
      <x:c r="T12" s="19" t="str">
        <x:v>NONE</x:v>
      </x:c>
      <x:c r="U12" s="19" t="str">
        <x:v>2026-08-04</x:v>
      </x:c>
    </x:row>
    <x:row r="13" ht="56" customHeight="1">
      <x:c r="A13" s="369" t="str">
        <x:v>B31-F008</x:v>
      </x:c>
      <x:c r="B13" s="369" t="str">
        <x:v>PC-N70-MAX-CAND</x:v>
      </x:c>
      <x:c r="C13" s="369" t="str">
        <x:v>air_suspension</x:v>
      </x:c>
      <x:c r="D13" s="369" t="str">
        <x:v>CHASSIS</x:v>
      </x:c>
      <x:c r="E13" s="369" t="str">
        <x:v>TEXT</x:v>
      </x:c>
      <x:c r="F13" s="373" t="str"/>
      <x:c r="G13" s="369" t="str">
        <x:v>空气弹簧</x:v>
      </x:c>
      <x:c r="H13" s="369" t="str"/>
      <x:c r="I13" s="369" t="str">
        <x:v>STANDARD_AT_RELEASE</x:v>
      </x:c>
      <x:c r="J13" s="369" t="str">
        <x:v>NOT_EVIDENCED</x:v>
      </x:c>
      <x:c r="K13" s="369" t="str">
        <x:v>NOT_COMPARED</x:v>
      </x:c>
      <x:c r="L13" s="369" t="str">
        <x:v>DIRECT_CLAIM</x:v>
      </x:c>
      <x:c r="M13" s="369" t="str"/>
      <x:c r="N13" s="369" t="str">
        <x:v>B31-C021</x:v>
      </x:c>
      <x:c r="O13" s="369" t="str">
        <x:f>IF(AND(I13="STANDARD_AT_RELEASE",T13="NONE"),"TRUE","FALSE")</x:f>
        <x:v>TRUE</x:v>
      </x:c>
      <x:c r="P13" s="369" t="str">
        <x:f>IF(AND(J13="STANDARD_CURRENT",T13="NONE"),"TRUE","FALSE")</x:f>
        <x:v>FALSE</x:v>
      </x:c>
      <x:c r="Q13" s="369" t="str">
        <x:v>CHASSIS_HARDWARE</x:v>
      </x:c>
      <x:c r="R13" s="369" t="str">
        <x:v>DC_CHASSIS_SUSPENSION</x:v>
      </x:c>
      <x:c r="S13" s="369" t="str"/>
      <x:c r="T13" s="369" t="str">
        <x:v>NONE</x:v>
      </x:c>
      <x:c r="U13" s="369" t="str">
        <x:v>2026-08-04</x:v>
      </x:c>
    </x:row>
    <x:row r="14" ht="56" customHeight="1">
      <x:c r="A14" s="19" t="str">
        <x:v>B31-F009</x:v>
      </x:c>
      <x:c r="B14" s="19" t="str">
        <x:v>PC-N70-MAX-CAND</x:v>
      </x:c>
      <x:c r="C14" s="19" t="str">
        <x:v>adaptive_damper</x:v>
      </x:c>
      <x:c r="D14" s="19" t="str">
        <x:v>CHASSIS</x:v>
      </x:c>
      <x:c r="E14" s="19" t="str">
        <x:v>TEXT</x:v>
      </x:c>
      <x:c r="F14" s="152" t="str"/>
      <x:c r="G14" s="19" t="str">
        <x:v>连续阻尼减振器</x:v>
      </x:c>
      <x:c r="H14" s="19" t="str"/>
      <x:c r="I14" s="19" t="str">
        <x:v>STANDARD_AT_RELEASE</x:v>
      </x:c>
      <x:c r="J14" s="19" t="str">
        <x:v>NOT_EVIDENCED</x:v>
      </x:c>
      <x:c r="K14" s="19" t="str">
        <x:v>NOT_COMPARED</x:v>
      </x:c>
      <x:c r="L14" s="19" t="str">
        <x:v>DIRECT_CLAIM</x:v>
      </x:c>
      <x:c r="M14" s="19" t="str"/>
      <x:c r="N14" s="19" t="str">
        <x:v>B31-C022</x:v>
      </x:c>
      <x:c r="O14" s="19" t="str">
        <x:f>IF(AND(I14="STANDARD_AT_RELEASE",T14="NONE"),"TRUE","FALSE")</x:f>
        <x:v>TRUE</x:v>
      </x:c>
      <x:c r="P14" s="19" t="str">
        <x:f>IF(AND(J14="STANDARD_CURRENT",T14="NONE"),"TRUE","FALSE")</x:f>
        <x:v>FALSE</x:v>
      </x:c>
      <x:c r="Q14" s="19" t="str">
        <x:v>CHASSIS_HARDWARE</x:v>
      </x:c>
      <x:c r="R14" s="19" t="str">
        <x:v>DC_CHASSIS_SUSPENSION</x:v>
      </x:c>
      <x:c r="S14" s="19" t="str"/>
      <x:c r="T14" s="19" t="str">
        <x:v>NONE</x:v>
      </x:c>
      <x:c r="U14" s="19" t="str">
        <x:v>2026-08-04</x:v>
      </x:c>
    </x:row>
    <x:row r="15" ht="56" customHeight="1">
      <x:c r="A15" s="369" t="str">
        <x:v>B31-F010</x:v>
      </x:c>
      <x:c r="B15" s="369" t="str">
        <x:v>PC-N70-MAX-CAND</x:v>
      </x:c>
      <x:c r="C15" s="369" t="str">
        <x:v>max_wading_depth</x:v>
      </x:c>
      <x:c r="D15" s="369" t="str">
        <x:v>SAFETY</x:v>
      </x:c>
      <x:c r="E15" s="369" t="str">
        <x:v>NUMERIC</x:v>
      </x:c>
      <x:c r="F15" s="373" t="n">
        <x:v>650</x:v>
      </x:c>
      <x:c r="G15" s="369" t="str"/>
      <x:c r="H15" s="369" t="str">
        <x:v>mm</x:v>
      </x:c>
      <x:c r="I15" s="369" t="str">
        <x:v>EQUIPPED_STANDARD_UNCONFIRMED</x:v>
      </x:c>
      <x:c r="J15" s="369" t="str">
        <x:v>NOT_EVIDENCED</x:v>
      </x:c>
      <x:c r="K15" s="369" t="str">
        <x:v>NOT_COMPARED</x:v>
      </x:c>
      <x:c r="L15" s="369" t="str">
        <x:v>DIRECT_CLAIM</x:v>
      </x:c>
      <x:c r="M15" s="369" t="str"/>
      <x:c r="N15" s="369" t="str">
        <x:v>B31-C023</x:v>
      </x:c>
      <x:c r="O15" s="369" t="str">
        <x:f>IF(AND(I15="STANDARD_AT_RELEASE",T15="NONE"),"TRUE","FALSE")</x:f>
        <x:v>FALSE</x:v>
      </x:c>
      <x:c r="P15" s="369" t="str">
        <x:f>IF(AND(J15="STANDARD_CURRENT",T15="NONE"),"TRUE","FALSE")</x:f>
        <x:v>FALSE</x:v>
      </x:c>
      <x:c r="Q15" s="369" t="str">
        <x:v>OTHER</x:v>
      </x:c>
      <x:c r="R15" s="369" t="str">
        <x:v>DC_SAFETY_max_wading_depth</x:v>
      </x:c>
      <x:c r="S15" s="369" t="str"/>
      <x:c r="T15" s="369" t="str">
        <x:v>NONE</x:v>
      </x:c>
      <x:c r="U15" s="369" t="str">
        <x:v>2026-08-04</x:v>
      </x:c>
    </x:row>
    <x:row r="16" ht="56" customHeight="1">
      <x:c r="A16" s="19" t="str">
        <x:v>B31-F011</x:v>
      </x:c>
      <x:c r="B16" s="19" t="str">
        <x:v>PC-N70-MAX-CAND</x:v>
      </x:c>
      <x:c r="C16" s="19" t="str">
        <x:v>wading_radar_count</x:v>
      </x:c>
      <x:c r="D16" s="19" t="str">
        <x:v>SAFETY</x:v>
      </x:c>
      <x:c r="E16" s="19" t="str">
        <x:v>NUMERIC</x:v>
      </x:c>
      <x:c r="F16" s="152" t="n">
        <x:v>2</x:v>
      </x:c>
      <x:c r="G16" s="19" t="str"/>
      <x:c r="H16" s="19" t="str">
        <x:v>count</x:v>
      </x:c>
      <x:c r="I16" s="19" t="str">
        <x:v>STANDARD_AT_RELEASE</x:v>
      </x:c>
      <x:c r="J16" s="19" t="str">
        <x:v>NOT_EVIDENCED</x:v>
      </x:c>
      <x:c r="K16" s="19" t="str">
        <x:v>NOT_COMPARED</x:v>
      </x:c>
      <x:c r="L16" s="19" t="str">
        <x:v>DIRECT_CLAIM</x:v>
      </x:c>
      <x:c r="M16" s="19" t="str"/>
      <x:c r="N16" s="19" t="str">
        <x:v>B31-C024</x:v>
      </x:c>
      <x:c r="O16" s="19" t="str">
        <x:f>IF(AND(I16="STANDARD_AT_RELEASE",T16="NONE"),"TRUE","FALSE")</x:f>
        <x:v>TRUE</x:v>
      </x:c>
      <x:c r="P16" s="19" t="str">
        <x:f>IF(AND(J16="STANDARD_CURRENT",T16="NONE"),"TRUE","FALSE")</x:f>
        <x:v>FALSE</x:v>
      </x:c>
      <x:c r="Q16" s="19" t="str">
        <x:v>OTHER</x:v>
      </x:c>
      <x:c r="R16" s="19" t="str">
        <x:v>DC_SAFETY_wading_radar_count</x:v>
      </x:c>
      <x:c r="S16" s="19" t="str"/>
      <x:c r="T16" s="19" t="str">
        <x:v>NONE</x:v>
      </x:c>
      <x:c r="U16" s="19" t="str">
        <x:v>2026-08-04</x:v>
      </x:c>
    </x:row>
    <x:row r="17" ht="56" customHeight="1">
      <x:c r="A17" s="369" t="str">
        <x:v>B31-F012</x:v>
      </x:c>
      <x:c r="B17" s="369" t="str">
        <x:v>PC-N70-MAX-CAND</x:v>
      </x:c>
      <x:c r="C17" s="369" t="str">
        <x:v>waterproof_key_parts</x:v>
      </x:c>
      <x:c r="D17" s="369" t="str">
        <x:v>SAFETY</x:v>
      </x:c>
      <x:c r="E17" s="369" t="str">
        <x:v>NUMERIC</x:v>
      </x:c>
      <x:c r="F17" s="373" t="n">
        <x:v>24</x:v>
      </x:c>
      <x:c r="G17" s="369" t="str"/>
      <x:c r="H17" s="369" t="str">
        <x:v>count</x:v>
      </x:c>
      <x:c r="I17" s="369" t="str">
        <x:v>STANDARD_AT_RELEASE</x:v>
      </x:c>
      <x:c r="J17" s="369" t="str">
        <x:v>NOT_EVIDENCED</x:v>
      </x:c>
      <x:c r="K17" s="369" t="str">
        <x:v>NOT_COMPARED</x:v>
      </x:c>
      <x:c r="L17" s="369" t="str">
        <x:v>DIRECT_CLAIM</x:v>
      </x:c>
      <x:c r="M17" s="369" t="str"/>
      <x:c r="N17" s="369" t="str">
        <x:v>B31-C025</x:v>
      </x:c>
      <x:c r="O17" s="369" t="str">
        <x:f>IF(AND(I17="STANDARD_AT_RELEASE",T17="NONE"),"TRUE","FALSE")</x:f>
        <x:v>TRUE</x:v>
      </x:c>
      <x:c r="P17" s="369" t="str">
        <x:f>IF(AND(J17="STANDARD_CURRENT",T17="NONE"),"TRUE","FALSE")</x:f>
        <x:v>FALSE</x:v>
      </x:c>
      <x:c r="Q17" s="369" t="str">
        <x:v>OTHER</x:v>
      </x:c>
      <x:c r="R17" s="369" t="str">
        <x:v>DC_SAFETY_waterproof_key_parts</x:v>
      </x:c>
      <x:c r="S17" s="369" t="str"/>
      <x:c r="T17" s="369" t="str">
        <x:v>NONE</x:v>
      </x:c>
      <x:c r="U17" s="369" t="str">
        <x:v>2026-08-04</x:v>
      </x:c>
    </x:row>
    <x:row r="18" ht="56" customHeight="1">
      <x:c r="A18" s="19" t="str">
        <x:v>B31-F013</x:v>
      </x:c>
      <x:c r="B18" s="19" t="str">
        <x:v>PC-N70-MAX-CAND</x:v>
      </x:c>
      <x:c r="C18" s="19" t="str">
        <x:v>battery_waterproof</x:v>
      </x:c>
      <x:c r="D18" s="19" t="str">
        <x:v>SAFETY</x:v>
      </x:c>
      <x:c r="E18" s="19" t="str">
        <x:v>TEXT</x:v>
      </x:c>
      <x:c r="F18" s="152" t="str"/>
      <x:c r="G18" s="19" t="str">
        <x:v>IPX8 / IPX9K</x:v>
      </x:c>
      <x:c r="H18" s="19" t="str"/>
      <x:c r="I18" s="19" t="str">
        <x:v>STANDARD_AT_RELEASE</x:v>
      </x:c>
      <x:c r="J18" s="19" t="str">
        <x:v>NOT_EVIDENCED</x:v>
      </x:c>
      <x:c r="K18" s="19" t="str">
        <x:v>NOT_COMPARED</x:v>
      </x:c>
      <x:c r="L18" s="19" t="str">
        <x:v>DIRECT_CLAIM</x:v>
      </x:c>
      <x:c r="M18" s="19" t="str"/>
      <x:c r="N18" s="19" t="str">
        <x:v>B31-C026</x:v>
      </x:c>
      <x:c r="O18" s="19" t="str">
        <x:f>IF(AND(I18="STANDARD_AT_RELEASE",T18="NONE"),"TRUE","FALSE")</x:f>
        <x:v>TRUE</x:v>
      </x:c>
      <x:c r="P18" s="19" t="str">
        <x:f>IF(AND(J18="STANDARD_CURRENT",T18="NONE"),"TRUE","FALSE")</x:f>
        <x:v>FALSE</x:v>
      </x:c>
      <x:c r="Q18" s="19" t="str">
        <x:v>OTHER</x:v>
      </x:c>
      <x:c r="R18" s="19" t="str">
        <x:v>DC_SAFETY_battery_waterproof</x:v>
      </x:c>
      <x:c r="S18" s="19" t="str"/>
      <x:c r="T18" s="19" t="str">
        <x:v>NONE</x:v>
      </x:c>
      <x:c r="U18" s="19" t="str">
        <x:v>2026-08-04</x:v>
      </x:c>
    </x:row>
    <x:row r="19" ht="56" customHeight="1">
      <x:c r="A19" s="369" t="str">
        <x:v>B31-F014</x:v>
      </x:c>
      <x:c r="B19" s="369" t="str">
        <x:v>PC-N70-MAX-CAND</x:v>
      </x:c>
      <x:c r="C19" s="369" t="str">
        <x:v>emergency_float</x:v>
      </x:c>
      <x:c r="D19" s="369" t="str">
        <x:v>SAFETY</x:v>
      </x:c>
      <x:c r="E19" s="369" t="str">
        <x:v>TEXT</x:v>
      </x:c>
      <x:c r="F19" s="373" t="str"/>
      <x:c r="G19" s="369" t="str">
        <x:v>支持；3分钟内座舱无明显进水</x:v>
      </x:c>
      <x:c r="H19" s="369" t="str"/>
      <x:c r="I19" s="369" t="str">
        <x:v>EQUIPPED_STANDARD_UNCONFIRMED</x:v>
      </x:c>
      <x:c r="J19" s="369" t="str">
        <x:v>NOT_EVIDENCED</x:v>
      </x:c>
      <x:c r="K19" s="369" t="str">
        <x:v>NOT_COMPARED</x:v>
      </x:c>
      <x:c r="L19" s="369" t="str">
        <x:v>DIRECT_CLAIM</x:v>
      </x:c>
      <x:c r="M19" s="369" t="str"/>
      <x:c r="N19" s="369" t="str">
        <x:v>B31-C027</x:v>
      </x:c>
      <x:c r="O19" s="369" t="str">
        <x:f>IF(AND(I19="STANDARD_AT_RELEASE",T19="NONE"),"TRUE","FALSE")</x:f>
        <x:v>FALSE</x:v>
      </x:c>
      <x:c r="P19" s="369" t="str">
        <x:f>IF(AND(J19="STANDARD_CURRENT",T19="NONE"),"TRUE","FALSE")</x:f>
        <x:v>FALSE</x:v>
      </x:c>
      <x:c r="Q19" s="369" t="str">
        <x:v>OTHER</x:v>
      </x:c>
      <x:c r="R19" s="369" t="str">
        <x:v>DC_SAFETY_emergency_float</x:v>
      </x:c>
      <x:c r="S19" s="369" t="str"/>
      <x:c r="T19" s="369" t="str">
        <x:v>NONE</x:v>
      </x:c>
      <x:c r="U19" s="369" t="str">
        <x:v>2026-08-04</x:v>
      </x:c>
    </x:row>
    <x:row r="20" ht="56" customHeight="1">
      <x:c r="A20" s="19" t="str">
        <x:v>B31-F015</x:v>
      </x:c>
      <x:c r="B20" s="19" t="str">
        <x:v>PC-N70-MAX-CAND</x:v>
      </x:c>
      <x:c r="C20" s="19" t="str">
        <x:v>integrated_door_ring</x:v>
      </x:c>
      <x:c r="D20" s="19" t="str">
        <x:v>BODY_SAFETY</x:v>
      </x:c>
      <x:c r="E20" s="19" t="str">
        <x:v>TEXT</x:v>
      </x:c>
      <x:c r="F20" s="152" t="str"/>
      <x:c r="G20" s="19" t="str">
        <x:v>一体式热成型门环</x:v>
      </x:c>
      <x:c r="H20" s="19" t="str"/>
      <x:c r="I20" s="19" t="str">
        <x:v>STANDARD_AT_RELEASE</x:v>
      </x:c>
      <x:c r="J20" s="19" t="str">
        <x:v>NOT_EVIDENCED</x:v>
      </x:c>
      <x:c r="K20" s="19" t="str">
        <x:v>NOT_COMPARED</x:v>
      </x:c>
      <x:c r="L20" s="19" t="str">
        <x:v>DIRECT_CLAIM</x:v>
      </x:c>
      <x:c r="M20" s="19" t="str"/>
      <x:c r="N20" s="19" t="str">
        <x:v>B31-C028</x:v>
      </x:c>
      <x:c r="O20" s="19" t="str">
        <x:f>IF(AND(I20="STANDARD_AT_RELEASE",T20="NONE"),"TRUE","FALSE")</x:f>
        <x:v>TRUE</x:v>
      </x:c>
      <x:c r="P20" s="19" t="str">
        <x:f>IF(AND(J20="STANDARD_CURRENT",T20="NONE"),"TRUE","FALSE")</x:f>
        <x:v>FALSE</x:v>
      </x:c>
      <x:c r="Q20" s="19" t="str">
        <x:v>BODY_SPACE_SAFETY</x:v>
      </x:c>
      <x:c r="R20" s="19" t="str">
        <x:v>DC_BODY_SAFETY_integrated_door_ring</x:v>
      </x:c>
      <x:c r="S20" s="19" t="str"/>
      <x:c r="T20" s="19" t="str">
        <x:v>NONE</x:v>
      </x:c>
      <x:c r="U20" s="19" t="str">
        <x:v>2026-08-04</x:v>
      </x:c>
    </x:row>
    <x:row r="21" ht="56" customHeight="1">
      <x:c r="A21" s="369" t="str">
        <x:v>B31-F016</x:v>
      </x:c>
      <x:c r="B21" s="369" t="str">
        <x:v>PC-N90-MAX-CAND</x:v>
      </x:c>
      <x:c r="C21" s="369" t="str">
        <x:v>seat_count</x:v>
      </x:c>
      <x:c r="D21" s="369" t="str">
        <x:v>BODY_SPACE</x:v>
      </x:c>
      <x:c r="E21" s="369" t="str">
        <x:v>NUMERIC</x:v>
      </x:c>
      <x:c r="F21" s="373" t="n">
        <x:v>7</x:v>
      </x:c>
      <x:c r="G21" s="369" t="str">
        <x:v>7</x:v>
      </x:c>
      <x:c r="H21" s="369" t="str">
        <x:v>count</x:v>
      </x:c>
      <x:c r="I21" s="369" t="str">
        <x:v>EQUIPPED_STANDARD_UNCONFIRMED</x:v>
      </x:c>
      <x:c r="J21" s="369" t="str">
        <x:v>NOT_EVIDENCED</x:v>
      </x:c>
      <x:c r="K21" s="369" t="str">
        <x:v>NOT_COMPARED</x:v>
      </x:c>
      <x:c r="L21" s="369" t="str">
        <x:v>DIRECT_CLAIM</x:v>
      </x:c>
      <x:c r="M21" s="369" t="str"/>
      <x:c r="N21" s="369" t="str">
        <x:v>B31-C036</x:v>
      </x:c>
      <x:c r="O21" s="369" t="str">
        <x:f>IF(AND(I21="STANDARD_AT_RELEASE",T21="NONE"),"TRUE","FALSE")</x:f>
        <x:v>FALSE</x:v>
      </x:c>
      <x:c r="P21" s="369" t="str">
        <x:f>IF(AND(J21="STANDARD_CURRENT",T21="NONE"),"TRUE","FALSE")</x:f>
        <x:v>FALSE</x:v>
      </x:c>
      <x:c r="Q21" s="369" t="str">
        <x:v>BODY_SPACE_SAFETY</x:v>
      </x:c>
      <x:c r="R21" s="369" t="str">
        <x:v>DC_BODY_SPACE_seat_count</x:v>
      </x:c>
      <x:c r="S21" s="369" t="str"/>
      <x:c r="T21" s="369" t="str">
        <x:v>NONE</x:v>
      </x:c>
      <x:c r="U21" s="369" t="str">
        <x:v>2026-08-04</x:v>
      </x:c>
    </x:row>
    <x:row r="22" ht="56" customHeight="1">
      <x:c r="A22" s="19" t="str">
        <x:v>B31-F017</x:v>
      </x:c>
      <x:c r="B22" s="19" t="str">
        <x:v>PC-N90-MAX-CAND</x:v>
      </x:c>
      <x:c r="C22" s="19" t="str">
        <x:v>seat_layout</x:v>
      </x:c>
      <x:c r="D22" s="19" t="str">
        <x:v>BODY_SPACE</x:v>
      </x:c>
      <x:c r="E22" s="19" t="str">
        <x:v>TEXT</x:v>
      </x:c>
      <x:c r="F22" s="152" t="str"/>
      <x:c r="G22" s="19" t="str">
        <x:v>2+2+3</x:v>
      </x:c>
      <x:c r="H22" s="19" t="str"/>
      <x:c r="I22" s="19" t="str">
        <x:v>EQUIPPED_STANDARD_UNCONFIRMED</x:v>
      </x:c>
      <x:c r="J22" s="19" t="str">
        <x:v>NOT_EVIDENCED</x:v>
      </x:c>
      <x:c r="K22" s="19" t="str">
        <x:v>NOT_COMPARED</x:v>
      </x:c>
      <x:c r="L22" s="19" t="str">
        <x:v>DIRECT_CLAIM</x:v>
      </x:c>
      <x:c r="M22" s="19" t="str"/>
      <x:c r="N22" s="19" t="str">
        <x:v>B31-C037</x:v>
      </x:c>
      <x:c r="O22" s="19" t="str">
        <x:f>IF(AND(I22="STANDARD_AT_RELEASE",T22="NONE"),"TRUE","FALSE")</x:f>
        <x:v>FALSE</x:v>
      </x:c>
      <x:c r="P22" s="19" t="str">
        <x:f>IF(AND(J22="STANDARD_CURRENT",T22="NONE"),"TRUE","FALSE")</x:f>
        <x:v>FALSE</x:v>
      </x:c>
      <x:c r="Q22" s="19" t="str">
        <x:v>BODY_SPACE_SAFETY</x:v>
      </x:c>
      <x:c r="R22" s="19" t="str">
        <x:v>DC_BODY_SPACE_seat_layout</x:v>
      </x:c>
      <x:c r="S22" s="19" t="str"/>
      <x:c r="T22" s="19" t="str">
        <x:v>NONE</x:v>
      </x:c>
      <x:c r="U22" s="19" t="str">
        <x:v>2026-08-04</x:v>
      </x:c>
    </x:row>
    <x:row r="23" ht="56" customHeight="1">
      <x:c r="A23" s="369" t="str">
        <x:v>B31-F018</x:v>
      </x:c>
      <x:c r="B23" s="369" t="str">
        <x:v>PC-N90-MAX-CAND</x:v>
      </x:c>
      <x:c r="C23" s="369" t="str">
        <x:v>cabin_length</x:v>
      </x:c>
      <x:c r="D23" s="369" t="str">
        <x:v>BODY_SPACE</x:v>
      </x:c>
      <x:c r="E23" s="369" t="str">
        <x:v>NUMERIC</x:v>
      </x:c>
      <x:c r="F23" s="373" t="n">
        <x:v>2760</x:v>
      </x:c>
      <x:c r="G23" s="369" t="str"/>
      <x:c r="H23" s="369" t="str">
        <x:v>mm</x:v>
      </x:c>
      <x:c r="I23" s="369" t="str">
        <x:v>EQUIPPED_STANDARD_UNCONFIRMED</x:v>
      </x:c>
      <x:c r="J23" s="369" t="str">
        <x:v>NOT_EVIDENCED</x:v>
      </x:c>
      <x:c r="K23" s="369" t="str">
        <x:v>NOT_COMPARED</x:v>
      </x:c>
      <x:c r="L23" s="369" t="str">
        <x:v>DIRECT_CLAIM</x:v>
      </x:c>
      <x:c r="M23" s="369" t="str"/>
      <x:c r="N23" s="369" t="str">
        <x:v>B31-C038</x:v>
      </x:c>
      <x:c r="O23" s="369" t="str">
        <x:f>IF(AND(I23="STANDARD_AT_RELEASE",T23="NONE"),"TRUE","FALSE")</x:f>
        <x:v>FALSE</x:v>
      </x:c>
      <x:c r="P23" s="369" t="str">
        <x:f>IF(AND(J23="STANDARD_CURRENT",T23="NONE"),"TRUE","FALSE")</x:f>
        <x:v>FALSE</x:v>
      </x:c>
      <x:c r="Q23" s="369" t="str">
        <x:v>BODY_SPACE_SAFETY</x:v>
      </x:c>
      <x:c r="R23" s="369" t="str">
        <x:v>DC_BODY_SPACE_cabin_length</x:v>
      </x:c>
      <x:c r="S23" s="369" t="str"/>
      <x:c r="T23" s="369" t="str">
        <x:v>NONE</x:v>
      </x:c>
      <x:c r="U23" s="369" t="str">
        <x:v>2026-08-04</x:v>
      </x:c>
    </x:row>
    <x:row r="24" ht="56" customHeight="1">
      <x:c r="A24" s="19" t="str">
        <x:v>B31-F019</x:v>
      </x:c>
      <x:c r="B24" s="19" t="str">
        <x:v>PC-N90-MAX-CAND</x:v>
      </x:c>
      <x:c r="C24" s="19" t="str">
        <x:v>row2_space</x:v>
      </x:c>
      <x:c r="D24" s="19" t="str">
        <x:v>BODY_SPACE</x:v>
      </x:c>
      <x:c r="E24" s="19" t="str">
        <x:v>NUMERIC</x:v>
      </x:c>
      <x:c r="F24" s="152" t="n">
        <x:v>950</x:v>
      </x:c>
      <x:c r="G24" s="19" t="str"/>
      <x:c r="H24" s="19" t="str">
        <x:v>mm</x:v>
      </x:c>
      <x:c r="I24" s="19" t="str">
        <x:v>EQUIPPED_STANDARD_UNCONFIRMED</x:v>
      </x:c>
      <x:c r="J24" s="19" t="str">
        <x:v>NOT_EVIDENCED</x:v>
      </x:c>
      <x:c r="K24" s="19" t="str">
        <x:v>NOT_COMPARED</x:v>
      </x:c>
      <x:c r="L24" s="19" t="str">
        <x:v>DIRECT_CLAIM</x:v>
      </x:c>
      <x:c r="M24" s="19" t="str"/>
      <x:c r="N24" s="19" t="str">
        <x:v>B31-C039</x:v>
      </x:c>
      <x:c r="O24" s="19" t="str">
        <x:f>IF(AND(I24="STANDARD_AT_RELEASE",T24="NONE"),"TRUE","FALSE")</x:f>
        <x:v>FALSE</x:v>
      </x:c>
      <x:c r="P24" s="19" t="str">
        <x:f>IF(AND(J24="STANDARD_CURRENT",T24="NONE"),"TRUE","FALSE")</x:f>
        <x:v>FALSE</x:v>
      </x:c>
      <x:c r="Q24" s="19" t="str">
        <x:v>BODY_SPACE_SAFETY</x:v>
      </x:c>
      <x:c r="R24" s="19" t="str">
        <x:v>DC_BODY_SPACE_row2_space</x:v>
      </x:c>
      <x:c r="S24" s="19" t="str"/>
      <x:c r="T24" s="19" t="str">
        <x:v>NONE</x:v>
      </x:c>
      <x:c r="U24" s="19" t="str">
        <x:v>2026-08-04</x:v>
      </x:c>
    </x:row>
    <x:row r="25" ht="56" customHeight="1">
      <x:c r="A25" s="369" t="str">
        <x:v>B31-F020</x:v>
      </x:c>
      <x:c r="B25" s="369" t="str">
        <x:v>PC-N90-MAX-CAND</x:v>
      </x:c>
      <x:c r="C25" s="369" t="str">
        <x:v>row2_standing_height_min</x:v>
      </x:c>
      <x:c r="D25" s="369" t="str">
        <x:v>BODY_SPACE</x:v>
      </x:c>
      <x:c r="E25" s="369" t="str">
        <x:v>NUMERIC</x:v>
      </x:c>
      <x:c r="F25" s="373" t="n">
        <x:v>1233</x:v>
      </x:c>
      <x:c r="G25" s="369" t="str"/>
      <x:c r="H25" s="369" t="str">
        <x:v>mm</x:v>
      </x:c>
      <x:c r="I25" s="369" t="str">
        <x:v>EQUIPPED_STANDARD_UNCONFIRMED</x:v>
      </x:c>
      <x:c r="J25" s="369" t="str">
        <x:v>NOT_EVIDENCED</x:v>
      </x:c>
      <x:c r="K25" s="369" t="str">
        <x:v>NOT_COMPARED</x:v>
      </x:c>
      <x:c r="L25" s="369" t="str">
        <x:v>DIRECT_CLAIM</x:v>
      </x:c>
      <x:c r="M25" s="369" t="str"/>
      <x:c r="N25" s="369" t="str">
        <x:v>B31-C040</x:v>
      </x:c>
      <x:c r="O25" s="369" t="str">
        <x:f>IF(AND(I25="STANDARD_AT_RELEASE",T25="NONE"),"TRUE","FALSE")</x:f>
        <x:v>FALSE</x:v>
      </x:c>
      <x:c r="P25" s="369" t="str">
        <x:f>IF(AND(J25="STANDARD_CURRENT",T25="NONE"),"TRUE","FALSE")</x:f>
        <x:v>FALSE</x:v>
      </x:c>
      <x:c r="Q25" s="369" t="str">
        <x:v>BODY_SPACE_SAFETY</x:v>
      </x:c>
      <x:c r="R25" s="369" t="str">
        <x:v>DC_BODY_SPACE_row2_standing_height_min</x:v>
      </x:c>
      <x:c r="S25" s="369" t="str"/>
      <x:c r="T25" s="369" t="str">
        <x:v>NONE</x:v>
      </x:c>
      <x:c r="U25" s="369" t="str">
        <x:v>2026-08-04</x:v>
      </x:c>
    </x:row>
    <x:row r="26" ht="56" customHeight="1">
      <x:c r="A26" s="19" t="str">
        <x:v>B31-F021</x:v>
      </x:c>
      <x:c r="B26" s="19" t="str">
        <x:v>PC-N90-MAX-CAND</x:v>
      </x:c>
      <x:c r="C26" s="19" t="str">
        <x:v>center_aisle_width</x:v>
      </x:c>
      <x:c r="D26" s="19" t="str">
        <x:v>BODY_SPACE</x:v>
      </x:c>
      <x:c r="E26" s="19" t="str">
        <x:v>NUMERIC</x:v>
      </x:c>
      <x:c r="F26" s="152" t="n">
        <x:v>180</x:v>
      </x:c>
      <x:c r="G26" s="19" t="str"/>
      <x:c r="H26" s="19" t="str">
        <x:v>mm</x:v>
      </x:c>
      <x:c r="I26" s="19" t="str">
        <x:v>EQUIPPED_STANDARD_UNCONFIRMED</x:v>
      </x:c>
      <x:c r="J26" s="19" t="str">
        <x:v>NOT_EVIDENCED</x:v>
      </x:c>
      <x:c r="K26" s="19" t="str">
        <x:v>NOT_COMPARED</x:v>
      </x:c>
      <x:c r="L26" s="19" t="str">
        <x:v>DIRECT_CLAIM</x:v>
      </x:c>
      <x:c r="M26" s="19" t="str"/>
      <x:c r="N26" s="19" t="str">
        <x:v>B31-C041</x:v>
      </x:c>
      <x:c r="O26" s="19" t="str">
        <x:f>IF(AND(I26="STANDARD_AT_RELEASE",T26="NONE"),"TRUE","FALSE")</x:f>
        <x:v>FALSE</x:v>
      </x:c>
      <x:c r="P26" s="19" t="str">
        <x:f>IF(AND(J26="STANDARD_CURRENT",T26="NONE"),"TRUE","FALSE")</x:f>
        <x:v>FALSE</x:v>
      </x:c>
      <x:c r="Q26" s="19" t="str">
        <x:v>BODY_SPACE_SAFETY</x:v>
      </x:c>
      <x:c r="R26" s="19" t="str">
        <x:v>DC_BODY_SPACE_center_aisle_width</x:v>
      </x:c>
      <x:c r="S26" s="19" t="str"/>
      <x:c r="T26" s="19" t="str">
        <x:v>NONE</x:v>
      </x:c>
      <x:c r="U26" s="19" t="str">
        <x:v>2026-08-04</x:v>
      </x:c>
    </x:row>
    <x:row r="27" ht="56" customHeight="1">
      <x:c r="A27" s="369" t="str">
        <x:v>B31-F022</x:v>
      </x:c>
      <x:c r="B27" s="369" t="str">
        <x:v>PC-N90-MAX-CAND</x:v>
      </x:c>
      <x:c r="C27" s="369" t="str">
        <x:v>row3_space</x:v>
      </x:c>
      <x:c r="D27" s="369" t="str">
        <x:v>BODY_SPACE</x:v>
      </x:c>
      <x:c r="E27" s="369" t="str">
        <x:v>NUMERIC</x:v>
      </x:c>
      <x:c r="F27" s="373" t="n">
        <x:v>890</x:v>
      </x:c>
      <x:c r="G27" s="369" t="str"/>
      <x:c r="H27" s="369" t="str">
        <x:v>mm</x:v>
      </x:c>
      <x:c r="I27" s="369" t="str">
        <x:v>EQUIPPED_STANDARD_UNCONFIRMED</x:v>
      </x:c>
      <x:c r="J27" s="369" t="str">
        <x:v>NOT_EVIDENCED</x:v>
      </x:c>
      <x:c r="K27" s="369" t="str">
        <x:v>NOT_COMPARED</x:v>
      </x:c>
      <x:c r="L27" s="369" t="str">
        <x:v>DIRECT_CLAIM</x:v>
      </x:c>
      <x:c r="M27" s="369" t="str"/>
      <x:c r="N27" s="369" t="str">
        <x:v>B31-C042</x:v>
      </x:c>
      <x:c r="O27" s="369" t="str">
        <x:f>IF(AND(I27="STANDARD_AT_RELEASE",T27="NONE"),"TRUE","FALSE")</x:f>
        <x:v>FALSE</x:v>
      </x:c>
      <x:c r="P27" s="369" t="str">
        <x:f>IF(AND(J27="STANDARD_CURRENT",T27="NONE"),"TRUE","FALSE")</x:f>
        <x:v>FALSE</x:v>
      </x:c>
      <x:c r="Q27" s="369" t="str">
        <x:v>BODY_SPACE_SAFETY</x:v>
      </x:c>
      <x:c r="R27" s="369" t="str">
        <x:v>DC_BODY_SPACE_row3_space</x:v>
      </x:c>
      <x:c r="S27" s="369" t="str"/>
      <x:c r="T27" s="369" t="str">
        <x:v>NONE</x:v>
      </x:c>
      <x:c r="U27" s="369" t="str">
        <x:v>2026-08-04</x:v>
      </x:c>
    </x:row>
    <x:row r="28" ht="56" customHeight="1">
      <x:c r="A28" s="19" t="str">
        <x:v>B31-F023</x:v>
      </x:c>
      <x:c r="B28" s="19" t="str">
        <x:v>PC-N90-MAX-CAND</x:v>
      </x:c>
      <x:c r="C28" s="19" t="str">
        <x:v>row3_headroom</x:v>
      </x:c>
      <x:c r="D28" s="19" t="str">
        <x:v>BODY_SPACE</x:v>
      </x:c>
      <x:c r="E28" s="19" t="str">
        <x:v>NUMERIC</x:v>
      </x:c>
      <x:c r="F28" s="152" t="n">
        <x:v>962</x:v>
      </x:c>
      <x:c r="G28" s="19" t="str"/>
      <x:c r="H28" s="19" t="str">
        <x:v>mm</x:v>
      </x:c>
      <x:c r="I28" s="19" t="str">
        <x:v>EQUIPPED_STANDARD_UNCONFIRMED</x:v>
      </x:c>
      <x:c r="J28" s="19" t="str">
        <x:v>NOT_EVIDENCED</x:v>
      </x:c>
      <x:c r="K28" s="19" t="str">
        <x:v>NOT_COMPARED</x:v>
      </x:c>
      <x:c r="L28" s="19" t="str">
        <x:v>DIRECT_CLAIM</x:v>
      </x:c>
      <x:c r="M28" s="19" t="str"/>
      <x:c r="N28" s="19" t="str">
        <x:v>B31-C043</x:v>
      </x:c>
      <x:c r="O28" s="19" t="str">
        <x:f>IF(AND(I28="STANDARD_AT_RELEASE",T28="NONE"),"TRUE","FALSE")</x:f>
        <x:v>FALSE</x:v>
      </x:c>
      <x:c r="P28" s="19" t="str">
        <x:f>IF(AND(J28="STANDARD_CURRENT",T28="NONE"),"TRUE","FALSE")</x:f>
        <x:v>FALSE</x:v>
      </x:c>
      <x:c r="Q28" s="19" t="str">
        <x:v>BODY_SPACE_SAFETY</x:v>
      </x:c>
      <x:c r="R28" s="19" t="str">
        <x:v>DC_BODY_SPACE_row3_headroom</x:v>
      </x:c>
      <x:c r="S28" s="19" t="str"/>
      <x:c r="T28" s="19" t="str">
        <x:v>NONE</x:v>
      </x:c>
      <x:c r="U28" s="19" t="str">
        <x:v>2026-08-04</x:v>
      </x:c>
    </x:row>
    <x:row r="29" ht="56" customHeight="1">
      <x:c r="A29" s="369" t="str">
        <x:v>B31-F024</x:v>
      </x:c>
      <x:c r="B29" s="369" t="str">
        <x:v>PC-N90-MAX-CAND</x:v>
      </x:c>
      <x:c r="C29" s="369" t="str">
        <x:v>trunk_standard</x:v>
      </x:c>
      <x:c r="D29" s="369" t="str">
        <x:v>BODY_SPACE</x:v>
      </x:c>
      <x:c r="E29" s="369" t="str">
        <x:v>NUMERIC</x:v>
      </x:c>
      <x:c r="F29" s="373" t="n">
        <x:v>577</x:v>
      </x:c>
      <x:c r="G29" s="369" t="str"/>
      <x:c r="H29" s="369" t="str">
        <x:v>L</x:v>
      </x:c>
      <x:c r="I29" s="369" t="str">
        <x:v>EQUIPPED_STANDARD_UNCONFIRMED</x:v>
      </x:c>
      <x:c r="J29" s="369" t="str">
        <x:v>NOT_EVIDENCED</x:v>
      </x:c>
      <x:c r="K29" s="369" t="str">
        <x:v>NOT_COMPARED</x:v>
      </x:c>
      <x:c r="L29" s="369" t="str">
        <x:v>DIRECT_CLAIM</x:v>
      </x:c>
      <x:c r="M29" s="369" t="str"/>
      <x:c r="N29" s="369" t="str">
        <x:v>B31-C044</x:v>
      </x:c>
      <x:c r="O29" s="369" t="str">
        <x:f>IF(AND(I29="STANDARD_AT_RELEASE",T29="NONE"),"TRUE","FALSE")</x:f>
        <x:v>FALSE</x:v>
      </x:c>
      <x:c r="P29" s="369" t="str">
        <x:f>IF(AND(J29="STANDARD_CURRENT",T29="NONE"),"TRUE","FALSE")</x:f>
        <x:v>FALSE</x:v>
      </x:c>
      <x:c r="Q29" s="369" t="str">
        <x:v>BODY_SPACE_SAFETY</x:v>
      </x:c>
      <x:c r="R29" s="369" t="str">
        <x:v>DC_BODY_SPACE_trunk_standard</x:v>
      </x:c>
      <x:c r="S29" s="369" t="str"/>
      <x:c r="T29" s="369" t="str">
        <x:v>NONE</x:v>
      </x:c>
      <x:c r="U29" s="369" t="str">
        <x:v>2026-08-04</x:v>
      </x:c>
    </x:row>
    <x:row r="30" ht="56" customHeight="1">
      <x:c r="A30" s="19" t="str">
        <x:v>B31-F025</x:v>
      </x:c>
      <x:c r="B30" s="19" t="str">
        <x:v>PC-N90-MAX-CAND</x:v>
      </x:c>
      <x:c r="C30" s="19" t="str">
        <x:v>trunk_max</x:v>
      </x:c>
      <x:c r="D30" s="19" t="str">
        <x:v>BODY_SPACE</x:v>
      </x:c>
      <x:c r="E30" s="19" t="str">
        <x:v>NUMERIC</x:v>
      </x:c>
      <x:c r="F30" s="152" t="n">
        <x:v>1831</x:v>
      </x:c>
      <x:c r="G30" s="19" t="str"/>
      <x:c r="H30" s="19" t="str">
        <x:v>L</x:v>
      </x:c>
      <x:c r="I30" s="19" t="str">
        <x:v>EQUIPPED_STANDARD_UNCONFIRMED</x:v>
      </x:c>
      <x:c r="J30" s="19" t="str">
        <x:v>NOT_EVIDENCED</x:v>
      </x:c>
      <x:c r="K30" s="19" t="str">
        <x:v>NOT_COMPARED</x:v>
      </x:c>
      <x:c r="L30" s="19" t="str">
        <x:v>DIRECT_CLAIM</x:v>
      </x:c>
      <x:c r="M30" s="19" t="str"/>
      <x:c r="N30" s="19" t="str">
        <x:v>B31-C045</x:v>
      </x:c>
      <x:c r="O30" s="19" t="str">
        <x:f>IF(AND(I30="STANDARD_AT_RELEASE",T30="NONE"),"TRUE","FALSE")</x:f>
        <x:v>FALSE</x:v>
      </x:c>
      <x:c r="P30" s="19" t="str">
        <x:f>IF(AND(J30="STANDARD_CURRENT",T30="NONE"),"TRUE","FALSE")</x:f>
        <x:v>FALSE</x:v>
      </x:c>
      <x:c r="Q30" s="19" t="str">
        <x:v>BODY_SPACE_SAFETY</x:v>
      </x:c>
      <x:c r="R30" s="19" t="str">
        <x:v>DC_BODY_SPACE_trunk_max</x:v>
      </x:c>
      <x:c r="S30" s="19" t="str"/>
      <x:c r="T30" s="19" t="str">
        <x:v>NONE</x:v>
      </x:c>
      <x:c r="U30" s="19" t="str">
        <x:v>2026-08-04</x:v>
      </x:c>
    </x:row>
    <x:row r="31" ht="56" customHeight="1">
      <x:c r="A31" s="369" t="str">
        <x:v>B31-F026</x:v>
      </x:c>
      <x:c r="B31" s="369" t="str">
        <x:v>PC-N90-MAX-CAND</x:v>
      </x:c>
      <x:c r="C31" s="369" t="str">
        <x:v>tailgate_threshold</x:v>
      </x:c>
      <x:c r="D31" s="369" t="str">
        <x:v>BODY_SPACE</x:v>
      </x:c>
      <x:c r="E31" s="369" t="str">
        <x:v>NUMERIC</x:v>
      </x:c>
      <x:c r="F31" s="373" t="n">
        <x:v>690</x:v>
      </x:c>
      <x:c r="G31" s="369" t="str"/>
      <x:c r="H31" s="369" t="str">
        <x:v>mm</x:v>
      </x:c>
      <x:c r="I31" s="369" t="str">
        <x:v>EQUIPPED_STANDARD_UNCONFIRMED</x:v>
      </x:c>
      <x:c r="J31" s="369" t="str">
        <x:v>NOT_EVIDENCED</x:v>
      </x:c>
      <x:c r="K31" s="369" t="str">
        <x:v>NOT_COMPARED</x:v>
      </x:c>
      <x:c r="L31" s="369" t="str">
        <x:v>DIRECT_CLAIM</x:v>
      </x:c>
      <x:c r="M31" s="369" t="str"/>
      <x:c r="N31" s="369" t="str">
        <x:v>B31-C046</x:v>
      </x:c>
      <x:c r="O31" s="369" t="str">
        <x:f>IF(AND(I31="STANDARD_AT_RELEASE",T31="NONE"),"TRUE","FALSE")</x:f>
        <x:v>FALSE</x:v>
      </x:c>
      <x:c r="P31" s="369" t="str">
        <x:f>IF(AND(J31="STANDARD_CURRENT",T31="NONE"),"TRUE","FALSE")</x:f>
        <x:v>FALSE</x:v>
      </x:c>
      <x:c r="Q31" s="369" t="str">
        <x:v>BODY_SPACE_SAFETY</x:v>
      </x:c>
      <x:c r="R31" s="369" t="str">
        <x:v>DC_BODY_SPACE_tailgate_threshold</x:v>
      </x:c>
      <x:c r="S31" s="369" t="str"/>
      <x:c r="T31" s="369" t="str">
        <x:v>NONE</x:v>
      </x:c>
      <x:c r="U31" s="369" t="str">
        <x:v>2026-08-04</x:v>
      </x:c>
    </x:row>
    <x:row r="32" ht="56" customHeight="1">
      <x:c r="A32" s="19" t="str">
        <x:v>B31-F027</x:v>
      </x:c>
      <x:c r="B32" s="19" t="str">
        <x:v>PC-N90-MAX-CAND</x:v>
      </x:c>
      <x:c r="C32" s="19" t="str">
        <x:v>tailgate_opening_width</x:v>
      </x:c>
      <x:c r="D32" s="19" t="str">
        <x:v>BODY_SPACE</x:v>
      </x:c>
      <x:c r="E32" s="19" t="str">
        <x:v>NUMERIC</x:v>
      </x:c>
      <x:c r="F32" s="152" t="n">
        <x:v>1193</x:v>
      </x:c>
      <x:c r="G32" s="19" t="str"/>
      <x:c r="H32" s="19" t="str">
        <x:v>mm</x:v>
      </x:c>
      <x:c r="I32" s="19" t="str">
        <x:v>EQUIPPED_STANDARD_UNCONFIRMED</x:v>
      </x:c>
      <x:c r="J32" s="19" t="str">
        <x:v>NOT_EVIDENCED</x:v>
      </x:c>
      <x:c r="K32" s="19" t="str">
        <x:v>NOT_COMPARED</x:v>
      </x:c>
      <x:c r="L32" s="19" t="str">
        <x:v>DIRECT_CLAIM</x:v>
      </x:c>
      <x:c r="M32" s="19" t="str"/>
      <x:c r="N32" s="19" t="str">
        <x:v>B31-C047</x:v>
      </x:c>
      <x:c r="O32" s="19" t="str">
        <x:f>IF(AND(I32="STANDARD_AT_RELEASE",T32="NONE"),"TRUE","FALSE")</x:f>
        <x:v>FALSE</x:v>
      </x:c>
      <x:c r="P32" s="19" t="str">
        <x:f>IF(AND(J32="STANDARD_CURRENT",T32="NONE"),"TRUE","FALSE")</x:f>
        <x:v>FALSE</x:v>
      </x:c>
      <x:c r="Q32" s="19" t="str">
        <x:v>BODY_SPACE_SAFETY</x:v>
      </x:c>
      <x:c r="R32" s="19" t="str">
        <x:v>DC_BODY_SPACE_tailgate_opening_width</x:v>
      </x:c>
      <x:c r="S32" s="19" t="str"/>
      <x:c r="T32" s="19" t="str">
        <x:v>NONE</x:v>
      </x:c>
      <x:c r="U32" s="19" t="str">
        <x:v>2026-08-04</x:v>
      </x:c>
    </x:row>
    <x:row r="33" ht="56" customHeight="1">
      <x:c r="A33" s="369" t="str">
        <x:v>B31-F028</x:v>
      </x:c>
      <x:c r="B33" s="369" t="str">
        <x:v>PC-N90-MAX-CAND</x:v>
      </x:c>
      <x:c r="C33" s="369" t="str">
        <x:v>four_seat_space</x:v>
      </x:c>
      <x:c r="D33" s="369" t="str">
        <x:v>BODY_SPACE</x:v>
      </x:c>
      <x:c r="E33" s="369" t="str">
        <x:v>NUMERIC</x:v>
      </x:c>
      <x:c r="F33" s="373" t="n">
        <x:v>1370</x:v>
      </x:c>
      <x:c r="G33" s="369" t="str"/>
      <x:c r="H33" s="369" t="str">
        <x:v>mm</x:v>
      </x:c>
      <x:c r="I33" s="369" t="str">
        <x:v>EQUIPPED_STANDARD_UNCONFIRMED</x:v>
      </x:c>
      <x:c r="J33" s="369" t="str">
        <x:v>NOT_EVIDENCED</x:v>
      </x:c>
      <x:c r="K33" s="369" t="str">
        <x:v>NOT_COMPARED</x:v>
      </x:c>
      <x:c r="L33" s="369" t="str">
        <x:v>DIRECT_CLAIM</x:v>
      </x:c>
      <x:c r="M33" s="369" t="str"/>
      <x:c r="N33" s="369" t="str">
        <x:v>B31-C048</x:v>
      </x:c>
      <x:c r="O33" s="369" t="str">
        <x:f>IF(AND(I33="STANDARD_AT_RELEASE",T33="NONE"),"TRUE","FALSE")</x:f>
        <x:v>FALSE</x:v>
      </x:c>
      <x:c r="P33" s="369" t="str">
        <x:f>IF(AND(J33="STANDARD_CURRENT",T33="NONE"),"TRUE","FALSE")</x:f>
        <x:v>FALSE</x:v>
      </x:c>
      <x:c r="Q33" s="369" t="str">
        <x:v>BODY_SPACE_SAFETY</x:v>
      </x:c>
      <x:c r="R33" s="369" t="str">
        <x:v>DC_BODY_SPACE_four_seat_space</x:v>
      </x:c>
      <x:c r="S33" s="369" t="str"/>
      <x:c r="T33" s="369" t="str">
        <x:v>NONE</x:v>
      </x:c>
      <x:c r="U33" s="369" t="str">
        <x:v>2026-08-04</x:v>
      </x:c>
    </x:row>
    <x:row r="34" ht="56" customHeight="1">
      <x:c r="A34" s="19" t="str">
        <x:v>B31-F029</x:v>
      </x:c>
      <x:c r="B34" s="19" t="str">
        <x:v>PC-N90-MAX-CAND</x:v>
      </x:c>
      <x:c r="C34" s="19" t="str">
        <x:v>row2_space_max</x:v>
      </x:c>
      <x:c r="D34" s="19" t="str">
        <x:v>BODY_SPACE</x:v>
      </x:c>
      <x:c r="E34" s="19" t="str">
        <x:v>NUMERIC</x:v>
      </x:c>
      <x:c r="F34" s="152" t="n">
        <x:v>1550</x:v>
      </x:c>
      <x:c r="G34" s="19" t="str"/>
      <x:c r="H34" s="19" t="str">
        <x:v>mm</x:v>
      </x:c>
      <x:c r="I34" s="19" t="str">
        <x:v>EQUIPPED_STANDARD_UNCONFIRMED</x:v>
      </x:c>
      <x:c r="J34" s="19" t="str">
        <x:v>NOT_EVIDENCED</x:v>
      </x:c>
      <x:c r="K34" s="19" t="str">
        <x:v>NOT_COMPARED</x:v>
      </x:c>
      <x:c r="L34" s="19" t="str">
        <x:v>DIRECT_CLAIM</x:v>
      </x:c>
      <x:c r="M34" s="19" t="str"/>
      <x:c r="N34" s="19" t="str">
        <x:v>B31-C049</x:v>
      </x:c>
      <x:c r="O34" s="19" t="str">
        <x:f>IF(AND(I34="STANDARD_AT_RELEASE",T34="NONE"),"TRUE","FALSE")</x:f>
        <x:v>FALSE</x:v>
      </x:c>
      <x:c r="P34" s="19" t="str">
        <x:f>IF(AND(J34="STANDARD_CURRENT",T34="NONE"),"TRUE","FALSE")</x:f>
        <x:v>FALSE</x:v>
      </x:c>
      <x:c r="Q34" s="19" t="str">
        <x:v>BODY_SPACE_SAFETY</x:v>
      </x:c>
      <x:c r="R34" s="19" t="str">
        <x:v>DC_BODY_SPACE_row2_space_max</x:v>
      </x:c>
      <x:c r="S34" s="19" t="str"/>
      <x:c r="T34" s="19" t="str">
        <x:v>NONE</x:v>
      </x:c>
      <x:c r="U34" s="19" t="str">
        <x:v>2026-08-04</x:v>
      </x:c>
    </x:row>
    <x:row r="35" ht="56" customHeight="1">
      <x:c r="A35" s="369" t="str">
        <x:v>B31-F030</x:v>
      </x:c>
      <x:c r="B35" s="369" t="str">
        <x:v>PC-N90-MAX-CAND</x:v>
      </x:c>
      <x:c r="C35" s="369" t="str">
        <x:v>glass_area</x:v>
      </x:c>
      <x:c r="D35" s="369" t="str">
        <x:v>BODY_SPACE</x:v>
      </x:c>
      <x:c r="E35" s="369" t="str">
        <x:v>NUMERIC</x:v>
      </x:c>
      <x:c r="F35" s="373" t="n">
        <x:v>6.8</x:v>
      </x:c>
      <x:c r="G35" s="369" t="str"/>
      <x:c r="H35" s="369" t="str">
        <x:v>m2</x:v>
      </x:c>
      <x:c r="I35" s="369" t="str">
        <x:v>EQUIPPED_STANDARD_UNCONFIRMED</x:v>
      </x:c>
      <x:c r="J35" s="369" t="str">
        <x:v>NOT_EVIDENCED</x:v>
      </x:c>
      <x:c r="K35" s="369" t="str">
        <x:v>NOT_COMPARED</x:v>
      </x:c>
      <x:c r="L35" s="369" t="str">
        <x:v>DIRECT_CLAIM</x:v>
      </x:c>
      <x:c r="M35" s="369" t="str"/>
      <x:c r="N35" s="369" t="str">
        <x:v>B31-C050</x:v>
      </x:c>
      <x:c r="O35" s="369" t="str">
        <x:f>IF(AND(I35="STANDARD_AT_RELEASE",T35="NONE"),"TRUE","FALSE")</x:f>
        <x:v>FALSE</x:v>
      </x:c>
      <x:c r="P35" s="369" t="str">
        <x:f>IF(AND(J35="STANDARD_CURRENT",T35="NONE"),"TRUE","FALSE")</x:f>
        <x:v>FALSE</x:v>
      </x:c>
      <x:c r="Q35" s="369" t="str">
        <x:v>BODY_SPACE_SAFETY</x:v>
      </x:c>
      <x:c r="R35" s="369" t="str">
        <x:v>DC_BODY_SPACE_glass_area</x:v>
      </x:c>
      <x:c r="S35" s="369" t="str"/>
      <x:c r="T35" s="369" t="str">
        <x:v>NONE</x:v>
      </x:c>
      <x:c r="U35" s="369" t="str">
        <x:v>2026-08-04</x:v>
      </x:c>
    </x:row>
    <x:row r="36" ht="56" customHeight="1">
      <x:c r="A36" s="19" t="str">
        <x:v>B31-F031</x:v>
      </x:c>
      <x:c r="B36" s="19" t="str">
        <x:v>PC-N90-MAX-CAND</x:v>
      </x:c>
      <x:c r="C36" s="19" t="str">
        <x:v>soft_touch_coverage</x:v>
      </x:c>
      <x:c r="D36" s="19" t="str">
        <x:v>CABIN</x:v>
      </x:c>
      <x:c r="E36" s="19" t="str">
        <x:v>NUMERIC</x:v>
      </x:c>
      <x:c r="F36" s="152" t="n">
        <x:v>95</x:v>
      </x:c>
      <x:c r="G36" s="19" t="str"/>
      <x:c r="H36" s="19" t="str">
        <x:v>%</x:v>
      </x:c>
      <x:c r="I36" s="19" t="str">
        <x:v>EQUIPPED_STANDARD_UNCONFIRMED</x:v>
      </x:c>
      <x:c r="J36" s="19" t="str">
        <x:v>NOT_EVIDENCED</x:v>
      </x:c>
      <x:c r="K36" s="19" t="str">
        <x:v>NOT_COMPARED</x:v>
      </x:c>
      <x:c r="L36" s="19" t="str">
        <x:v>DIRECT_CLAIM</x:v>
      </x:c>
      <x:c r="M36" s="19" t="str"/>
      <x:c r="N36" s="19" t="str">
        <x:v>B31-C051</x:v>
      </x:c>
      <x:c r="O36" s="19" t="str">
        <x:f>IF(AND(I36="STANDARD_AT_RELEASE",T36="NONE"),"TRUE","FALSE")</x:f>
        <x:v>FALSE</x:v>
      </x:c>
      <x:c r="P36" s="19" t="str">
        <x:f>IF(AND(J36="STANDARD_CURRENT",T36="NONE"),"TRUE","FALSE")</x:f>
        <x:v>FALSE</x:v>
      </x:c>
      <x:c r="Q36" s="19" t="str">
        <x:v>CABIN_COMFORT</x:v>
      </x:c>
      <x:c r="R36" s="19" t="str">
        <x:v>DC_CABIN_soft_touch_coverage</x:v>
      </x:c>
      <x:c r="S36" s="19" t="str"/>
      <x:c r="T36" s="19" t="str">
        <x:v>NONE</x:v>
      </x:c>
      <x:c r="U36" s="19" t="str">
        <x:v>2026-08-04</x:v>
      </x:c>
    </x:row>
    <x:row r="37" ht="56" customHeight="1">
      <x:c r="A37" s="369" t="str">
        <x:v>B31-F032</x:v>
      </x:c>
      <x:c r="B37" s="369" t="str">
        <x:v>PC-N90-MAX-CAND</x:v>
      </x:c>
      <x:c r="C37" s="369" t="str">
        <x:v>ambient_light_colors</x:v>
      </x:c>
      <x:c r="D37" s="369" t="str">
        <x:v>CABIN</x:v>
      </x:c>
      <x:c r="E37" s="369" t="str">
        <x:v>NUMERIC</x:v>
      </x:c>
      <x:c r="F37" s="373" t="n">
        <x:v>256</x:v>
      </x:c>
      <x:c r="G37" s="369" t="str"/>
      <x:c r="H37" s="369" t="str">
        <x:v>count</x:v>
      </x:c>
      <x:c r="I37" s="369" t="str">
        <x:v>EQUIPPED_STANDARD_UNCONFIRMED</x:v>
      </x:c>
      <x:c r="J37" s="369" t="str">
        <x:v>NOT_EVIDENCED</x:v>
      </x:c>
      <x:c r="K37" s="369" t="str">
        <x:v>NOT_COMPARED</x:v>
      </x:c>
      <x:c r="L37" s="369" t="str">
        <x:v>DIRECT_CLAIM</x:v>
      </x:c>
      <x:c r="M37" s="369" t="str"/>
      <x:c r="N37" s="369" t="str">
        <x:v>B31-C052</x:v>
      </x:c>
      <x:c r="O37" s="369" t="str">
        <x:f>IF(AND(I37="STANDARD_AT_RELEASE",T37="NONE"),"TRUE","FALSE")</x:f>
        <x:v>FALSE</x:v>
      </x:c>
      <x:c r="P37" s="369" t="str">
        <x:f>IF(AND(J37="STANDARD_CURRENT",T37="NONE"),"TRUE","FALSE")</x:f>
        <x:v>FALSE</x:v>
      </x:c>
      <x:c r="Q37" s="369" t="str">
        <x:v>CABIN_COMFORT</x:v>
      </x:c>
      <x:c r="R37" s="369" t="str">
        <x:v>DC_CABIN_ambient_light_colors</x:v>
      </x:c>
      <x:c r="S37" s="369" t="str"/>
      <x:c r="T37" s="369" t="str">
        <x:v>NONE</x:v>
      </x:c>
      <x:c r="U37" s="369" t="str">
        <x:v>2026-08-04</x:v>
      </x:c>
    </x:row>
    <x:row r="38" ht="56" customHeight="1">
      <x:c r="A38" s="19" t="str">
        <x:v>B31-F033</x:v>
      </x:c>
      <x:c r="B38" s="19" t="str">
        <x:v>PC-N90-MAX-CAND</x:v>
      </x:c>
      <x:c r="C38" s="19" t="str">
        <x:v>fridge_capacity</x:v>
      </x:c>
      <x:c r="D38" s="19" t="str">
        <x:v>CABIN</x:v>
      </x:c>
      <x:c r="E38" s="19" t="str">
        <x:v>NUMERIC</x:v>
      </x:c>
      <x:c r="F38" s="152" t="n">
        <x:v>9</x:v>
      </x:c>
      <x:c r="G38" s="19" t="str"/>
      <x:c r="H38" s="19" t="str">
        <x:v>L</x:v>
      </x:c>
      <x:c r="I38" s="19" t="str">
        <x:v>EQUIPPED_STANDARD_UNCONFIRMED</x:v>
      </x:c>
      <x:c r="J38" s="19" t="str">
        <x:v>NOT_EVIDENCED</x:v>
      </x:c>
      <x:c r="K38" s="19" t="str">
        <x:v>NOT_COMPARED</x:v>
      </x:c>
      <x:c r="L38" s="19" t="str">
        <x:v>DIRECT_CLAIM</x:v>
      </x:c>
      <x:c r="M38" s="19" t="str"/>
      <x:c r="N38" s="19" t="str">
        <x:v>B31-C053</x:v>
      </x:c>
      <x:c r="O38" s="19" t="str">
        <x:f>IF(AND(I38="STANDARD_AT_RELEASE",T38="NONE"),"TRUE","FALSE")</x:f>
        <x:v>FALSE</x:v>
      </x:c>
      <x:c r="P38" s="19" t="str">
        <x:f>IF(AND(J38="STANDARD_CURRENT",T38="NONE"),"TRUE","FALSE")</x:f>
        <x:v>FALSE</x:v>
      </x:c>
      <x:c r="Q38" s="19" t="str">
        <x:v>CABIN_COMFORT</x:v>
      </x:c>
      <x:c r="R38" s="19" t="str">
        <x:v>DC_CABIN_fridge_capacity</x:v>
      </x:c>
      <x:c r="S38" s="19" t="str"/>
      <x:c r="T38" s="19" t="str">
        <x:v>NONE</x:v>
      </x:c>
      <x:c r="U38" s="19" t="str">
        <x:v>2026-08-04</x:v>
      </x:c>
    </x:row>
    <x:row r="39" ht="56" customHeight="1">
      <x:c r="A39" s="369" t="str">
        <x:v>B31-F034</x:v>
      </x:c>
      <x:c r="B39" s="369" t="str">
        <x:v>PC-N90-MAX-CAND</x:v>
      </x:c>
      <x:c r="C39" s="369" t="str">
        <x:v>fridge_temperature</x:v>
      </x:c>
      <x:c r="D39" s="369" t="str">
        <x:v>CABIN</x:v>
      </x:c>
      <x:c r="E39" s="369" t="str">
        <x:v>TEXT</x:v>
      </x:c>
      <x:c r="F39" s="373" t="str"/>
      <x:c r="G39" s="369" t="str">
        <x:v>-6~15℃冷藏；35~50℃加热</x:v>
      </x:c>
      <x:c r="H39" s="369" t="str"/>
      <x:c r="I39" s="369" t="str">
        <x:v>EQUIPPED_STANDARD_UNCONFIRMED</x:v>
      </x:c>
      <x:c r="J39" s="369" t="str">
        <x:v>NOT_EVIDENCED</x:v>
      </x:c>
      <x:c r="K39" s="369" t="str">
        <x:v>NOT_COMPARED</x:v>
      </x:c>
      <x:c r="L39" s="369" t="str">
        <x:v>DIRECT_CLAIM</x:v>
      </x:c>
      <x:c r="M39" s="369" t="str"/>
      <x:c r="N39" s="369" t="str">
        <x:v>B31-C054</x:v>
      </x:c>
      <x:c r="O39" s="369" t="str">
        <x:f>IF(AND(I39="STANDARD_AT_RELEASE",T39="NONE"),"TRUE","FALSE")</x:f>
        <x:v>FALSE</x:v>
      </x:c>
      <x:c r="P39" s="369" t="str">
        <x:f>IF(AND(J39="STANDARD_CURRENT",T39="NONE"),"TRUE","FALSE")</x:f>
        <x:v>FALSE</x:v>
      </x:c>
      <x:c r="Q39" s="369" t="str">
        <x:v>CABIN_COMFORT</x:v>
      </x:c>
      <x:c r="R39" s="369" t="str">
        <x:v>DC_CABIN_fridge_temperature</x:v>
      </x:c>
      <x:c r="S39" s="369" t="str"/>
      <x:c r="T39" s="369" t="str">
        <x:v>NONE</x:v>
      </x:c>
      <x:c r="U39" s="369" t="str">
        <x:v>2026-08-04</x:v>
      </x:c>
    </x:row>
    <x:row r="40" ht="56" customHeight="1">
      <x:c r="A40" s="19" t="str">
        <x:v>B31-F035</x:v>
      </x:c>
      <x:c r="B40" s="19" t="str">
        <x:v>PC-N90-MAX-CAND</x:v>
      </x:c>
      <x:c r="C40" s="19" t="str">
        <x:v>seat_massage</x:v>
      </x:c>
      <x:c r="D40" s="19" t="str">
        <x:v>COMFORT</x:v>
      </x:c>
      <x:c r="E40" s="19" t="str">
        <x:v>TEXT</x:v>
      </x:c>
      <x:c r="F40" s="152" t="str"/>
      <x:c r="G40" s="19" t="str">
        <x:v>一二排16点按摩</x:v>
      </x:c>
      <x:c r="H40" s="19" t="str"/>
      <x:c r="I40" s="19" t="str">
        <x:v>EQUIPPED_STANDARD_UNCONFIRMED</x:v>
      </x:c>
      <x:c r="J40" s="19" t="str">
        <x:v>NOT_EVIDENCED</x:v>
      </x:c>
      <x:c r="K40" s="19" t="str">
        <x:v>NOT_COMPARED</x:v>
      </x:c>
      <x:c r="L40" s="19" t="str">
        <x:v>DIRECT_CLAIM</x:v>
      </x:c>
      <x:c r="M40" s="19" t="str"/>
      <x:c r="N40" s="19" t="str">
        <x:v>B31-C055</x:v>
      </x:c>
      <x:c r="O40" s="19" t="str">
        <x:f>IF(AND(I40="STANDARD_AT_RELEASE",T40="NONE"),"TRUE","FALSE")</x:f>
        <x:v>FALSE</x:v>
      </x:c>
      <x:c r="P40" s="19" t="str">
        <x:f>IF(AND(J40="STANDARD_CURRENT",T40="NONE"),"TRUE","FALSE")</x:f>
        <x:v>FALSE</x:v>
      </x:c>
      <x:c r="Q40" s="19" t="str">
        <x:v>CABIN_COMFORT</x:v>
      </x:c>
      <x:c r="R40" s="19" t="str">
        <x:v>DC_COMFORT_seat_massage</x:v>
      </x:c>
      <x:c r="S40" s="19" t="str"/>
      <x:c r="T40" s="19" t="str">
        <x:v>NONE</x:v>
      </x:c>
      <x:c r="U40" s="19" t="str">
        <x:v>2026-08-04</x:v>
      </x:c>
    </x:row>
    <x:row r="41" ht="56" customHeight="1">
      <x:c r="A41" s="369" t="str">
        <x:v>B31-F036</x:v>
      </x:c>
      <x:c r="B41" s="369" t="str">
        <x:v>PC-N90-MAX-CAND</x:v>
      </x:c>
      <x:c r="C41" s="369" t="str">
        <x:v>seat_vent_heat</x:v>
      </x:c>
      <x:c r="D41" s="369" t="str">
        <x:v>COMFORT</x:v>
      </x:c>
      <x:c r="E41" s="369" t="str">
        <x:v>TEXT</x:v>
      </x:c>
      <x:c r="F41" s="373" t="str"/>
      <x:c r="G41" s="369" t="str">
        <x:v>一二排通风+加热</x:v>
      </x:c>
      <x:c r="H41" s="369" t="str"/>
      <x:c r="I41" s="369" t="str">
        <x:v>EQUIPPED_STANDARD_UNCONFIRMED</x:v>
      </x:c>
      <x:c r="J41" s="369" t="str">
        <x:v>NOT_EVIDENCED</x:v>
      </x:c>
      <x:c r="K41" s="369" t="str">
        <x:v>NOT_COMPARED</x:v>
      </x:c>
      <x:c r="L41" s="369" t="str">
        <x:v>DIRECT_CLAIM</x:v>
      </x:c>
      <x:c r="M41" s="369" t="str"/>
      <x:c r="N41" s="369" t="str">
        <x:v>B31-C056</x:v>
      </x:c>
      <x:c r="O41" s="369" t="str">
        <x:f>IF(AND(I41="STANDARD_AT_RELEASE",T41="NONE"),"TRUE","FALSE")</x:f>
        <x:v>FALSE</x:v>
      </x:c>
      <x:c r="P41" s="369" t="str">
        <x:f>IF(AND(J41="STANDARD_CURRENT",T41="NONE"),"TRUE","FALSE")</x:f>
        <x:v>FALSE</x:v>
      </x:c>
      <x:c r="Q41" s="369" t="str">
        <x:v>CABIN_COMFORT</x:v>
      </x:c>
      <x:c r="R41" s="369" t="str">
        <x:v>DC_COMFORT_seat_vent_heat</x:v>
      </x:c>
      <x:c r="S41" s="369" t="str"/>
      <x:c r="T41" s="369" t="str">
        <x:v>NONE</x:v>
      </x:c>
      <x:c r="U41" s="369" t="str">
        <x:v>2026-08-04</x:v>
      </x:c>
    </x:row>
    <x:row r="42" ht="56" customHeight="1">
      <x:c r="A42" s="19" t="str">
        <x:v>B31-F037</x:v>
      </x:c>
      <x:c r="B42" s="19" t="str">
        <x:v>PC-N90-MAX-CAND</x:v>
      </x:c>
      <x:c r="C42" s="19" t="str">
        <x:v>heat_pump_hvac</x:v>
      </x:c>
      <x:c r="D42" s="19" t="str">
        <x:v>COMFORT</x:v>
      </x:c>
      <x:c r="E42" s="19" t="str">
        <x:v>TEXT</x:v>
      </x:c>
      <x:c r="F42" s="152" t="str"/>
      <x:c r="G42" s="19" t="str">
        <x:v>热泵空调；三分区</x:v>
      </x:c>
      <x:c r="H42" s="19" t="str"/>
      <x:c r="I42" s="19" t="str">
        <x:v>EQUIPPED_STANDARD_UNCONFIRMED</x:v>
      </x:c>
      <x:c r="J42" s="19" t="str">
        <x:v>NOT_EVIDENCED</x:v>
      </x:c>
      <x:c r="K42" s="19" t="str">
        <x:v>NOT_COMPARED</x:v>
      </x:c>
      <x:c r="L42" s="19" t="str">
        <x:v>DIRECT_CLAIM</x:v>
      </x:c>
      <x:c r="M42" s="19" t="str"/>
      <x:c r="N42" s="19" t="str">
        <x:v>B31-C057</x:v>
      </x:c>
      <x:c r="O42" s="19" t="str">
        <x:f>IF(AND(I42="STANDARD_AT_RELEASE",T42="NONE"),"TRUE","FALSE")</x:f>
        <x:v>FALSE</x:v>
      </x:c>
      <x:c r="P42" s="19" t="str">
        <x:f>IF(AND(J42="STANDARD_CURRENT",T42="NONE"),"TRUE","FALSE")</x:f>
        <x:v>FALSE</x:v>
      </x:c>
      <x:c r="Q42" s="19" t="str">
        <x:v>CABIN_COMFORT</x:v>
      </x:c>
      <x:c r="R42" s="19" t="str">
        <x:v>DC_COMFORT_heat_pump_hvac</x:v>
      </x:c>
      <x:c r="S42" s="19" t="str"/>
      <x:c r="T42" s="19" t="str">
        <x:v>NONE</x:v>
      </x:c>
      <x:c r="U42" s="19" t="str">
        <x:v>2026-08-04</x:v>
      </x:c>
    </x:row>
    <x:row r="43" ht="56" customHeight="1">
      <x:c r="A43" s="369" t="str">
        <x:v>B31-F038</x:v>
      </x:c>
      <x:c r="B43" s="369" t="str">
        <x:v>PC-N90-MAX-CAND</x:v>
      </x:c>
      <x:c r="C43" s="369" t="str">
        <x:v>speaker_count</x:v>
      </x:c>
      <x:c r="D43" s="369" t="str">
        <x:v>CABIN</x:v>
      </x:c>
      <x:c r="E43" s="369" t="str">
        <x:v>NUMERIC</x:v>
      </x:c>
      <x:c r="F43" s="373" t="n">
        <x:v>25</x:v>
      </x:c>
      <x:c r="G43" s="369" t="str"/>
      <x:c r="H43" s="369" t="str">
        <x:v>count</x:v>
      </x:c>
      <x:c r="I43" s="369" t="str">
        <x:v>EQUIPPED_STANDARD_UNCONFIRMED</x:v>
      </x:c>
      <x:c r="J43" s="369" t="str">
        <x:v>NOT_EVIDENCED</x:v>
      </x:c>
      <x:c r="K43" s="369" t="str">
        <x:v>NOT_COMPARED</x:v>
      </x:c>
      <x:c r="L43" s="369" t="str">
        <x:v>DIRECT_CLAIM</x:v>
      </x:c>
      <x:c r="M43" s="369" t="str"/>
      <x:c r="N43" s="369" t="str">
        <x:v>B31-C058</x:v>
      </x:c>
      <x:c r="O43" s="369" t="str">
        <x:f>IF(AND(I43="STANDARD_AT_RELEASE",T43="NONE"),"TRUE","FALSE")</x:f>
        <x:v>FALSE</x:v>
      </x:c>
      <x:c r="P43" s="369" t="str">
        <x:f>IF(AND(J43="STANDARD_CURRENT",T43="NONE"),"TRUE","FALSE")</x:f>
        <x:v>FALSE</x:v>
      </x:c>
      <x:c r="Q43" s="369" t="str">
        <x:v>CABIN_COMFORT</x:v>
      </x:c>
      <x:c r="R43" s="369" t="str">
        <x:v>DC_CABIN_speaker_count</x:v>
      </x:c>
      <x:c r="S43" s="369" t="str"/>
      <x:c r="T43" s="369" t="str">
        <x:v>NONE</x:v>
      </x:c>
      <x:c r="U43" s="369" t="str">
        <x:v>2026-08-04</x:v>
      </x:c>
    </x:row>
    <x:row r="44" ht="56" customHeight="1">
      <x:c r="A44" s="19" t="str">
        <x:v>B31-F039</x:v>
      </x:c>
      <x:c r="B44" s="19" t="str">
        <x:v>PC-N90-MAX-CAND</x:v>
      </x:c>
      <x:c r="C44" s="19" t="str">
        <x:v>audio_peak_power</x:v>
      </x:c>
      <x:c r="D44" s="19" t="str">
        <x:v>CABIN</x:v>
      </x:c>
      <x:c r="E44" s="19" t="str">
        <x:v>NUMERIC</x:v>
      </x:c>
      <x:c r="F44" s="152" t="n">
        <x:v>4890</x:v>
      </x:c>
      <x:c r="G44" s="19" t="str"/>
      <x:c r="H44" s="19" t="str">
        <x:v>W</x:v>
      </x:c>
      <x:c r="I44" s="19" t="str">
        <x:v>EQUIPPED_STANDARD_UNCONFIRMED</x:v>
      </x:c>
      <x:c r="J44" s="19" t="str">
        <x:v>NOT_EVIDENCED</x:v>
      </x:c>
      <x:c r="K44" s="19" t="str">
        <x:v>NOT_COMPARED</x:v>
      </x:c>
      <x:c r="L44" s="19" t="str">
        <x:v>DIRECT_CLAIM</x:v>
      </x:c>
      <x:c r="M44" s="19" t="str"/>
      <x:c r="N44" s="19" t="str">
        <x:v>B31-C059</x:v>
      </x:c>
      <x:c r="O44" s="19" t="str">
        <x:f>IF(AND(I44="STANDARD_AT_RELEASE",T44="NONE"),"TRUE","FALSE")</x:f>
        <x:v>FALSE</x:v>
      </x:c>
      <x:c r="P44" s="19" t="str">
        <x:f>IF(AND(J44="STANDARD_CURRENT",T44="NONE"),"TRUE","FALSE")</x:f>
        <x:v>FALSE</x:v>
      </x:c>
      <x:c r="Q44" s="19" t="str">
        <x:v>CABIN_COMFORT</x:v>
      </x:c>
      <x:c r="R44" s="19" t="str">
        <x:v>DC_CABIN_audio_peak_power</x:v>
      </x:c>
      <x:c r="S44" s="19" t="str"/>
      <x:c r="T44" s="19" t="str">
        <x:v>NONE</x:v>
      </x:c>
      <x:c r="U44" s="19" t="str">
        <x:v>2026-08-04</x:v>
      </x:c>
    </x:row>
    <x:row r="45" ht="56" customHeight="1">
      <x:c r="A45" s="369" t="str">
        <x:v>B31-F040</x:v>
      </x:c>
      <x:c r="B45" s="369" t="str">
        <x:v>PC-N90-MAX-CAND</x:v>
      </x:c>
      <x:c r="C45" s="369" t="str">
        <x:v>ecosystem_ports</x:v>
      </x:c>
      <x:c r="D45" s="369" t="str">
        <x:v>CABIN</x:v>
      </x:c>
      <x:c r="E45" s="369" t="str">
        <x:v>NUMERIC</x:v>
      </x:c>
      <x:c r="F45" s="373" t="n">
        <x:v>12</x:v>
      </x:c>
      <x:c r="G45" s="369" t="str"/>
      <x:c r="H45" s="369" t="str">
        <x:v>count</x:v>
      </x:c>
      <x:c r="I45" s="369" t="str">
        <x:v>EQUIPPED_STANDARD_UNCONFIRMED</x:v>
      </x:c>
      <x:c r="J45" s="369" t="str">
        <x:v>NOT_EVIDENCED</x:v>
      </x:c>
      <x:c r="K45" s="369" t="str">
        <x:v>NOT_COMPARED</x:v>
      </x:c>
      <x:c r="L45" s="369" t="str">
        <x:v>DIRECT_CLAIM</x:v>
      </x:c>
      <x:c r="M45" s="369" t="str"/>
      <x:c r="N45" s="369" t="str">
        <x:v>B31-C060</x:v>
      </x:c>
      <x:c r="O45" s="369" t="str">
        <x:f>IF(AND(I45="STANDARD_AT_RELEASE",T45="NONE"),"TRUE","FALSE")</x:f>
        <x:v>FALSE</x:v>
      </x:c>
      <x:c r="P45" s="369" t="str">
        <x:f>IF(AND(J45="STANDARD_CURRENT",T45="NONE"),"TRUE","FALSE")</x:f>
        <x:v>FALSE</x:v>
      </x:c>
      <x:c r="Q45" s="369" t="str">
        <x:v>CABIN_COMFORT</x:v>
      </x:c>
      <x:c r="R45" s="369" t="str">
        <x:v>DC_CABIN_ecosystem_ports</x:v>
      </x:c>
      <x:c r="S45" s="369" t="str"/>
      <x:c r="T45" s="369" t="str">
        <x:v>NONE</x:v>
      </x:c>
      <x:c r="U45" s="369" t="str">
        <x:v>2026-08-04</x:v>
      </x:c>
    </x:row>
    <x:row r="46" ht="56" customHeight="1">
      <x:c r="A46" s="19" t="str">
        <x:v>B31-F041</x:v>
      </x:c>
      <x:c r="B46" s="19" t="str">
        <x:v>PC-N90-MAX-CAND</x:v>
      </x:c>
      <x:c r="C46" s="19" t="str">
        <x:v>power_ports</x:v>
      </x:c>
      <x:c r="D46" s="19" t="str">
        <x:v>CABIN</x:v>
      </x:c>
      <x:c r="E46" s="19" t="str">
        <x:v>NUMERIC</x:v>
      </x:c>
      <x:c r="F46" s="152" t="n">
        <x:v>14</x:v>
      </x:c>
      <x:c r="G46" s="19" t="str"/>
      <x:c r="H46" s="19" t="str">
        <x:v>count</x:v>
      </x:c>
      <x:c r="I46" s="19" t="str">
        <x:v>EQUIPPED_STANDARD_UNCONFIRMED</x:v>
      </x:c>
      <x:c r="J46" s="19" t="str">
        <x:v>NOT_EVIDENCED</x:v>
      </x:c>
      <x:c r="K46" s="19" t="str">
        <x:v>NOT_COMPARED</x:v>
      </x:c>
      <x:c r="L46" s="19" t="str">
        <x:v>DIRECT_CLAIM</x:v>
      </x:c>
      <x:c r="M46" s="19" t="str"/>
      <x:c r="N46" s="19" t="str">
        <x:v>B31-C061</x:v>
      </x:c>
      <x:c r="O46" s="19" t="str">
        <x:f>IF(AND(I46="STANDARD_AT_RELEASE",T46="NONE"),"TRUE","FALSE")</x:f>
        <x:v>FALSE</x:v>
      </x:c>
      <x:c r="P46" s="19" t="str">
        <x:f>IF(AND(J46="STANDARD_CURRENT",T46="NONE"),"TRUE","FALSE")</x:f>
        <x:v>FALSE</x:v>
      </x:c>
      <x:c r="Q46" s="19" t="str">
        <x:v>CABIN_COMFORT</x:v>
      </x:c>
      <x:c r="R46" s="19" t="str">
        <x:v>DC_CABIN_power_ports</x:v>
      </x:c>
      <x:c r="S46" s="19" t="str"/>
      <x:c r="T46" s="19" t="str">
        <x:v>NONE</x:v>
      </x:c>
      <x:c r="U46" s="19" t="str">
        <x:v>2026-08-04</x:v>
      </x:c>
    </x:row>
    <x:row r="47" ht="56" customHeight="1">
      <x:c r="A47" s="369" t="str">
        <x:v>B31-F042</x:v>
      </x:c>
      <x:c r="B47" s="369" t="str">
        <x:v>PC-N90-MAX-CAND</x:v>
      </x:c>
      <x:c r="C47" s="369" t="str">
        <x:v>cabin_220v</x:v>
      </x:c>
      <x:c r="D47" s="369" t="str">
        <x:v>CABIN</x:v>
      </x:c>
      <x:c r="E47" s="369" t="str">
        <x:v>TEXT</x:v>
      </x:c>
      <x:c r="F47" s="373" t="str"/>
      <x:c r="G47" s="369" t="str">
        <x:v>支持</x:v>
      </x:c>
      <x:c r="H47" s="369" t="str"/>
      <x:c r="I47" s="369" t="str">
        <x:v>EQUIPPED_STANDARD_UNCONFIRMED</x:v>
      </x:c>
      <x:c r="J47" s="369" t="str">
        <x:v>NOT_EVIDENCED</x:v>
      </x:c>
      <x:c r="K47" s="369" t="str">
        <x:v>NOT_COMPARED</x:v>
      </x:c>
      <x:c r="L47" s="369" t="str">
        <x:v>DIRECT_CLAIM</x:v>
      </x:c>
      <x:c r="M47" s="369" t="str"/>
      <x:c r="N47" s="369" t="str">
        <x:v>B31-C062</x:v>
      </x:c>
      <x:c r="O47" s="369" t="str">
        <x:f>IF(AND(I47="STANDARD_AT_RELEASE",T47="NONE"),"TRUE","FALSE")</x:f>
        <x:v>FALSE</x:v>
      </x:c>
      <x:c r="P47" s="369" t="str">
        <x:f>IF(AND(J47="STANDARD_CURRENT",T47="NONE"),"TRUE","FALSE")</x:f>
        <x:v>FALSE</x:v>
      </x:c>
      <x:c r="Q47" s="369" t="str">
        <x:v>CABIN_COMFORT</x:v>
      </x:c>
      <x:c r="R47" s="369" t="str">
        <x:v>DC_CABIN_cabin_220v</x:v>
      </x:c>
      <x:c r="S47" s="369" t="str"/>
      <x:c r="T47" s="369" t="str">
        <x:v>NONE</x:v>
      </x:c>
      <x:c r="U47" s="369" t="str">
        <x:v>2026-08-04</x:v>
      </x:c>
    </x:row>
    <x:row r="48" ht="56" customHeight="1">
      <x:c r="A48" s="19" t="str">
        <x:v>B31-F043</x:v>
      </x:c>
      <x:c r="B48" s="19" t="str">
        <x:v>PC-N90-MAX-CAND</x:v>
      </x:c>
      <x:c r="C48" s="19" t="str">
        <x:v>drive_layout</x:v>
      </x:c>
      <x:c r="D48" s="19" t="str">
        <x:v>POWERTRAIN</x:v>
      </x:c>
      <x:c r="E48" s="19" t="str">
        <x:v>TEXT</x:v>
      </x:c>
      <x:c r="F48" s="152" t="str"/>
      <x:c r="G48" s="19" t="str">
        <x:v>双电机四驱</x:v>
      </x:c>
      <x:c r="H48" s="19" t="str"/>
      <x:c r="I48" s="19" t="str">
        <x:v>EQUIPPED_STANDARD_UNCONFIRMED</x:v>
      </x:c>
      <x:c r="J48" s="19" t="str">
        <x:v>NOT_EVIDENCED</x:v>
      </x:c>
      <x:c r="K48" s="19" t="str">
        <x:v>NOT_COMPARED</x:v>
      </x:c>
      <x:c r="L48" s="19" t="str">
        <x:v>DIRECT_CLAIM</x:v>
      </x:c>
      <x:c r="M48" s="19" t="str"/>
      <x:c r="N48" s="19" t="str">
        <x:v>B31-C063</x:v>
      </x:c>
      <x:c r="O48" s="19" t="str">
        <x:f>IF(AND(I48="STANDARD_AT_RELEASE",T48="NONE"),"TRUE","FALSE")</x:f>
        <x:v>FALSE</x:v>
      </x:c>
      <x:c r="P48" s="19" t="str">
        <x:f>IF(AND(J48="STANDARD_CURRENT",T48="NONE"),"TRUE","FALSE")</x:f>
        <x:v>FALSE</x:v>
      </x:c>
      <x:c r="Q48" s="19" t="str">
        <x:v>E_DRIVE</x:v>
      </x:c>
      <x:c r="R48" s="19" t="str">
        <x:v>DC_POWERTRAIN_drive_layout</x:v>
      </x:c>
      <x:c r="S48" s="19" t="str"/>
      <x:c r="T48" s="19" t="str">
        <x:v>NONE</x:v>
      </x:c>
      <x:c r="U48" s="19" t="str">
        <x:v>2026-08-04</x:v>
      </x:c>
    </x:row>
    <x:row r="49" ht="56" customHeight="1">
      <x:c r="A49" s="369" t="str">
        <x:v>B31-F044</x:v>
      </x:c>
      <x:c r="B49" s="369" t="str">
        <x:v>PC-N90-MAX-CAND</x:v>
      </x:c>
      <x:c r="C49" s="369" t="str">
        <x:v>peak_power_total</x:v>
      </x:c>
      <x:c r="D49" s="369" t="str">
        <x:v>POWERTRAIN</x:v>
      </x:c>
      <x:c r="E49" s="369" t="str">
        <x:v>NUMERIC</x:v>
      </x:c>
      <x:c r="F49" s="373" t="n">
        <x:v>310</x:v>
      </x:c>
      <x:c r="G49" s="369" t="str"/>
      <x:c r="H49" s="369" t="str">
        <x:v>kW</x:v>
      </x:c>
      <x:c r="I49" s="369" t="str">
        <x:v>EQUIPPED_STANDARD_UNCONFIRMED</x:v>
      </x:c>
      <x:c r="J49" s="369" t="str">
        <x:v>NOT_EVIDENCED</x:v>
      </x:c>
      <x:c r="K49" s="369" t="str">
        <x:v>NOT_COMPARED</x:v>
      </x:c>
      <x:c r="L49" s="369" t="str">
        <x:v>DIRECT_CLAIM</x:v>
      </x:c>
      <x:c r="M49" s="369" t="str"/>
      <x:c r="N49" s="369" t="str">
        <x:v>B31-C064</x:v>
      </x:c>
      <x:c r="O49" s="369" t="str">
        <x:f>IF(AND(I49="STANDARD_AT_RELEASE",T49="NONE"),"TRUE","FALSE")</x:f>
        <x:v>FALSE</x:v>
      </x:c>
      <x:c r="P49" s="369" t="str">
        <x:f>IF(AND(J49="STANDARD_CURRENT",T49="NONE"),"TRUE","FALSE")</x:f>
        <x:v>FALSE</x:v>
      </x:c>
      <x:c r="Q49" s="369" t="str">
        <x:v>E_DRIVE</x:v>
      </x:c>
      <x:c r="R49" s="369" t="str">
        <x:v>DC_POWERTRAIN_peak_power_total</x:v>
      </x:c>
      <x:c r="S49" s="369" t="str"/>
      <x:c r="T49" s="369" t="str">
        <x:v>NONE</x:v>
      </x:c>
      <x:c r="U49" s="369" t="str">
        <x:v>2026-08-04</x:v>
      </x:c>
    </x:row>
    <x:row r="50" ht="56" customHeight="1">
      <x:c r="A50" s="19" t="str">
        <x:v>B31-F045</x:v>
      </x:c>
      <x:c r="B50" s="19" t="str">
        <x:v>PC-N90-MAX-CAND</x:v>
      </x:c>
      <x:c r="C50" s="19" t="str">
        <x:v>zero_to_100</x:v>
      </x:c>
      <x:c r="D50" s="19" t="str">
        <x:v>POWERTRAIN</x:v>
      </x:c>
      <x:c r="E50" s="19" t="str">
        <x:v>NUMERIC</x:v>
      </x:c>
      <x:c r="F50" s="152" t="n">
        <x:v>5.9</x:v>
      </x:c>
      <x:c r="G50" s="19" t="str"/>
      <x:c r="H50" s="19" t="str">
        <x:v>s</x:v>
      </x:c>
      <x:c r="I50" s="19" t="str">
        <x:v>EQUIPPED_STANDARD_UNCONFIRMED</x:v>
      </x:c>
      <x:c r="J50" s="19" t="str">
        <x:v>NOT_EVIDENCED</x:v>
      </x:c>
      <x:c r="K50" s="19" t="str">
        <x:v>NOT_COMPARED</x:v>
      </x:c>
      <x:c r="L50" s="19" t="str">
        <x:v>DIRECT_CLAIM</x:v>
      </x:c>
      <x:c r="M50" s="19" t="str"/>
      <x:c r="N50" s="19" t="str">
        <x:v>B31-C065</x:v>
      </x:c>
      <x:c r="O50" s="19" t="str">
        <x:f>IF(AND(I50="STANDARD_AT_RELEASE",T50="NONE"),"TRUE","FALSE")</x:f>
        <x:v>FALSE</x:v>
      </x:c>
      <x:c r="P50" s="19" t="str">
        <x:f>IF(AND(J50="STANDARD_CURRENT",T50="NONE"),"TRUE","FALSE")</x:f>
        <x:v>FALSE</x:v>
      </x:c>
      <x:c r="Q50" s="19" t="str">
        <x:v>E_DRIVE</x:v>
      </x:c>
      <x:c r="R50" s="19" t="str">
        <x:v>DC_POWERTRAIN_zero_to_100</x:v>
      </x:c>
      <x:c r="S50" s="19" t="str"/>
      <x:c r="T50" s="19" t="str">
        <x:v>NONE</x:v>
      </x:c>
      <x:c r="U50" s="19" t="str">
        <x:v>2026-08-04</x:v>
      </x:c>
    </x:row>
    <x:row r="51" ht="56" customHeight="1">
      <x:c r="A51" s="369" t="str">
        <x:v>B31-F046</x:v>
      </x:c>
      <x:c r="B51" s="369" t="str">
        <x:v>PC-N90-MAX-CAND</x:v>
      </x:c>
      <x:c r="C51" s="369" t="str">
        <x:v>top_speed</x:v>
      </x:c>
      <x:c r="D51" s="369" t="str">
        <x:v>POWERTRAIN</x:v>
      </x:c>
      <x:c r="E51" s="369" t="str">
        <x:v>NUMERIC</x:v>
      </x:c>
      <x:c r="F51" s="373" t="n">
        <x:v>190</x:v>
      </x:c>
      <x:c r="G51" s="369" t="str"/>
      <x:c r="H51" s="369" t="str">
        <x:v>km/h</x:v>
      </x:c>
      <x:c r="I51" s="369" t="str">
        <x:v>EQUIPPED_STANDARD_UNCONFIRMED</x:v>
      </x:c>
      <x:c r="J51" s="369" t="str">
        <x:v>NOT_EVIDENCED</x:v>
      </x:c>
      <x:c r="K51" s="369" t="str">
        <x:v>NOT_COMPARED</x:v>
      </x:c>
      <x:c r="L51" s="369" t="str">
        <x:v>DIRECT_CLAIM</x:v>
      </x:c>
      <x:c r="M51" s="369" t="str"/>
      <x:c r="N51" s="369" t="str">
        <x:v>B31-C066</x:v>
      </x:c>
      <x:c r="O51" s="369" t="str">
        <x:f>IF(AND(I51="STANDARD_AT_RELEASE",T51="NONE"),"TRUE","FALSE")</x:f>
        <x:v>FALSE</x:v>
      </x:c>
      <x:c r="P51" s="369" t="str">
        <x:f>IF(AND(J51="STANDARD_CURRENT",T51="NONE"),"TRUE","FALSE")</x:f>
        <x:v>FALSE</x:v>
      </x:c>
      <x:c r="Q51" s="369" t="str">
        <x:v>E_DRIVE</x:v>
      </x:c>
      <x:c r="R51" s="369" t="str">
        <x:v>DC_POWERTRAIN_top_speed</x:v>
      </x:c>
      <x:c r="S51" s="369" t="str"/>
      <x:c r="T51" s="369" t="str">
        <x:v>NONE</x:v>
      </x:c>
      <x:c r="U51" s="369" t="str">
        <x:v>2026-08-04</x:v>
      </x:c>
    </x:row>
    <x:row r="52" ht="56" customHeight="1">
      <x:c r="A52" s="19" t="str">
        <x:v>B31-F047</x:v>
      </x:c>
      <x:c r="B52" s="19" t="str">
        <x:v>PC-N90-MAX-CAND</x:v>
      </x:c>
      <x:c r="C52" s="19" t="str">
        <x:v>battery_capacity</x:v>
      </x:c>
      <x:c r="D52" s="19" t="str">
        <x:v>ENERGY</x:v>
      </x:c>
      <x:c r="E52" s="19" t="str">
        <x:v>NUMERIC</x:v>
      </x:c>
      <x:c r="F52" s="152" t="n">
        <x:v>76</x:v>
      </x:c>
      <x:c r="G52" s="19" t="str"/>
      <x:c r="H52" s="19" t="str">
        <x:v>kWh</x:v>
      </x:c>
      <x:c r="I52" s="19" t="str">
        <x:v>EQUIPPED_STANDARD_UNCONFIRMED</x:v>
      </x:c>
      <x:c r="J52" s="19" t="str">
        <x:v>NOT_EVIDENCED</x:v>
      </x:c>
      <x:c r="K52" s="19" t="str">
        <x:v>NOT_COMPARED</x:v>
      </x:c>
      <x:c r="L52" s="19" t="str">
        <x:v>DIRECT_CLAIM</x:v>
      </x:c>
      <x:c r="M52" s="19" t="str"/>
      <x:c r="N52" s="19" t="str">
        <x:v>B31-C067</x:v>
      </x:c>
      <x:c r="O52" s="19" t="str">
        <x:f>IF(AND(I52="STANDARD_AT_RELEASE",T52="NONE"),"TRUE","FALSE")</x:f>
        <x:v>FALSE</x:v>
      </x:c>
      <x:c r="P52" s="19" t="str">
        <x:f>IF(AND(J52="STANDARD_CURRENT",T52="NONE"),"TRUE","FALSE")</x:f>
        <x:v>FALSE</x:v>
      </x:c>
      <x:c r="Q52" s="19" t="str">
        <x:v>ENERGY_SYSTEM</x:v>
      </x:c>
      <x:c r="R52" s="19" t="str">
        <x:v>DC_ENERGY_SYSTEM</x:v>
      </x:c>
      <x:c r="S52" s="19" t="str"/>
      <x:c r="T52" s="19" t="str">
        <x:v>NONE</x:v>
      </x:c>
      <x:c r="U52" s="19" t="str">
        <x:v>2026-08-04</x:v>
      </x:c>
    </x:row>
    <x:row r="53" ht="56" customHeight="1">
      <x:c r="A53" s="369" t="str">
        <x:v>B31-F048</x:v>
      </x:c>
      <x:c r="B53" s="369" t="str">
        <x:v>PC-N90-MAX-CAND</x:v>
      </x:c>
      <x:c r="C53" s="369" t="str">
        <x:v>battery_chemistry</x:v>
      </x:c>
      <x:c r="D53" s="369" t="str">
        <x:v>ENERGY</x:v>
      </x:c>
      <x:c r="E53" s="369" t="str">
        <x:v>TEXT</x:v>
      </x:c>
      <x:c r="F53" s="373" t="str"/>
      <x:c r="G53" s="369" t="str">
        <x:v>三元锂</x:v>
      </x:c>
      <x:c r="H53" s="369" t="str"/>
      <x:c r="I53" s="369" t="str">
        <x:v>EQUIPPED_STANDARD_UNCONFIRMED</x:v>
      </x:c>
      <x:c r="J53" s="369" t="str">
        <x:v>NOT_EVIDENCED</x:v>
      </x:c>
      <x:c r="K53" s="369" t="str">
        <x:v>NOT_COMPARED</x:v>
      </x:c>
      <x:c r="L53" s="369" t="str">
        <x:v>DIRECT_CLAIM</x:v>
      </x:c>
      <x:c r="M53" s="369" t="str"/>
      <x:c r="N53" s="369" t="str">
        <x:v>B31-C068</x:v>
      </x:c>
      <x:c r="O53" s="369" t="str">
        <x:f>IF(AND(I53="STANDARD_AT_RELEASE",T53="NONE"),"TRUE","FALSE")</x:f>
        <x:v>FALSE</x:v>
      </x:c>
      <x:c r="P53" s="369" t="str">
        <x:f>IF(AND(J53="STANDARD_CURRENT",T53="NONE"),"TRUE","FALSE")</x:f>
        <x:v>FALSE</x:v>
      </x:c>
      <x:c r="Q53" s="369" t="str">
        <x:v>ENERGY_SYSTEM</x:v>
      </x:c>
      <x:c r="R53" s="369" t="str">
        <x:v>DC_ENERGY_SYSTEM</x:v>
      </x:c>
      <x:c r="S53" s="369" t="str"/>
      <x:c r="T53" s="369" t="str">
        <x:v>NONE</x:v>
      </x:c>
      <x:c r="U53" s="369" t="str">
        <x:v>2026-08-04</x:v>
      </x:c>
    </x:row>
    <x:row r="54" ht="56" customHeight="1">
      <x:c r="A54" s="19" t="str">
        <x:v>B31-F049</x:v>
      </x:c>
      <x:c r="B54" s="19" t="str">
        <x:v>PC-N90-MAX-CAND</x:v>
      </x:c>
      <x:c r="C54" s="19" t="str">
        <x:v>cltc_ev_range</x:v>
      </x:c>
      <x:c r="D54" s="19" t="str">
        <x:v>ENERGY</x:v>
      </x:c>
      <x:c r="E54" s="19" t="str">
        <x:v>NUMERIC</x:v>
      </x:c>
      <x:c r="F54" s="152" t="n">
        <x:v>464</x:v>
      </x:c>
      <x:c r="G54" s="19" t="str"/>
      <x:c r="H54" s="19" t="str">
        <x:v>km</x:v>
      </x:c>
      <x:c r="I54" s="19" t="str">
        <x:v>EQUIPPED_STANDARD_UNCONFIRMED</x:v>
      </x:c>
      <x:c r="J54" s="19" t="str">
        <x:v>NOT_EVIDENCED</x:v>
      </x:c>
      <x:c r="K54" s="19" t="str">
        <x:v>NOT_COMPARED</x:v>
      </x:c>
      <x:c r="L54" s="19" t="str">
        <x:v>DIRECT_CLAIM</x:v>
      </x:c>
      <x:c r="M54" s="19" t="str"/>
      <x:c r="N54" s="19" t="str">
        <x:v>B31-C069</x:v>
      </x:c>
      <x:c r="O54" s="19" t="str">
        <x:f>IF(AND(I54="STANDARD_AT_RELEASE",T54="NONE"),"TRUE","FALSE")</x:f>
        <x:v>FALSE</x:v>
      </x:c>
      <x:c r="P54" s="19" t="str">
        <x:f>IF(AND(J54="STANDARD_CURRENT",T54="NONE"),"TRUE","FALSE")</x:f>
        <x:v>FALSE</x:v>
      </x:c>
      <x:c r="Q54" s="19" t="str">
        <x:v>ENERGY_SYSTEM</x:v>
      </x:c>
      <x:c r="R54" s="19" t="str">
        <x:v>DC_ENERGY_SYSTEM</x:v>
      </x:c>
      <x:c r="S54" s="19" t="str">
        <x:v>CG_RANGE_SCOPE</x:v>
      </x:c>
      <x:c r="T54" s="19" t="str">
        <x:v>NONE</x:v>
      </x:c>
      <x:c r="U54" s="19" t="str">
        <x:v>2026-08-04</x:v>
      </x:c>
    </x:row>
    <x:row r="55" ht="56" customHeight="1">
      <x:c r="A55" s="369" t="str">
        <x:v>B31-F050</x:v>
      </x:c>
      <x:c r="B55" s="369" t="str">
        <x:v>PC-N90-MAX-CAND</x:v>
      </x:c>
      <x:c r="C55" s="369" t="str">
        <x:v>cltc_combined_range</x:v>
      </x:c>
      <x:c r="D55" s="369" t="str">
        <x:v>ENERGY</x:v>
      </x:c>
      <x:c r="E55" s="369" t="str">
        <x:v>NUMERIC</x:v>
      </x:c>
      <x:c r="F55" s="373" t="n">
        <x:v>1705</x:v>
      </x:c>
      <x:c r="G55" s="369" t="str"/>
      <x:c r="H55" s="369" t="str">
        <x:v>km</x:v>
      </x:c>
      <x:c r="I55" s="369" t="str">
        <x:v>EQUIPPED_STANDARD_UNCONFIRMED</x:v>
      </x:c>
      <x:c r="J55" s="369" t="str">
        <x:v>NOT_EVIDENCED</x:v>
      </x:c>
      <x:c r="K55" s="369" t="str">
        <x:v>NOT_COMPARED</x:v>
      </x:c>
      <x:c r="L55" s="369" t="str">
        <x:v>DIRECT_CLAIM</x:v>
      </x:c>
      <x:c r="M55" s="369" t="str"/>
      <x:c r="N55" s="369" t="str">
        <x:v>B31-C070</x:v>
      </x:c>
      <x:c r="O55" s="369" t="str">
        <x:f>IF(AND(I55="STANDARD_AT_RELEASE",T55="NONE"),"TRUE","FALSE")</x:f>
        <x:v>FALSE</x:v>
      </x:c>
      <x:c r="P55" s="369" t="str">
        <x:f>IF(AND(J55="STANDARD_CURRENT",T55="NONE"),"TRUE","FALSE")</x:f>
        <x:v>FALSE</x:v>
      </x:c>
      <x:c r="Q55" s="369" t="str">
        <x:v>ENERGY_SYSTEM</x:v>
      </x:c>
      <x:c r="R55" s="369" t="str">
        <x:v>DC_ENERGY_SYSTEM</x:v>
      </x:c>
      <x:c r="S55" s="369" t="str"/>
      <x:c r="T55" s="369" t="str">
        <x:v>NONE</x:v>
      </x:c>
      <x:c r="U55" s="369" t="str">
        <x:v>2026-08-04</x:v>
      </x:c>
    </x:row>
    <x:row r="56" ht="56" customHeight="1">
      <x:c r="A56" s="19" t="str">
        <x:v>B31-F051</x:v>
      </x:c>
      <x:c r="B56" s="19" t="str">
        <x:v>PC-N90-MAX-CAND</x:v>
      </x:c>
      <x:c r="C56" s="19" t="str">
        <x:v>fast_charge_15min_range</x:v>
      </x:c>
      <x:c r="D56" s="19" t="str">
        <x:v>ENERGY</x:v>
      </x:c>
      <x:c r="E56" s="19" t="str">
        <x:v>NUMERIC</x:v>
      </x:c>
      <x:c r="F56" s="152" t="n">
        <x:v>285</x:v>
      </x:c>
      <x:c r="G56" s="19" t="str"/>
      <x:c r="H56" s="19" t="str">
        <x:v>km</x:v>
      </x:c>
      <x:c r="I56" s="19" t="str">
        <x:v>EQUIPPED_STANDARD_UNCONFIRMED</x:v>
      </x:c>
      <x:c r="J56" s="19" t="str">
        <x:v>NOT_EVIDENCED</x:v>
      </x:c>
      <x:c r="K56" s="19" t="str">
        <x:v>NOT_COMPARED</x:v>
      </x:c>
      <x:c r="L56" s="19" t="str">
        <x:v>DIRECT_CLAIM</x:v>
      </x:c>
      <x:c r="M56" s="19" t="str"/>
      <x:c r="N56" s="19" t="str">
        <x:v>B31-C071</x:v>
      </x:c>
      <x:c r="O56" s="19" t="str">
        <x:f>IF(AND(I56="STANDARD_AT_RELEASE",T56="NONE"),"TRUE","FALSE")</x:f>
        <x:v>FALSE</x:v>
      </x:c>
      <x:c r="P56" s="19" t="str">
        <x:f>IF(AND(J56="STANDARD_CURRENT",T56="NONE"),"TRUE","FALSE")</x:f>
        <x:v>FALSE</x:v>
      </x:c>
      <x:c r="Q56" s="19" t="str">
        <x:v>ENERGY_SYSTEM</x:v>
      </x:c>
      <x:c r="R56" s="19" t="str">
        <x:v>DC_ENERGY_fast_charge_15min_range</x:v>
      </x:c>
      <x:c r="S56" s="19" t="str"/>
      <x:c r="T56" s="19" t="str">
        <x:v>NONE</x:v>
      </x:c>
      <x:c r="U56" s="19" t="str">
        <x:v>2026-08-04</x:v>
      </x:c>
    </x:row>
    <x:row r="57" ht="56" customHeight="1">
      <x:c r="A57" s="369" t="str">
        <x:v>B31-F052</x:v>
      </x:c>
      <x:c r="B57" s="369" t="str">
        <x:v>PC-N90-MAX-CAND</x:v>
      </x:c>
      <x:c r="C57" s="369" t="str">
        <x:v>charge_sustaining_fuel</x:v>
      </x:c>
      <x:c r="D57" s="369" t="str">
        <x:v>ENERGY</x:v>
      </x:c>
      <x:c r="E57" s="369" t="str">
        <x:v>NUMERIC</x:v>
      </x:c>
      <x:c r="F57" s="373" t="n">
        <x:v>6.26</x:v>
      </x:c>
      <x:c r="G57" s="369" t="str"/>
      <x:c r="H57" s="369" t="str">
        <x:v>L/100km</x:v>
      </x:c>
      <x:c r="I57" s="369" t="str">
        <x:v>EQUIPPED_STANDARD_UNCONFIRMED</x:v>
      </x:c>
      <x:c r="J57" s="369" t="str">
        <x:v>NOT_EVIDENCED</x:v>
      </x:c>
      <x:c r="K57" s="369" t="str">
        <x:v>NOT_COMPARED</x:v>
      </x:c>
      <x:c r="L57" s="369" t="str">
        <x:v>DIRECT_CLAIM</x:v>
      </x:c>
      <x:c r="M57" s="369" t="str"/>
      <x:c r="N57" s="369" t="str">
        <x:v>B31-C072</x:v>
      </x:c>
      <x:c r="O57" s="369" t="str">
        <x:f>IF(AND(I57="STANDARD_AT_RELEASE",T57="NONE"),"TRUE","FALSE")</x:f>
        <x:v>FALSE</x:v>
      </x:c>
      <x:c r="P57" s="369" t="str">
        <x:f>IF(AND(J57="STANDARD_CURRENT",T57="NONE"),"TRUE","FALSE")</x:f>
        <x:v>FALSE</x:v>
      </x:c>
      <x:c r="Q57" s="369" t="str">
        <x:v>ENERGY_SYSTEM</x:v>
      </x:c>
      <x:c r="R57" s="369" t="str">
        <x:v>DC_ENERGY_SYSTEM</x:v>
      </x:c>
      <x:c r="S57" s="369" t="str">
        <x:v>CG_FUEL_CYCLE</x:v>
      </x:c>
      <x:c r="T57" s="369" t="str">
        <x:v>NONE</x:v>
      </x:c>
      <x:c r="U57" s="369" t="str">
        <x:v>2026-08-04</x:v>
      </x:c>
    </x:row>
    <x:row r="58" ht="56" customHeight="1">
      <x:c r="A58" s="19" t="str">
        <x:v>B31-F053</x:v>
      </x:c>
      <x:c r="B58" s="19" t="str">
        <x:v>PC-N90-MAX-CAND</x:v>
      </x:c>
      <x:c r="C58" s="19" t="str">
        <x:v>fuel_grade_support</x:v>
      </x:c>
      <x:c r="D58" s="19" t="str">
        <x:v>ENERGY</x:v>
      </x:c>
      <x:c r="E58" s="19" t="str">
        <x:v>TEXT</x:v>
      </x:c>
      <x:c r="F58" s="152" t="str"/>
      <x:c r="G58" s="19" t="str">
        <x:v>92 / 95 / 98号汽油</x:v>
      </x:c>
      <x:c r="H58" s="19" t="str"/>
      <x:c r="I58" s="19" t="str">
        <x:v>SERIES_CAPABILITY</x:v>
      </x:c>
      <x:c r="J58" s="19" t="str">
        <x:v>NOT_EVIDENCED</x:v>
      </x:c>
      <x:c r="K58" s="19" t="str">
        <x:v>NOT_COMPARED</x:v>
      </x:c>
      <x:c r="L58" s="19" t="str">
        <x:v>DIRECT_CLAIM</x:v>
      </x:c>
      <x:c r="M58" s="19" t="str"/>
      <x:c r="N58" s="19" t="str">
        <x:v>B31-C073</x:v>
      </x:c>
      <x:c r="O58" s="19" t="str">
        <x:f>IF(AND(I58="STANDARD_AT_RELEASE",T58="NONE"),"TRUE","FALSE")</x:f>
        <x:v>FALSE</x:v>
      </x:c>
      <x:c r="P58" s="19" t="str">
        <x:f>IF(AND(J58="STANDARD_CURRENT",T58="NONE"),"TRUE","FALSE")</x:f>
        <x:v>FALSE</x:v>
      </x:c>
      <x:c r="Q58" s="19" t="str">
        <x:v>ENERGY_SYSTEM</x:v>
      </x:c>
      <x:c r="R58" s="19" t="str">
        <x:v>DC_ENERGY_fuel_grade_support</x:v>
      </x:c>
      <x:c r="S58" s="19" t="str"/>
      <x:c r="T58" s="19" t="str">
        <x:v>NONE</x:v>
      </x:c>
      <x:c r="U58" s="19" t="str">
        <x:v>2026-08-04</x:v>
      </x:c>
    </x:row>
    <x:row r="59" ht="56" customHeight="1">
      <x:c r="A59" s="369" t="str">
        <x:v>B31-F054</x:v>
      </x:c>
      <x:c r="B59" s="369" t="str">
        <x:v>PC-N90-MAX-CAND</x:v>
      </x:c>
      <x:c r="C59" s="369" t="str">
        <x:v>fuel_tank</x:v>
      </x:c>
      <x:c r="D59" s="369" t="str">
        <x:v>ENERGY</x:v>
      </x:c>
      <x:c r="E59" s="369" t="str">
        <x:v>NUMERIC</x:v>
      </x:c>
      <x:c r="F59" s="373" t="n">
        <x:v>60</x:v>
      </x:c>
      <x:c r="G59" s="369" t="str"/>
      <x:c r="H59" s="369" t="str">
        <x:v>L</x:v>
      </x:c>
      <x:c r="I59" s="369" t="str">
        <x:v>EQUIPPED_STANDARD_UNCONFIRMED</x:v>
      </x:c>
      <x:c r="J59" s="369" t="str">
        <x:v>NOT_EVIDENCED</x:v>
      </x:c>
      <x:c r="K59" s="369" t="str">
        <x:v>NOT_COMPARED</x:v>
      </x:c>
      <x:c r="L59" s="369" t="str">
        <x:v>DIRECT_CLAIM</x:v>
      </x:c>
      <x:c r="M59" s="369" t="str"/>
      <x:c r="N59" s="369" t="str">
        <x:v>B31-C074</x:v>
      </x:c>
      <x:c r="O59" s="369" t="str">
        <x:f>IF(AND(I59="STANDARD_AT_RELEASE",T59="NONE"),"TRUE","FALSE")</x:f>
        <x:v>FALSE</x:v>
      </x:c>
      <x:c r="P59" s="369" t="str">
        <x:f>IF(AND(J59="STANDARD_CURRENT",T59="NONE"),"TRUE","FALSE")</x:f>
        <x:v>FALSE</x:v>
      </x:c>
      <x:c r="Q59" s="369" t="str">
        <x:v>ENERGY_SYSTEM</x:v>
      </x:c>
      <x:c r="R59" s="369" t="str">
        <x:v>DC_ENERGY_fuel_tank</x:v>
      </x:c>
      <x:c r="S59" s="369" t="str"/>
      <x:c r="T59" s="369" t="str">
        <x:v>NONE</x:v>
      </x:c>
      <x:c r="U59" s="369" t="str">
        <x:v>2026-08-04</x:v>
      </x:c>
    </x:row>
    <x:row r="60" ht="56" customHeight="1">
      <x:c r="A60" s="19" t="str">
        <x:v>B31-F055</x:v>
      </x:c>
      <x:c r="B60" s="19" t="str">
        <x:v>PC-N90-MAX-CAND</x:v>
      </x:c>
      <x:c r="C60" s="19" t="str">
        <x:v>v2l_power</x:v>
      </x:c>
      <x:c r="D60" s="19" t="str">
        <x:v>ENERGY</x:v>
      </x:c>
      <x:c r="E60" s="19" t="str">
        <x:v>NUMERIC</x:v>
      </x:c>
      <x:c r="F60" s="152" t="n">
        <x:v>6.6</x:v>
      </x:c>
      <x:c r="G60" s="19" t="str"/>
      <x:c r="H60" s="19" t="str">
        <x:v>kW</x:v>
      </x:c>
      <x:c r="I60" s="19" t="str">
        <x:v>SERIES_CAPABILITY</x:v>
      </x:c>
      <x:c r="J60" s="19" t="str">
        <x:v>NOT_EVIDENCED</x:v>
      </x:c>
      <x:c r="K60" s="19" t="str">
        <x:v>NOT_COMPARED</x:v>
      </x:c>
      <x:c r="L60" s="19" t="str">
        <x:v>DIRECT_CLAIM</x:v>
      </x:c>
      <x:c r="M60" s="19" t="str"/>
      <x:c r="N60" s="19" t="str">
        <x:v>B31-C075</x:v>
      </x:c>
      <x:c r="O60" s="19" t="str">
        <x:f>IF(AND(I60="STANDARD_AT_RELEASE",T60="NONE"),"TRUE","FALSE")</x:f>
        <x:v>FALSE</x:v>
      </x:c>
      <x:c r="P60" s="19" t="str">
        <x:f>IF(AND(J60="STANDARD_CURRENT",T60="NONE"),"TRUE","FALSE")</x:f>
        <x:v>FALSE</x:v>
      </x:c>
      <x:c r="Q60" s="19" t="str">
        <x:v>ENERGY_SYSTEM</x:v>
      </x:c>
      <x:c r="R60" s="19" t="str">
        <x:v>DC_ENERGY_v2l_power</x:v>
      </x:c>
      <x:c r="S60" s="19" t="str"/>
      <x:c r="T60" s="19" t="str">
        <x:v>NONE</x:v>
      </x:c>
      <x:c r="U60" s="19" t="str">
        <x:v>2026-08-04</x:v>
      </x:c>
    </x:row>
    <x:row r="61" ht="56" customHeight="1">
      <x:c r="A61" s="369" t="str">
        <x:v>B31-F056</x:v>
      </x:c>
      <x:c r="B61" s="369" t="str">
        <x:v>PC-N90-MAX-CAND</x:v>
      </x:c>
      <x:c r="C61" s="369" t="str">
        <x:v>suspension_layout</x:v>
      </x:c>
      <x:c r="D61" s="369" t="str">
        <x:v>CHASSIS</x:v>
      </x:c>
      <x:c r="E61" s="369" t="str">
        <x:v>TEXT</x:v>
      </x:c>
      <x:c r="F61" s="373" t="str"/>
      <x:c r="G61" s="369" t="str">
        <x:v>前双叉臂+后多连杆独立悬架</x:v>
      </x:c>
      <x:c r="H61" s="369" t="str"/>
      <x:c r="I61" s="369" t="str">
        <x:v>EQUIPPED_STANDARD_UNCONFIRMED</x:v>
      </x:c>
      <x:c r="J61" s="369" t="str">
        <x:v>NOT_EVIDENCED</x:v>
      </x:c>
      <x:c r="K61" s="369" t="str">
        <x:v>NOT_COMPARED</x:v>
      </x:c>
      <x:c r="L61" s="369" t="str">
        <x:v>DIRECT_CLAIM</x:v>
      </x:c>
      <x:c r="M61" s="369" t="str"/>
      <x:c r="N61" s="369" t="str">
        <x:v>B31-C076</x:v>
      </x:c>
      <x:c r="O61" s="369" t="str">
        <x:f>IF(AND(I61="STANDARD_AT_RELEASE",T61="NONE"),"TRUE","FALSE")</x:f>
        <x:v>FALSE</x:v>
      </x:c>
      <x:c r="P61" s="369" t="str">
        <x:f>IF(AND(J61="STANDARD_CURRENT",T61="NONE"),"TRUE","FALSE")</x:f>
        <x:v>FALSE</x:v>
      </x:c>
      <x:c r="Q61" s="369" t="str">
        <x:v>CHASSIS_HARDWARE</x:v>
      </x:c>
      <x:c r="R61" s="369" t="str">
        <x:v>DC_CHASSIS_SUSPENSION</x:v>
      </x:c>
      <x:c r="S61" s="369" t="str"/>
      <x:c r="T61" s="369" t="str">
        <x:v>NONE</x:v>
      </x:c>
      <x:c r="U61" s="369" t="str">
        <x:v>2026-08-04</x:v>
      </x:c>
    </x:row>
    <x:row r="62" ht="56" customHeight="1">
      <x:c r="A62" s="19" t="str">
        <x:v>B31-F057</x:v>
      </x:c>
      <x:c r="B62" s="19" t="str">
        <x:v>PC-N90-MAX-CAND</x:v>
      </x:c>
      <x:c r="C62" s="19" t="str">
        <x:v>air_suspension</x:v>
      </x:c>
      <x:c r="D62" s="19" t="str">
        <x:v>CHASSIS</x:v>
      </x:c>
      <x:c r="E62" s="19" t="str">
        <x:v>TEXT</x:v>
      </x:c>
      <x:c r="F62" s="152" t="str"/>
      <x:c r="G62" s="19" t="str">
        <x:v>空气弹簧</x:v>
      </x:c>
      <x:c r="H62" s="19" t="str"/>
      <x:c r="I62" s="19" t="str">
        <x:v>EQUIPPED_STANDARD_UNCONFIRMED</x:v>
      </x:c>
      <x:c r="J62" s="19" t="str">
        <x:v>NOT_EVIDENCED</x:v>
      </x:c>
      <x:c r="K62" s="19" t="str">
        <x:v>NOT_COMPARED</x:v>
      </x:c>
      <x:c r="L62" s="19" t="str">
        <x:v>DIRECT_CLAIM</x:v>
      </x:c>
      <x:c r="M62" s="19" t="str"/>
      <x:c r="N62" s="19" t="str">
        <x:v>B31-C077</x:v>
      </x:c>
      <x:c r="O62" s="19" t="str">
        <x:f>IF(AND(I62="STANDARD_AT_RELEASE",T62="NONE"),"TRUE","FALSE")</x:f>
        <x:v>FALSE</x:v>
      </x:c>
      <x:c r="P62" s="19" t="str">
        <x:f>IF(AND(J62="STANDARD_CURRENT",T62="NONE"),"TRUE","FALSE")</x:f>
        <x:v>FALSE</x:v>
      </x:c>
      <x:c r="Q62" s="19" t="str">
        <x:v>CHASSIS_HARDWARE</x:v>
      </x:c>
      <x:c r="R62" s="19" t="str">
        <x:v>DC_CHASSIS_SUSPENSION</x:v>
      </x:c>
      <x:c r="S62" s="19" t="str"/>
      <x:c r="T62" s="19" t="str">
        <x:v>NONE</x:v>
      </x:c>
      <x:c r="U62" s="19" t="str">
        <x:v>2026-08-04</x:v>
      </x:c>
    </x:row>
    <x:row r="63" ht="56" customHeight="1">
      <x:c r="A63" s="369" t="str">
        <x:v>B31-F058</x:v>
      </x:c>
      <x:c r="B63" s="369" t="str">
        <x:v>PC-N90-MAX-CAND</x:v>
      </x:c>
      <x:c r="C63" s="369" t="str">
        <x:v>adaptive_damper</x:v>
      </x:c>
      <x:c r="D63" s="369" t="str">
        <x:v>CHASSIS</x:v>
      </x:c>
      <x:c r="E63" s="369" t="str">
        <x:v>TEXT</x:v>
      </x:c>
      <x:c r="F63" s="373" t="str"/>
      <x:c r="G63" s="369" t="str">
        <x:v>连续阻尼可变减振器</x:v>
      </x:c>
      <x:c r="H63" s="369" t="str"/>
      <x:c r="I63" s="369" t="str">
        <x:v>EQUIPPED_STANDARD_UNCONFIRMED</x:v>
      </x:c>
      <x:c r="J63" s="369" t="str">
        <x:v>NOT_EVIDENCED</x:v>
      </x:c>
      <x:c r="K63" s="369" t="str">
        <x:v>NOT_COMPARED</x:v>
      </x:c>
      <x:c r="L63" s="369" t="str">
        <x:v>DIRECT_CLAIM</x:v>
      </x:c>
      <x:c r="M63" s="369" t="str"/>
      <x:c r="N63" s="369" t="str">
        <x:v>B31-C078</x:v>
      </x:c>
      <x:c r="O63" s="369" t="str">
        <x:f>IF(AND(I63="STANDARD_AT_RELEASE",T63="NONE"),"TRUE","FALSE")</x:f>
        <x:v>FALSE</x:v>
      </x:c>
      <x:c r="P63" s="369" t="str">
        <x:f>IF(AND(J63="STANDARD_CURRENT",T63="NONE"),"TRUE","FALSE")</x:f>
        <x:v>FALSE</x:v>
      </x:c>
      <x:c r="Q63" s="369" t="str">
        <x:v>CHASSIS_HARDWARE</x:v>
      </x:c>
      <x:c r="R63" s="369" t="str">
        <x:v>DC_CHASSIS_SUSPENSION</x:v>
      </x:c>
      <x:c r="S63" s="369" t="str"/>
      <x:c r="T63" s="369" t="str">
        <x:v>NONE</x:v>
      </x:c>
      <x:c r="U63" s="369" t="str">
        <x:v>2026-08-04</x:v>
      </x:c>
    </x:row>
    <x:row r="64" ht="56" customHeight="1">
      <x:c r="A64" s="19" t="str">
        <x:v>B31-F059</x:v>
      </x:c>
      <x:c r="B64" s="19" t="str">
        <x:v>PC-N90-MAX-CAND</x:v>
      </x:c>
      <x:c r="C64" s="19" t="str">
        <x:v>hydraulic_bushing_count</x:v>
      </x:c>
      <x:c r="D64" s="19" t="str">
        <x:v>CHASSIS</x:v>
      </x:c>
      <x:c r="E64" s="19" t="str">
        <x:v>NUMERIC</x:v>
      </x:c>
      <x:c r="F64" s="152" t="n">
        <x:v>4</x:v>
      </x:c>
      <x:c r="G64" s="19" t="str"/>
      <x:c r="H64" s="19" t="str">
        <x:v>count</x:v>
      </x:c>
      <x:c r="I64" s="19" t="str">
        <x:v>EQUIPPED_STANDARD_UNCONFIRMED</x:v>
      </x:c>
      <x:c r="J64" s="19" t="str">
        <x:v>NOT_EVIDENCED</x:v>
      </x:c>
      <x:c r="K64" s="19" t="str">
        <x:v>NOT_COMPARED</x:v>
      </x:c>
      <x:c r="L64" s="19" t="str">
        <x:v>DIRECT_CLAIM</x:v>
      </x:c>
      <x:c r="M64" s="19" t="str"/>
      <x:c r="N64" s="19" t="str">
        <x:v>B31-C079</x:v>
      </x:c>
      <x:c r="O64" s="19" t="str">
        <x:f>IF(AND(I64="STANDARD_AT_RELEASE",T64="NONE"),"TRUE","FALSE")</x:f>
        <x:v>FALSE</x:v>
      </x:c>
      <x:c r="P64" s="19" t="str">
        <x:f>IF(AND(J64="STANDARD_CURRENT",T64="NONE"),"TRUE","FALSE")</x:f>
        <x:v>FALSE</x:v>
      </x:c>
      <x:c r="Q64" s="19" t="str">
        <x:v>CHASSIS_HARDWARE</x:v>
      </x:c>
      <x:c r="R64" s="19" t="str">
        <x:v>DC_CHASSIS_SUSPENSION</x:v>
      </x:c>
      <x:c r="S64" s="19" t="str"/>
      <x:c r="T64" s="19" t="str">
        <x:v>NONE</x:v>
      </x:c>
      <x:c r="U64" s="19" t="str">
        <x:v>2026-08-04</x:v>
      </x:c>
    </x:row>
    <x:row r="65" ht="56" customHeight="1">
      <x:c r="A65" s="369" t="str">
        <x:v>B31-F060</x:v>
      </x:c>
      <x:c r="B65" s="369" t="str">
        <x:v>PC-N90-MAX-CAND</x:v>
      </x:c>
      <x:c r="C65" s="369" t="str">
        <x:v>brake_control</x:v>
      </x:c>
      <x:c r="D65" s="369" t="str">
        <x:v>CHASSIS</x:v>
      </x:c>
      <x:c r="E65" s="369" t="str">
        <x:v>TEXT</x:v>
      </x:c>
      <x:c r="F65" s="373" t="str"/>
      <x:c r="G65" s="369" t="str">
        <x:v>Bosch ESP 10.0 + DPB</x:v>
      </x:c>
      <x:c r="H65" s="369" t="str"/>
      <x:c r="I65" s="369" t="str">
        <x:v>EQUIPPED_STANDARD_UNCONFIRMED</x:v>
      </x:c>
      <x:c r="J65" s="369" t="str">
        <x:v>NOT_EVIDENCED</x:v>
      </x:c>
      <x:c r="K65" s="369" t="str">
        <x:v>NOT_COMPARED</x:v>
      </x:c>
      <x:c r="L65" s="369" t="str">
        <x:v>DIRECT_CLAIM</x:v>
      </x:c>
      <x:c r="M65" s="369" t="str"/>
      <x:c r="N65" s="369" t="str">
        <x:v>B31-C080</x:v>
      </x:c>
      <x:c r="O65" s="369" t="str">
        <x:f>IF(AND(I65="STANDARD_AT_RELEASE",T65="NONE"),"TRUE","FALSE")</x:f>
        <x:v>FALSE</x:v>
      </x:c>
      <x:c r="P65" s="369" t="str">
        <x:f>IF(AND(J65="STANDARD_CURRENT",T65="NONE"),"TRUE","FALSE")</x:f>
        <x:v>FALSE</x:v>
      </x:c>
      <x:c r="Q65" s="369" t="str">
        <x:v>CHASSIS_HARDWARE</x:v>
      </x:c>
      <x:c r="R65" s="369" t="str">
        <x:v>DC_CHASSIS_brake_control</x:v>
      </x:c>
      <x:c r="S65" s="369" t="str"/>
      <x:c r="T65" s="369" t="str">
        <x:v>NONE</x:v>
      </x:c>
      <x:c r="U65" s="369" t="str">
        <x:v>2026-08-04</x:v>
      </x:c>
    </x:row>
    <x:row r="66" ht="56" customHeight="1">
      <x:c r="A66" s="19" t="str">
        <x:v>B31-F061</x:v>
      </x:c>
      <x:c r="B66" s="19" t="str">
        <x:v>PC-N90-MAX-CAND</x:v>
      </x:c>
      <x:c r="C66" s="19" t="str">
        <x:v>tire_width_front_rear</x:v>
      </x:c>
      <x:c r="D66" s="19" t="str">
        <x:v>CHASSIS</x:v>
      </x:c>
      <x:c r="E66" s="19" t="str">
        <x:v>TEXT</x:v>
      </x:c>
      <x:c r="F66" s="152" t="str"/>
      <x:c r="G66" s="19" t="str">
        <x:v>前255 / 后265静音宽胎</x:v>
      </x:c>
      <x:c r="H66" s="19" t="str"/>
      <x:c r="I66" s="19" t="str">
        <x:v>EQUIPPED_STANDARD_UNCONFIRMED</x:v>
      </x:c>
      <x:c r="J66" s="19" t="str">
        <x:v>NOT_EVIDENCED</x:v>
      </x:c>
      <x:c r="K66" s="19" t="str">
        <x:v>NOT_COMPARED</x:v>
      </x:c>
      <x:c r="L66" s="19" t="str">
        <x:v>DIRECT_CLAIM</x:v>
      </x:c>
      <x:c r="M66" s="19" t="str"/>
      <x:c r="N66" s="19" t="str">
        <x:v>B31-C081</x:v>
      </x:c>
      <x:c r="O66" s="19" t="str">
        <x:f>IF(AND(I66="STANDARD_AT_RELEASE",T66="NONE"),"TRUE","FALSE")</x:f>
        <x:v>FALSE</x:v>
      </x:c>
      <x:c r="P66" s="19" t="str">
        <x:f>IF(AND(J66="STANDARD_CURRENT",T66="NONE"),"TRUE","FALSE")</x:f>
        <x:v>FALSE</x:v>
      </x:c>
      <x:c r="Q66" s="19" t="str">
        <x:v>CHASSIS_HARDWARE</x:v>
      </x:c>
      <x:c r="R66" s="19" t="str">
        <x:v>DC_CHASSIS_tire_width_front_rear</x:v>
      </x:c>
      <x:c r="S66" s="19" t="str"/>
      <x:c r="T66" s="19" t="str">
        <x:v>NONE</x:v>
      </x:c>
      <x:c r="U66" s="19" t="str">
        <x:v>2026-08-04</x:v>
      </x:c>
    </x:row>
    <x:row r="67" ht="56" customHeight="1">
      <x:c r="A67" s="369" t="str">
        <x:v>B31-F062</x:v>
      </x:c>
      <x:c r="B67" s="369" t="str">
        <x:v>PC-N90-MAX-CAND</x:v>
      </x:c>
      <x:c r="C67" s="369" t="str">
        <x:v>turning_radius</x:v>
      </x:c>
      <x:c r="D67" s="369" t="str">
        <x:v>CHASSIS</x:v>
      </x:c>
      <x:c r="E67" s="369" t="str">
        <x:v>NUMERIC</x:v>
      </x:c>
      <x:c r="F67" s="373" t="n">
        <x:v>5.95</x:v>
      </x:c>
      <x:c r="G67" s="369" t="str"/>
      <x:c r="H67" s="369" t="str">
        <x:v>m</x:v>
      </x:c>
      <x:c r="I67" s="369" t="str">
        <x:v>EQUIPPED_STANDARD_UNCONFIRMED</x:v>
      </x:c>
      <x:c r="J67" s="369" t="str">
        <x:v>NOT_EVIDENCED</x:v>
      </x:c>
      <x:c r="K67" s="369" t="str">
        <x:v>NOT_COMPARED</x:v>
      </x:c>
      <x:c r="L67" s="369" t="str">
        <x:v>DIRECT_CLAIM</x:v>
      </x:c>
      <x:c r="M67" s="369" t="str"/>
      <x:c r="N67" s="369" t="str">
        <x:v>B31-C082</x:v>
      </x:c>
      <x:c r="O67" s="369" t="str">
        <x:f>IF(AND(I67="STANDARD_AT_RELEASE",T67="NONE"),"TRUE","FALSE")</x:f>
        <x:v>FALSE</x:v>
      </x:c>
      <x:c r="P67" s="369" t="str">
        <x:f>IF(AND(J67="STANDARD_CURRENT",T67="NONE"),"TRUE","FALSE")</x:f>
        <x:v>FALSE</x:v>
      </x:c>
      <x:c r="Q67" s="369" t="str">
        <x:v>CHASSIS_HARDWARE</x:v>
      </x:c>
      <x:c r="R67" s="369" t="str">
        <x:v>DC_CHASSIS_turning_radius</x:v>
      </x:c>
      <x:c r="S67" s="369" t="str"/>
      <x:c r="T67" s="369" t="str">
        <x:v>NONE</x:v>
      </x:c>
      <x:c r="U67" s="369" t="str">
        <x:v>2026-08-04</x:v>
      </x:c>
    </x:row>
    <x:row r="68" ht="56" customHeight="1">
      <x:c r="A68" s="19" t="str">
        <x:v>B31-F063</x:v>
      </x:c>
      <x:c r="B68" s="19" t="str">
        <x:v>PC-N90-MAX-CAND</x:v>
      </x:c>
      <x:c r="C68" s="19" t="str">
        <x:v>braking_100_0</x:v>
      </x:c>
      <x:c r="D68" s="19" t="str">
        <x:v>CHASSIS</x:v>
      </x:c>
      <x:c r="E68" s="19" t="str">
        <x:v>NUMERIC</x:v>
      </x:c>
      <x:c r="F68" s="152" t="n">
        <x:v>38.57</x:v>
      </x:c>
      <x:c r="G68" s="19" t="str"/>
      <x:c r="H68" s="19" t="str">
        <x:v>m</x:v>
      </x:c>
      <x:c r="I68" s="19" t="str">
        <x:v>EQUIPPED_STANDARD_UNCONFIRMED</x:v>
      </x:c>
      <x:c r="J68" s="19" t="str">
        <x:v>NOT_EVIDENCED</x:v>
      </x:c>
      <x:c r="K68" s="19" t="str">
        <x:v>NOT_COMPARED</x:v>
      </x:c>
      <x:c r="L68" s="19" t="str">
        <x:v>DIRECT_CLAIM</x:v>
      </x:c>
      <x:c r="M68" s="19" t="str"/>
      <x:c r="N68" s="19" t="str">
        <x:v>B31-C083</x:v>
      </x:c>
      <x:c r="O68" s="19" t="str">
        <x:f>IF(AND(I68="STANDARD_AT_RELEASE",T68="NONE"),"TRUE","FALSE")</x:f>
        <x:v>FALSE</x:v>
      </x:c>
      <x:c r="P68" s="19" t="str">
        <x:f>IF(AND(J68="STANDARD_CURRENT",T68="NONE"),"TRUE","FALSE")</x:f>
        <x:v>FALSE</x:v>
      </x:c>
      <x:c r="Q68" s="19" t="str">
        <x:v>CHASSIS_HARDWARE</x:v>
      </x:c>
      <x:c r="R68" s="19" t="str">
        <x:v>DC_CHASSIS_braking_100_0</x:v>
      </x:c>
      <x:c r="S68" s="19" t="str"/>
      <x:c r="T68" s="19" t="str">
        <x:v>NONE</x:v>
      </x:c>
      <x:c r="U68" s="19" t="str">
        <x:v>2026-08-04</x:v>
      </x:c>
    </x:row>
    <x:row r="69" ht="56" customHeight="1">
      <x:c r="A69" s="369" t="str">
        <x:v>B31-F064</x:v>
      </x:c>
      <x:c r="B69" s="369" t="str">
        <x:v>PC-N90-MAX-CAND</x:v>
      </x:c>
      <x:c r="C69" s="369" t="str">
        <x:v>blowout_stability_speed</x:v>
      </x:c>
      <x:c r="D69" s="369" t="str">
        <x:v>SAFETY</x:v>
      </x:c>
      <x:c r="E69" s="369" t="str">
        <x:v>NUMERIC</x:v>
      </x:c>
      <x:c r="F69" s="373" t="n">
        <x:v>160</x:v>
      </x:c>
      <x:c r="G69" s="369" t="str"/>
      <x:c r="H69" s="369" t="str">
        <x:v>km/h</x:v>
      </x:c>
      <x:c r="I69" s="369" t="str">
        <x:v>EQUIPPED_STANDARD_UNCONFIRMED</x:v>
      </x:c>
      <x:c r="J69" s="369" t="str">
        <x:v>NOT_EVIDENCED</x:v>
      </x:c>
      <x:c r="K69" s="369" t="str">
        <x:v>NOT_COMPARED</x:v>
      </x:c>
      <x:c r="L69" s="369" t="str">
        <x:v>DIRECT_CLAIM</x:v>
      </x:c>
      <x:c r="M69" s="369" t="str"/>
      <x:c r="N69" s="369" t="str">
        <x:v>B31-C084</x:v>
      </x:c>
      <x:c r="O69" s="369" t="str">
        <x:f>IF(AND(I69="STANDARD_AT_RELEASE",T69="NONE"),"TRUE","FALSE")</x:f>
        <x:v>FALSE</x:v>
      </x:c>
      <x:c r="P69" s="369" t="str">
        <x:f>IF(AND(J69="STANDARD_CURRENT",T69="NONE"),"TRUE","FALSE")</x:f>
        <x:v>FALSE</x:v>
      </x:c>
      <x:c r="Q69" s="369" t="str">
        <x:v>OTHER</x:v>
      </x:c>
      <x:c r="R69" s="369" t="str">
        <x:v>DC_SAFETY_blowout_stability_speed</x:v>
      </x:c>
      <x:c r="S69" s="369" t="str"/>
      <x:c r="T69" s="369" t="str">
        <x:v>NONE</x:v>
      </x:c>
      <x:c r="U69" s="369" t="str">
        <x:v>2026-08-04</x:v>
      </x:c>
    </x:row>
    <x:row r="70" ht="56" customHeight="1">
      <x:c r="A70" s="19" t="str">
        <x:v>B31-F065</x:v>
      </x:c>
      <x:c r="B70" s="19" t="str">
        <x:v>PC-N90-MAX-CAND</x:v>
      </x:c>
      <x:c r="C70" s="19" t="str">
        <x:v>integrated_door_ring</x:v>
      </x:c>
      <x:c r="D70" s="19" t="str">
        <x:v>BODY_SAFETY</x:v>
      </x:c>
      <x:c r="E70" s="19" t="str">
        <x:v>TEXT</x:v>
      </x:c>
      <x:c r="F70" s="152" t="str"/>
      <x:c r="G70" s="19" t="str">
        <x:v>13合1一体式热成型门环，覆盖ABCD柱</x:v>
      </x:c>
      <x:c r="H70" s="19" t="str"/>
      <x:c r="I70" s="19" t="str">
        <x:v>EQUIPPED_STANDARD_UNCONFIRMED</x:v>
      </x:c>
      <x:c r="J70" s="19" t="str">
        <x:v>NOT_EVIDENCED</x:v>
      </x:c>
      <x:c r="K70" s="19" t="str">
        <x:v>NOT_COMPARED</x:v>
      </x:c>
      <x:c r="L70" s="19" t="str">
        <x:v>DIRECT_CLAIM</x:v>
      </x:c>
      <x:c r="M70" s="19" t="str"/>
      <x:c r="N70" s="19" t="str">
        <x:v>B31-C085</x:v>
      </x:c>
      <x:c r="O70" s="19" t="str">
        <x:f>IF(AND(I70="STANDARD_AT_RELEASE",T70="NONE"),"TRUE","FALSE")</x:f>
        <x:v>FALSE</x:v>
      </x:c>
      <x:c r="P70" s="19" t="str">
        <x:f>IF(AND(J70="STANDARD_CURRENT",T70="NONE"),"TRUE","FALSE")</x:f>
        <x:v>FALSE</x:v>
      </x:c>
      <x:c r="Q70" s="19" t="str">
        <x:v>BODY_SPACE_SAFETY</x:v>
      </x:c>
      <x:c r="R70" s="19" t="str">
        <x:v>DC_BODY_SAFETY_integrated_door_ring</x:v>
      </x:c>
      <x:c r="S70" s="19" t="str"/>
      <x:c r="T70" s="19" t="str">
        <x:v>NONE</x:v>
      </x:c>
      <x:c r="U70" s="19" t="str">
        <x:v>2026-08-04</x:v>
      </x:c>
    </x:row>
    <x:row r="71" ht="56" customHeight="1">
      <x:c r="A71" s="369" t="str">
        <x:v>B31-F066</x:v>
      </x:c>
      <x:c r="B71" s="369" t="str">
        <x:v>PC-N90-MAX-CAND</x:v>
      </x:c>
      <x:c r="C71" s="369" t="str">
        <x:v>high_strength_material_ratio</x:v>
      </x:c>
      <x:c r="D71" s="369" t="str">
        <x:v>BODY_SAFETY</x:v>
      </x:c>
      <x:c r="E71" s="369" t="str">
        <x:v>NUMERIC</x:v>
      </x:c>
      <x:c r="F71" s="373" t="n">
        <x:v>90.4</x:v>
      </x:c>
      <x:c r="G71" s="369" t="str"/>
      <x:c r="H71" s="369" t="str">
        <x:v>%</x:v>
      </x:c>
      <x:c r="I71" s="369" t="str">
        <x:v>EQUIPPED_STANDARD_UNCONFIRMED</x:v>
      </x:c>
      <x:c r="J71" s="369" t="str">
        <x:v>NOT_EVIDENCED</x:v>
      </x:c>
      <x:c r="K71" s="369" t="str">
        <x:v>NOT_COMPARED</x:v>
      </x:c>
      <x:c r="L71" s="369" t="str">
        <x:v>DIRECT_CLAIM</x:v>
      </x:c>
      <x:c r="M71" s="369" t="str"/>
      <x:c r="N71" s="369" t="str">
        <x:v>B31-C086</x:v>
      </x:c>
      <x:c r="O71" s="369" t="str">
        <x:f>IF(AND(I71="STANDARD_AT_RELEASE",T71="NONE"),"TRUE","FALSE")</x:f>
        <x:v>FALSE</x:v>
      </x:c>
      <x:c r="P71" s="369" t="str">
        <x:f>IF(AND(J71="STANDARD_CURRENT",T71="NONE"),"TRUE","FALSE")</x:f>
        <x:v>FALSE</x:v>
      </x:c>
      <x:c r="Q71" s="369" t="str">
        <x:v>BODY_SPACE_SAFETY</x:v>
      </x:c>
      <x:c r="R71" s="369" t="str">
        <x:v>DC_BODY_SAFETY_high_strength_material_ratio</x:v>
      </x:c>
      <x:c r="S71" s="369" t="str"/>
      <x:c r="T71" s="369" t="str">
        <x:v>NONE</x:v>
      </x:c>
      <x:c r="U71" s="369" t="str">
        <x:v>2026-08-04</x:v>
      </x:c>
    </x:row>
    <x:row r="72" ht="56" customHeight="1">
      <x:c r="A72" s="19" t="str">
        <x:v>B31-F067</x:v>
      </x:c>
      <x:c r="B72" s="19" t="str">
        <x:v>PC-N90-MAX-CAND</x:v>
      </x:c>
      <x:c r="C72" s="19" t="str">
        <x:v>steel_2200mpa_locations</x:v>
      </x:c>
      <x:c r="D72" s="19" t="str">
        <x:v>BODY_SAFETY</x:v>
      </x:c>
      <x:c r="E72" s="19" t="str">
        <x:v>NUMERIC</x:v>
      </x:c>
      <x:c r="F72" s="152" t="n">
        <x:v>16</x:v>
      </x:c>
      <x:c r="G72" s="19" t="str"/>
      <x:c r="H72" s="19" t="str">
        <x:v>count</x:v>
      </x:c>
      <x:c r="I72" s="19" t="str">
        <x:v>EQUIPPED_STANDARD_UNCONFIRMED</x:v>
      </x:c>
      <x:c r="J72" s="19" t="str">
        <x:v>NOT_EVIDENCED</x:v>
      </x:c>
      <x:c r="K72" s="19" t="str">
        <x:v>NOT_COMPARED</x:v>
      </x:c>
      <x:c r="L72" s="19" t="str">
        <x:v>DIRECT_CLAIM</x:v>
      </x:c>
      <x:c r="M72" s="19" t="str"/>
      <x:c r="N72" s="19" t="str">
        <x:v>B31-C087</x:v>
      </x:c>
      <x:c r="O72" s="19" t="str">
        <x:f>IF(AND(I72="STANDARD_AT_RELEASE",T72="NONE"),"TRUE","FALSE")</x:f>
        <x:v>FALSE</x:v>
      </x:c>
      <x:c r="P72" s="19" t="str">
        <x:f>IF(AND(J72="STANDARD_CURRENT",T72="NONE"),"TRUE","FALSE")</x:f>
        <x:v>FALSE</x:v>
      </x:c>
      <x:c r="Q72" s="19" t="str">
        <x:v>BODY_SPACE_SAFETY</x:v>
      </x:c>
      <x:c r="R72" s="19" t="str">
        <x:v>DC_BODY_SAFETY_steel_2200mpa_locations</x:v>
      </x:c>
      <x:c r="S72" s="19" t="str"/>
      <x:c r="T72" s="19" t="str">
        <x:v>NONE</x:v>
      </x:c>
      <x:c r="U72" s="19" t="str">
        <x:v>2026-08-04</x:v>
      </x:c>
    </x:row>
    <x:row r="73" ht="56" customHeight="1">
      <x:c r="A73" s="369" t="str">
        <x:v>B31-F068</x:v>
      </x:c>
      <x:c r="B73" s="369" t="str">
        <x:v>PC-N90-MAX-CAND</x:v>
      </x:c>
      <x:c r="C73" s="369" t="str">
        <x:v>roof_crush_load</x:v>
      </x:c>
      <x:c r="D73" s="369" t="str">
        <x:v>BODY_SAFETY</x:v>
      </x:c>
      <x:c r="E73" s="369" t="str">
        <x:v>NUMERIC</x:v>
      </x:c>
      <x:c r="F73" s="373" t="n">
        <x:v>136.6</x:v>
      </x:c>
      <x:c r="G73" s="369" t="str"/>
      <x:c r="H73" s="369" t="str">
        <x:v>kN</x:v>
      </x:c>
      <x:c r="I73" s="369" t="str">
        <x:v>EQUIPPED_STANDARD_UNCONFIRMED</x:v>
      </x:c>
      <x:c r="J73" s="369" t="str">
        <x:v>NOT_EVIDENCED</x:v>
      </x:c>
      <x:c r="K73" s="369" t="str">
        <x:v>NOT_COMPARED</x:v>
      </x:c>
      <x:c r="L73" s="369" t="str">
        <x:v>DIRECT_CLAIM</x:v>
      </x:c>
      <x:c r="M73" s="369" t="str"/>
      <x:c r="N73" s="369" t="str">
        <x:v>B31-C088</x:v>
      </x:c>
      <x:c r="O73" s="369" t="str">
        <x:f>IF(AND(I73="STANDARD_AT_RELEASE",T73="NONE"),"TRUE","FALSE")</x:f>
        <x:v>FALSE</x:v>
      </x:c>
      <x:c r="P73" s="369" t="str">
        <x:f>IF(AND(J73="STANDARD_CURRENT",T73="NONE"),"TRUE","FALSE")</x:f>
        <x:v>FALSE</x:v>
      </x:c>
      <x:c r="Q73" s="369" t="str">
        <x:v>BODY_SPACE_SAFETY</x:v>
      </x:c>
      <x:c r="R73" s="369" t="str">
        <x:v>DC_BODY_SAFETY_roof_crush_load</x:v>
      </x:c>
      <x:c r="S73" s="369" t="str"/>
      <x:c r="T73" s="369" t="str">
        <x:v>NONE</x:v>
      </x:c>
      <x:c r="U73" s="369" t="str">
        <x:v>2026-08-04</x:v>
      </x:c>
    </x:row>
    <x:row r="74" ht="56" customHeight="1">
      <x:c r="A74" s="19" t="str">
        <x:v>B31-F069</x:v>
      </x:c>
      <x:c r="B74" s="19" t="str">
        <x:v>PC-N90-MAX-CAND</x:v>
      </x:c>
      <x:c r="C74" s="19" t="str">
        <x:v>airbag_count</x:v>
      </x:c>
      <x:c r="D74" s="19" t="str">
        <x:v>SAFETY</x:v>
      </x:c>
      <x:c r="E74" s="19" t="str">
        <x:v>NUMERIC</x:v>
      </x:c>
      <x:c r="F74" s="152" t="n">
        <x:v>12</x:v>
      </x:c>
      <x:c r="G74" s="19" t="str"/>
      <x:c r="H74" s="19" t="str">
        <x:v>count</x:v>
      </x:c>
      <x:c r="I74" s="19" t="str">
        <x:v>EQUIPPED_STANDARD_UNCONFIRMED</x:v>
      </x:c>
      <x:c r="J74" s="19" t="str">
        <x:v>NOT_EVIDENCED</x:v>
      </x:c>
      <x:c r="K74" s="19" t="str">
        <x:v>NOT_COMPARED</x:v>
      </x:c>
      <x:c r="L74" s="19" t="str">
        <x:v>DIRECT_CLAIM</x:v>
      </x:c>
      <x:c r="M74" s="19" t="str"/>
      <x:c r="N74" s="19" t="str">
        <x:v>B31-C089</x:v>
      </x:c>
      <x:c r="O74" s="19" t="str">
        <x:f>IF(AND(I74="STANDARD_AT_RELEASE",T74="NONE"),"TRUE","FALSE")</x:f>
        <x:v>FALSE</x:v>
      </x:c>
      <x:c r="P74" s="19" t="str">
        <x:f>IF(AND(J74="STANDARD_CURRENT",T74="NONE"),"TRUE","FALSE")</x:f>
        <x:v>FALSE</x:v>
      </x:c>
      <x:c r="Q74" s="19" t="str">
        <x:v>OTHER</x:v>
      </x:c>
      <x:c r="R74" s="19" t="str">
        <x:v>DC_SAFETY_airbag_count</x:v>
      </x:c>
      <x:c r="S74" s="19" t="str"/>
      <x:c r="T74" s="19" t="str">
        <x:v>NONE</x:v>
      </x:c>
      <x:c r="U74" s="19" t="str">
        <x:v>2026-08-04</x:v>
      </x:c>
    </x:row>
    <x:row r="75" ht="56" customHeight="1">
      <x:c r="A75" s="369" t="str">
        <x:v>B31-F070</x:v>
      </x:c>
      <x:c r="B75" s="369" t="str">
        <x:v>PC-N90-MAX-CAND</x:v>
      </x:c>
      <x:c r="C75" s="369" t="str">
        <x:v>collision_sensor_count</x:v>
      </x:c>
      <x:c r="D75" s="369" t="str">
        <x:v>SAFETY</x:v>
      </x:c>
      <x:c r="E75" s="369" t="str">
        <x:v>NUMERIC</x:v>
      </x:c>
      <x:c r="F75" s="373" t="n">
        <x:v>9</x:v>
      </x:c>
      <x:c r="G75" s="369" t="str"/>
      <x:c r="H75" s="369" t="str">
        <x:v>count</x:v>
      </x:c>
      <x:c r="I75" s="369" t="str">
        <x:v>EQUIPPED_STANDARD_UNCONFIRMED</x:v>
      </x:c>
      <x:c r="J75" s="369" t="str">
        <x:v>NOT_EVIDENCED</x:v>
      </x:c>
      <x:c r="K75" s="369" t="str">
        <x:v>NOT_COMPARED</x:v>
      </x:c>
      <x:c r="L75" s="369" t="str">
        <x:v>DIRECT_CLAIM</x:v>
      </x:c>
      <x:c r="M75" s="369" t="str"/>
      <x:c r="N75" s="369" t="str">
        <x:v>B31-C090</x:v>
      </x:c>
      <x:c r="O75" s="369" t="str">
        <x:f>IF(AND(I75="STANDARD_AT_RELEASE",T75="NONE"),"TRUE","FALSE")</x:f>
        <x:v>FALSE</x:v>
      </x:c>
      <x:c r="P75" s="369" t="str">
        <x:f>IF(AND(J75="STANDARD_CURRENT",T75="NONE"),"TRUE","FALSE")</x:f>
        <x:v>FALSE</x:v>
      </x:c>
      <x:c r="Q75" s="369" t="str">
        <x:v>OTHER</x:v>
      </x:c>
      <x:c r="R75" s="369" t="str">
        <x:v>DC_SAFETY_collision_sensor_count</x:v>
      </x:c>
      <x:c r="S75" s="369" t="str"/>
      <x:c r="T75" s="369" t="str">
        <x:v>NONE</x:v>
      </x:c>
      <x:c r="U75" s="369" t="str">
        <x:v>2026-08-04</x:v>
      </x:c>
    </x:row>
    <x:row r="76" ht="56" customHeight="1">
      <x:c r="A76" s="19" t="str">
        <x:v>B31-F071</x:v>
      </x:c>
      <x:c r="B76" s="19" t="str">
        <x:v>PC-N90-MAX-CAND</x:v>
      </x:c>
      <x:c r="C76" s="19" t="str">
        <x:v>curtain_airbag_length</x:v>
      </x:c>
      <x:c r="D76" s="19" t="str">
        <x:v>SAFETY</x:v>
      </x:c>
      <x:c r="E76" s="19" t="str">
        <x:v>NUMERIC</x:v>
      </x:c>
      <x:c r="F76" s="152" t="n">
        <x:v>3030</x:v>
      </x:c>
      <x:c r="G76" s="19" t="str"/>
      <x:c r="H76" s="19" t="str">
        <x:v>mm</x:v>
      </x:c>
      <x:c r="I76" s="19" t="str">
        <x:v>EQUIPPED_STANDARD_UNCONFIRMED</x:v>
      </x:c>
      <x:c r="J76" s="19" t="str">
        <x:v>NOT_EVIDENCED</x:v>
      </x:c>
      <x:c r="K76" s="19" t="str">
        <x:v>NOT_COMPARED</x:v>
      </x:c>
      <x:c r="L76" s="19" t="str">
        <x:v>DIRECT_CLAIM</x:v>
      </x:c>
      <x:c r="M76" s="19" t="str"/>
      <x:c r="N76" s="19" t="str">
        <x:v>B31-C091</x:v>
      </x:c>
      <x:c r="O76" s="19" t="str">
        <x:f>IF(AND(I76="STANDARD_AT_RELEASE",T76="NONE"),"TRUE","FALSE")</x:f>
        <x:v>FALSE</x:v>
      </x:c>
      <x:c r="P76" s="19" t="str">
        <x:f>IF(AND(J76="STANDARD_CURRENT",T76="NONE"),"TRUE","FALSE")</x:f>
        <x:v>FALSE</x:v>
      </x:c>
      <x:c r="Q76" s="19" t="str">
        <x:v>OTHER</x:v>
      </x:c>
      <x:c r="R76" s="19" t="str">
        <x:v>DC_SAFETY_curtain_airbag_length</x:v>
      </x:c>
      <x:c r="S76" s="19" t="str"/>
      <x:c r="T76" s="19" t="str">
        <x:v>NONE</x:v>
      </x:c>
      <x:c r="U76" s="19" t="str">
        <x:v>2026-08-04</x:v>
      </x:c>
    </x:row>
    <x:row r="77" ht="56" customHeight="1">
      <x:c r="A77" s="369" t="str">
        <x:v>B31-F072</x:v>
      </x:c>
      <x:c r="B77" s="369" t="str">
        <x:v>PC-N90-MAX-CAND</x:v>
      </x:c>
      <x:c r="C77" s="369" t="str">
        <x:v>max_wading_depth</x:v>
      </x:c>
      <x:c r="D77" s="369" t="str">
        <x:v>SAFETY</x:v>
      </x:c>
      <x:c r="E77" s="369" t="str">
        <x:v>NUMERIC</x:v>
      </x:c>
      <x:c r="F77" s="373" t="n">
        <x:v>750</x:v>
      </x:c>
      <x:c r="G77" s="369" t="str"/>
      <x:c r="H77" s="369" t="str">
        <x:v>mm</x:v>
      </x:c>
      <x:c r="I77" s="369" t="str">
        <x:v>EQUIPPED_STANDARD_UNCONFIRMED</x:v>
      </x:c>
      <x:c r="J77" s="369" t="str">
        <x:v>NOT_EVIDENCED</x:v>
      </x:c>
      <x:c r="K77" s="369" t="str">
        <x:v>NOT_COMPARED</x:v>
      </x:c>
      <x:c r="L77" s="369" t="str">
        <x:v>DIRECT_CLAIM</x:v>
      </x:c>
      <x:c r="M77" s="369" t="str"/>
      <x:c r="N77" s="369" t="str">
        <x:v>B31-C092</x:v>
      </x:c>
      <x:c r="O77" s="369" t="str">
        <x:f>IF(AND(I77="STANDARD_AT_RELEASE",T77="NONE"),"TRUE","FALSE")</x:f>
        <x:v>FALSE</x:v>
      </x:c>
      <x:c r="P77" s="369" t="str">
        <x:f>IF(AND(J77="STANDARD_CURRENT",T77="NONE"),"TRUE","FALSE")</x:f>
        <x:v>FALSE</x:v>
      </x:c>
      <x:c r="Q77" s="369" t="str">
        <x:v>OTHER</x:v>
      </x:c>
      <x:c r="R77" s="369" t="str">
        <x:v>DC_SAFETY_max_wading_depth</x:v>
      </x:c>
      <x:c r="S77" s="369" t="str"/>
      <x:c r="T77" s="369" t="str">
        <x:v>NONE</x:v>
      </x:c>
      <x:c r="U77" s="369" t="str">
        <x:v>2026-08-04</x:v>
      </x:c>
    </x:row>
    <x:row r="78" ht="56" customHeight="1">
      <x:c r="A78" s="19" t="str">
        <x:v>B31-F073</x:v>
      </x:c>
      <x:c r="B78" s="19" t="str">
        <x:v>PC-N90-MAX-CAND</x:v>
      </x:c>
      <x:c r="C78" s="19" t="str">
        <x:v>wading_radar_count</x:v>
      </x:c>
      <x:c r="D78" s="19" t="str">
        <x:v>SAFETY</x:v>
      </x:c>
      <x:c r="E78" s="19" t="str">
        <x:v>NUMERIC</x:v>
      </x:c>
      <x:c r="F78" s="152" t="n">
        <x:v>2</x:v>
      </x:c>
      <x:c r="G78" s="19" t="str"/>
      <x:c r="H78" s="19" t="str">
        <x:v>count</x:v>
      </x:c>
      <x:c r="I78" s="19" t="str">
        <x:v>EQUIPPED_STANDARD_UNCONFIRMED</x:v>
      </x:c>
      <x:c r="J78" s="19" t="str">
        <x:v>NOT_EVIDENCED</x:v>
      </x:c>
      <x:c r="K78" s="19" t="str">
        <x:v>NOT_COMPARED</x:v>
      </x:c>
      <x:c r="L78" s="19" t="str">
        <x:v>DIRECT_CLAIM</x:v>
      </x:c>
      <x:c r="M78" s="19" t="str"/>
      <x:c r="N78" s="19" t="str">
        <x:v>B31-C093</x:v>
      </x:c>
      <x:c r="O78" s="19" t="str">
        <x:f>IF(AND(I78="STANDARD_AT_RELEASE",T78="NONE"),"TRUE","FALSE")</x:f>
        <x:v>FALSE</x:v>
      </x:c>
      <x:c r="P78" s="19" t="str">
        <x:f>IF(AND(J78="STANDARD_CURRENT",T78="NONE"),"TRUE","FALSE")</x:f>
        <x:v>FALSE</x:v>
      </x:c>
      <x:c r="Q78" s="19" t="str">
        <x:v>OTHER</x:v>
      </x:c>
      <x:c r="R78" s="19" t="str">
        <x:v>DC_SAFETY_wading_radar_count</x:v>
      </x:c>
      <x:c r="S78" s="19" t="str"/>
      <x:c r="T78" s="19" t="str">
        <x:v>NONE</x:v>
      </x:c>
      <x:c r="U78" s="19" t="str">
        <x:v>2026-08-04</x:v>
      </x:c>
    </x:row>
    <x:row r="79" ht="56" customHeight="1">
      <x:c r="A79" s="369" t="str">
        <x:v>B31-F074</x:v>
      </x:c>
      <x:c r="B79" s="369" t="str">
        <x:v>PC-N90-MAX-CAND</x:v>
      </x:c>
      <x:c r="C79" s="369" t="str">
        <x:v>battery_safety_layers</x:v>
      </x:c>
      <x:c r="D79" s="369" t="str">
        <x:v>SAFETY</x:v>
      </x:c>
      <x:c r="E79" s="369" t="str">
        <x:v>NUMERIC</x:v>
      </x:c>
      <x:c r="F79" s="373" t="n">
        <x:v>18</x:v>
      </x:c>
      <x:c r="G79" s="369" t="str"/>
      <x:c r="H79" s="369" t="str">
        <x:v>count</x:v>
      </x:c>
      <x:c r="I79" s="369" t="str">
        <x:v>EQUIPPED_STANDARD_UNCONFIRMED</x:v>
      </x:c>
      <x:c r="J79" s="369" t="str">
        <x:v>NOT_EVIDENCED</x:v>
      </x:c>
      <x:c r="K79" s="369" t="str">
        <x:v>NOT_COMPARED</x:v>
      </x:c>
      <x:c r="L79" s="369" t="str">
        <x:v>DIRECT_CLAIM</x:v>
      </x:c>
      <x:c r="M79" s="369" t="str"/>
      <x:c r="N79" s="369" t="str">
        <x:v>B31-C094</x:v>
      </x:c>
      <x:c r="O79" s="369" t="str">
        <x:f>IF(AND(I79="STANDARD_AT_RELEASE",T79="NONE"),"TRUE","FALSE")</x:f>
        <x:v>FALSE</x:v>
      </x:c>
      <x:c r="P79" s="369" t="str">
        <x:f>IF(AND(J79="STANDARD_CURRENT",T79="NONE"),"TRUE","FALSE")</x:f>
        <x:v>FALSE</x:v>
      </x:c>
      <x:c r="Q79" s="369" t="str">
        <x:v>OTHER</x:v>
      </x:c>
      <x:c r="R79" s="369" t="str">
        <x:v>DC_SAFETY_battery_safety_layers</x:v>
      </x:c>
      <x:c r="S79" s="369" t="str"/>
      <x:c r="T79" s="369" t="str">
        <x:v>NONE</x:v>
      </x:c>
      <x:c r="U79" s="369" t="str">
        <x:v>2026-08-04</x:v>
      </x:c>
    </x:row>
    <x:row r="80" ht="56" customHeight="1">
      <x:c r="A80" s="19" t="str">
        <x:v>B31-F075</x:v>
      </x:c>
      <x:c r="B80" s="19" t="str">
        <x:v>PC-N90-MAX-CAND</x:v>
      </x:c>
      <x:c r="C80" s="19" t="str">
        <x:v>battery_bottom_impact</x:v>
      </x:c>
      <x:c r="D80" s="19" t="str">
        <x:v>SAFETY</x:v>
      </x:c>
      <x:c r="E80" s="19" t="str">
        <x:v>NUMERIC</x:v>
      </x:c>
      <x:c r="F80" s="152" t="n">
        <x:v>500</x:v>
      </x:c>
      <x:c r="G80" s="19" t="str"/>
      <x:c r="H80" s="19" t="str">
        <x:v>J</x:v>
      </x:c>
      <x:c r="I80" s="19" t="str">
        <x:v>EQUIPPED_STANDARD_UNCONFIRMED</x:v>
      </x:c>
      <x:c r="J80" s="19" t="str">
        <x:v>NOT_EVIDENCED</x:v>
      </x:c>
      <x:c r="K80" s="19" t="str">
        <x:v>NOT_COMPARED</x:v>
      </x:c>
      <x:c r="L80" s="19" t="str">
        <x:v>DIRECT_CLAIM</x:v>
      </x:c>
      <x:c r="M80" s="19" t="str"/>
      <x:c r="N80" s="19" t="str">
        <x:v>B31-C095</x:v>
      </x:c>
      <x:c r="O80" s="19" t="str">
        <x:f>IF(AND(I80="STANDARD_AT_RELEASE",T80="NONE"),"TRUE","FALSE")</x:f>
        <x:v>FALSE</x:v>
      </x:c>
      <x:c r="P80" s="19" t="str">
        <x:f>IF(AND(J80="STANDARD_CURRENT",T80="NONE"),"TRUE","FALSE")</x:f>
        <x:v>FALSE</x:v>
      </x:c>
      <x:c r="Q80" s="19" t="str">
        <x:v>OTHER</x:v>
      </x:c>
      <x:c r="R80" s="19" t="str">
        <x:v>DC_SAFETY_battery_bottom_impact</x:v>
      </x:c>
      <x:c r="S80" s="19" t="str"/>
      <x:c r="T80" s="19" t="str">
        <x:v>NONE</x:v>
      </x:c>
      <x:c r="U80" s="19" t="str">
        <x:v>2026-08-04</x:v>
      </x:c>
    </x:row>
    <x:row r="81" ht="56" customHeight="1">
      <x:c r="A81" s="369" t="str">
        <x:v>B31-F076</x:v>
      </x:c>
      <x:c r="B81" s="369" t="str">
        <x:v>PC-N90-MAX-CAND</x:v>
      </x:c>
      <x:c r="C81" s="369" t="str">
        <x:v>battery_thermal_propagation</x:v>
      </x:c>
      <x:c r="D81" s="369" t="str">
        <x:v>SAFETY</x:v>
      </x:c>
      <x:c r="E81" s="369" t="str">
        <x:v>TEXT</x:v>
      </x:c>
      <x:c r="F81" s="373" t="str"/>
      <x:c r="G81" s="369" t="str">
        <x:v>55℃高温满电热失控无热蔓延</x:v>
      </x:c>
      <x:c r="H81" s="369" t="str"/>
      <x:c r="I81" s="369" t="str">
        <x:v>EQUIPPED_STANDARD_UNCONFIRMED</x:v>
      </x:c>
      <x:c r="J81" s="369" t="str">
        <x:v>NOT_EVIDENCED</x:v>
      </x:c>
      <x:c r="K81" s="369" t="str">
        <x:v>NOT_COMPARED</x:v>
      </x:c>
      <x:c r="L81" s="369" t="str">
        <x:v>DIRECT_CLAIM</x:v>
      </x:c>
      <x:c r="M81" s="369" t="str"/>
      <x:c r="N81" s="369" t="str">
        <x:v>B31-C096</x:v>
      </x:c>
      <x:c r="O81" s="369" t="str">
        <x:f>IF(AND(I81="STANDARD_AT_RELEASE",T81="NONE"),"TRUE","FALSE")</x:f>
        <x:v>FALSE</x:v>
      </x:c>
      <x:c r="P81" s="369" t="str">
        <x:f>IF(AND(J81="STANDARD_CURRENT",T81="NONE"),"TRUE","FALSE")</x:f>
        <x:v>FALSE</x:v>
      </x:c>
      <x:c r="Q81" s="369" t="str">
        <x:v>OTHER</x:v>
      </x:c>
      <x:c r="R81" s="369" t="str">
        <x:v>DC_SAFETY_battery_thermal_propagation</x:v>
      </x:c>
      <x:c r="S81" s="369" t="str"/>
      <x:c r="T81" s="369" t="str">
        <x:v>NONE</x:v>
      </x:c>
      <x:c r="U81" s="369" t="str">
        <x:v>2026-08-04</x:v>
      </x:c>
    </x:row>
    <x:row r="82" ht="56" customHeight="1">
      <x:c r="A82" s="19" t="str">
        <x:v>B31-F077</x:v>
      </x:c>
      <x:c r="B82" s="19" t="str">
        <x:v>PC-N90-MAX-CAND</x:v>
      </x:c>
      <x:c r="C82" s="19" t="str">
        <x:v>safety_assist_count</x:v>
      </x:c>
      <x:c r="D82" s="19" t="str">
        <x:v>ADAS</x:v>
      </x:c>
      <x:c r="E82" s="19" t="str">
        <x:v>NUMERIC</x:v>
      </x:c>
      <x:c r="F82" s="152" t="n">
        <x:v>26</x:v>
      </x:c>
      <x:c r="G82" s="19" t="str"/>
      <x:c r="H82" s="19" t="str">
        <x:v>count</x:v>
      </x:c>
      <x:c r="I82" s="19" t="str">
        <x:v>STANDARD_AT_RELEASE</x:v>
      </x:c>
      <x:c r="J82" s="19" t="str">
        <x:v>NOT_EVIDENCED</x:v>
      </x:c>
      <x:c r="K82" s="19" t="str">
        <x:v>NOT_COMPARED</x:v>
      </x:c>
      <x:c r="L82" s="19" t="str">
        <x:v>DIRECT_CLAIM</x:v>
      </x:c>
      <x:c r="M82" s="19" t="str"/>
      <x:c r="N82" s="19" t="str">
        <x:v>B31-C097</x:v>
      </x:c>
      <x:c r="O82" s="19" t="str">
        <x:f>IF(AND(I82="STANDARD_AT_RELEASE",T82="NONE"),"TRUE","FALSE")</x:f>
        <x:v>TRUE</x:v>
      </x:c>
      <x:c r="P82" s="19" t="str">
        <x:f>IF(AND(J82="STANDARD_CURRENT",T82="NONE"),"TRUE","FALSE")</x:f>
        <x:v>FALSE</x:v>
      </x:c>
      <x:c r="Q82" s="19" t="str">
        <x:v>INTELLIGENCE_EE</x:v>
      </x:c>
      <x:c r="R82" s="19" t="str">
        <x:v>DC_ADAS_STACK</x:v>
      </x:c>
      <x:c r="S82" s="19" t="str"/>
      <x:c r="T82" s="19" t="str">
        <x:v>NONE</x:v>
      </x:c>
      <x:c r="U82" s="19" t="str">
        <x:v>2026-08-04</x:v>
      </x:c>
    </x:row>
    <x:row r="83" ht="56" customHeight="1">
      <x:c r="A83" s="369" t="str">
        <x:v>B31-F078</x:v>
      </x:c>
      <x:c r="B83" s="369" t="str">
        <x:v>PC-N90-MAX-CAND</x:v>
      </x:c>
      <x:c r="C83" s="369" t="str">
        <x:v>domain_controller_4in1</x:v>
      </x:c>
      <x:c r="D83" s="369" t="str">
        <x:v>ELECTRONICS</x:v>
      </x:c>
      <x:c r="E83" s="369" t="str">
        <x:v>TEXT</x:v>
      </x:c>
      <x:c r="F83" s="373" t="str"/>
      <x:c r="G83" s="369" t="str">
        <x:v>辅助驾驶/座舱/通讯/整车四合一域控</x:v>
      </x:c>
      <x:c r="H83" s="369" t="str"/>
      <x:c r="I83" s="369" t="str">
        <x:v>STANDARD_AT_RELEASE</x:v>
      </x:c>
      <x:c r="J83" s="369" t="str">
        <x:v>NOT_EVIDENCED</x:v>
      </x:c>
      <x:c r="K83" s="369" t="str">
        <x:v>NOT_COMPARED</x:v>
      </x:c>
      <x:c r="L83" s="369" t="str">
        <x:v>DIRECT_CLAIM</x:v>
      </x:c>
      <x:c r="M83" s="369" t="str"/>
      <x:c r="N83" s="369" t="str">
        <x:v>B31-C098</x:v>
      </x:c>
      <x:c r="O83" s="369" t="str">
        <x:f>IF(AND(I83="STANDARD_AT_RELEASE",T83="NONE"),"TRUE","FALSE")</x:f>
        <x:v>TRUE</x:v>
      </x:c>
      <x:c r="P83" s="369" t="str">
        <x:f>IF(AND(J83="STANDARD_CURRENT",T83="NONE"),"TRUE","FALSE")</x:f>
        <x:v>FALSE</x:v>
      </x:c>
      <x:c r="Q83" s="369" t="str">
        <x:v>INTELLIGENCE_EE</x:v>
      </x:c>
      <x:c r="R83" s="369" t="str">
        <x:v>DC_EE_CABIN</x:v>
      </x:c>
      <x:c r="S83" s="369" t="str"/>
      <x:c r="T83" s="369" t="str">
        <x:v>NONE</x:v>
      </x:c>
      <x:c r="U83" s="369" t="str">
        <x:v>2026-08-04</x:v>
      </x:c>
    </x:row>
    <x:row r="84" ht="56" customHeight="1">
      <x:c r="A84" s="19" t="str">
        <x:v>B31-F079</x:v>
      </x:c>
      <x:c r="B84" s="19" t="str">
        <x:v>PC-N90-MAX-CAND</x:v>
      </x:c>
      <x:c r="C84" s="19" t="str">
        <x:v>connectivity</x:v>
      </x:c>
      <x:c r="D84" s="19" t="str">
        <x:v>ELECTRONICS</x:v>
      </x:c>
      <x:c r="E84" s="19" t="str">
        <x:v>TEXT</x:v>
      </x:c>
      <x:c r="F84" s="152" t="str"/>
      <x:c r="G84" s="19" t="str">
        <x:v>双5G、三蓝牙、双Wi-Fi、Wi-Fi7</x:v>
      </x:c>
      <x:c r="H84" s="19" t="str"/>
      <x:c r="I84" s="19" t="str">
        <x:v>STANDARD_AT_RELEASE</x:v>
      </x:c>
      <x:c r="J84" s="19" t="str">
        <x:v>NOT_EVIDENCED</x:v>
      </x:c>
      <x:c r="K84" s="19" t="str">
        <x:v>NOT_COMPARED</x:v>
      </x:c>
      <x:c r="L84" s="19" t="str">
        <x:v>DIRECT_CLAIM</x:v>
      </x:c>
      <x:c r="M84" s="19" t="str"/>
      <x:c r="N84" s="19" t="str">
        <x:v>B31-C099</x:v>
      </x:c>
      <x:c r="O84" s="19" t="str">
        <x:f>IF(AND(I84="STANDARD_AT_RELEASE",T84="NONE"),"TRUE","FALSE")</x:f>
        <x:v>TRUE</x:v>
      </x:c>
      <x:c r="P84" s="19" t="str">
        <x:f>IF(AND(J84="STANDARD_CURRENT",T84="NONE"),"TRUE","FALSE")</x:f>
        <x:v>FALSE</x:v>
      </x:c>
      <x:c r="Q84" s="19" t="str">
        <x:v>INTELLIGENCE_EE</x:v>
      </x:c>
      <x:c r="R84" s="19" t="str">
        <x:v>DC_EE_CABIN</x:v>
      </x:c>
      <x:c r="S84" s="19" t="str"/>
      <x:c r="T84" s="19" t="str">
        <x:v>NONE</x:v>
      </x:c>
      <x:c r="U84" s="19" t="str">
        <x:v>2026-08-04</x:v>
      </x:c>
    </x:row>
    <x:row r="85" ht="56" customHeight="1">
      <x:c r="A85" s="369" t="str">
        <x:v>B31-F080</x:v>
      </x:c>
      <x:c r="B85" s="369" t="str">
        <x:v>PC-N90-MAX-CAND</x:v>
      </x:c>
      <x:c r="C85" s="369" t="str">
        <x:v>flyback_low_voltage</x:v>
      </x:c>
      <x:c r="D85" s="369" t="str">
        <x:v>ELECTRONICS</x:v>
      </x:c>
      <x:c r="E85" s="369" t="str">
        <x:v>TEXT</x:v>
      </x:c>
      <x:c r="F85" s="373" t="str"/>
      <x:c r="G85" s="369" t="str">
        <x:v>Flyback车载低压供电系统</x:v>
      </x:c>
      <x:c r="H85" s="369" t="str"/>
      <x:c r="I85" s="369" t="str">
        <x:v>STANDARD_AT_RELEASE</x:v>
      </x:c>
      <x:c r="J85" s="369" t="str">
        <x:v>NOT_EVIDENCED</x:v>
      </x:c>
      <x:c r="K85" s="369" t="str">
        <x:v>NOT_COMPARED</x:v>
      </x:c>
      <x:c r="L85" s="369" t="str">
        <x:v>DIRECT_CLAIM</x:v>
      </x:c>
      <x:c r="M85" s="369" t="str"/>
      <x:c r="N85" s="369" t="str">
        <x:v>B31-C100</x:v>
      </x:c>
      <x:c r="O85" s="369" t="str">
        <x:f>IF(AND(I85="STANDARD_AT_RELEASE",T85="NONE"),"TRUE","FALSE")</x:f>
        <x:v>TRUE</x:v>
      </x:c>
      <x:c r="P85" s="369" t="str">
        <x:f>IF(AND(J85="STANDARD_CURRENT",T85="NONE"),"TRUE","FALSE")</x:f>
        <x:v>FALSE</x:v>
      </x:c>
      <x:c r="Q85" s="369" t="str">
        <x:v>INTELLIGENCE_EE</x:v>
      </x:c>
      <x:c r="R85" s="369" t="str">
        <x:v>DC_ELECTRONICS_flyback_low_voltage</x:v>
      </x:c>
      <x:c r="S85" s="369" t="str"/>
      <x:c r="T85" s="369" t="str">
        <x:v>NONE</x:v>
      </x:c>
      <x:c r="U85" s="369" t="str">
        <x:v>2026-08-04</x:v>
      </x:c>
    </x:row>
    <x:row r="86" ht="56" customHeight="1">
      <x:c r="A86" s="19" t="str">
        <x:v>B31-F081</x:v>
      </x:c>
      <x:c r="B86" s="19" t="str">
        <x:v>PC-N90-MAX-CAND</x:v>
      </x:c>
      <x:c r="C86" s="19" t="str">
        <x:v>hyperos_cabin</x:v>
      </x:c>
      <x:c r="D86" s="19" t="str">
        <x:v>CABIN</x:v>
      </x:c>
      <x:c r="E86" s="19" t="str">
        <x:v>TEXT</x:v>
      </x:c>
      <x:c r="F86" s="152" t="str"/>
      <x:c r="G86" s="19" t="str">
        <x:v>小米澎湃智能座舱/前后排六屏联动</x:v>
      </x:c>
      <x:c r="H86" s="19" t="str"/>
      <x:c r="I86" s="19" t="str">
        <x:v>EQUIPPED_STANDARD_UNCONFIRMED</x:v>
      </x:c>
      <x:c r="J86" s="19" t="str">
        <x:v>NOT_EVIDENCED</x:v>
      </x:c>
      <x:c r="K86" s="19" t="str">
        <x:v>NOT_COMPARED</x:v>
      </x:c>
      <x:c r="L86" s="19" t="str">
        <x:v>DIRECT_CLAIM</x:v>
      </x:c>
      <x:c r="M86" s="19" t="str"/>
      <x:c r="N86" s="19" t="str">
        <x:v>B31-C101</x:v>
      </x:c>
      <x:c r="O86" s="19" t="str">
        <x:f>IF(AND(I86="STANDARD_AT_RELEASE",T86="NONE"),"TRUE","FALSE")</x:f>
        <x:v>FALSE</x:v>
      </x:c>
      <x:c r="P86" s="19" t="str">
        <x:f>IF(AND(J86="STANDARD_CURRENT",T86="NONE"),"TRUE","FALSE")</x:f>
        <x:v>FALSE</x:v>
      </x:c>
      <x:c r="Q86" s="19" t="str">
        <x:v>CABIN_COMFORT</x:v>
      </x:c>
      <x:c r="R86" s="19" t="str">
        <x:v>DC_EE_CABIN</x:v>
      </x:c>
      <x:c r="S86" s="19" t="str"/>
      <x:c r="T86" s="19" t="str">
        <x:v>NONE</x:v>
      </x:c>
      <x:c r="U86" s="19" t="str">
        <x:v>2026-08-04</x:v>
      </x:c>
    </x:row>
    <x:row r="87" ht="56" customHeight="1">
      <x:c r="A87" s="369" t="str">
        <x:v>B31-F082</x:v>
      </x:c>
      <x:c r="B87" s="369" t="str">
        <x:v>PC-N90-MAX-CAND</x:v>
      </x:c>
      <x:c r="C87" s="369" t="str">
        <x:v>super_xiaoai</x:v>
      </x:c>
      <x:c r="D87" s="369" t="str">
        <x:v>CABIN</x:v>
      </x:c>
      <x:c r="E87" s="369" t="str">
        <x:v>TEXT</x:v>
      </x:c>
      <x:c r="F87" s="373" t="str"/>
      <x:c r="G87" s="369" t="str">
        <x:v>超级小爱</x:v>
      </x:c>
      <x:c r="H87" s="369" t="str"/>
      <x:c r="I87" s="369" t="str">
        <x:v>EQUIPPED_STANDARD_UNCONFIRMED</x:v>
      </x:c>
      <x:c r="J87" s="369" t="str">
        <x:v>NOT_EVIDENCED</x:v>
      </x:c>
      <x:c r="K87" s="369" t="str">
        <x:v>NOT_COMPARED</x:v>
      </x:c>
      <x:c r="L87" s="369" t="str">
        <x:v>DIRECT_CLAIM</x:v>
      </x:c>
      <x:c r="M87" s="369" t="str"/>
      <x:c r="N87" s="369" t="str">
        <x:v>B31-C102</x:v>
      </x:c>
      <x:c r="O87" s="369" t="str">
        <x:f>IF(AND(I87="STANDARD_AT_RELEASE",T87="NONE"),"TRUE","FALSE")</x:f>
        <x:v>FALSE</x:v>
      </x:c>
      <x:c r="P87" s="369" t="str">
        <x:f>IF(AND(J87="STANDARD_CURRENT",T87="NONE"),"TRUE","FALSE")</x:f>
        <x:v>FALSE</x:v>
      </x:c>
      <x:c r="Q87" s="369" t="str">
        <x:v>CABIN_COMFORT</x:v>
      </x:c>
      <x:c r="R87" s="369" t="str">
        <x:v>DC_EE_CABIN</x:v>
      </x:c>
      <x:c r="S87" s="369" t="str"/>
      <x:c r="T87" s="369" t="str">
        <x:v>NONE</x:v>
      </x:c>
      <x:c r="U87" s="369" t="str">
        <x:v>2026-08-04</x:v>
      </x:c>
    </x:row>
    <x:row r="88" ht="56" customHeight="1">
      <x:c r="A88" s="19" t="str">
        <x:v>B31-F083</x:v>
      </x:c>
      <x:c r="B88" s="19" t="str">
        <x:v>PC-N90-MAX-CAND</x:v>
      </x:c>
      <x:c r="C88" s="19" t="str">
        <x:v>rear_solid_state_lidar</x:v>
      </x:c>
      <x:c r="D88" s="19" t="str">
        <x:v>ADAS</x:v>
      </x:c>
      <x:c r="E88" s="19" t="str">
        <x:v>TEXT</x:v>
      </x:c>
      <x:c r="F88" s="152" t="str"/>
      <x:c r="G88" s="19" t="str">
        <x:v>后向固态激光雷达</x:v>
      </x:c>
      <x:c r="H88" s="19" t="str"/>
      <x:c r="I88" s="19" t="str">
        <x:v>EQUIPPED_STANDARD_UNCONFIRMED</x:v>
      </x:c>
      <x:c r="J88" s="19" t="str">
        <x:v>NOT_EVIDENCED</x:v>
      </x:c>
      <x:c r="K88" s="19" t="str">
        <x:v>NOT_COMPARED</x:v>
      </x:c>
      <x:c r="L88" s="19" t="str">
        <x:v>DIRECT_CLAIM</x:v>
      </x:c>
      <x:c r="M88" s="19" t="str"/>
      <x:c r="N88" s="19" t="str">
        <x:v>B31-C103</x:v>
      </x:c>
      <x:c r="O88" s="19" t="str">
        <x:f>IF(AND(I88="STANDARD_AT_RELEASE",T88="NONE"),"TRUE","FALSE")</x:f>
        <x:v>FALSE</x:v>
      </x:c>
      <x:c r="P88" s="19" t="str">
        <x:f>IF(AND(J88="STANDARD_CURRENT",T88="NONE"),"TRUE","FALSE")</x:f>
        <x:v>FALSE</x:v>
      </x:c>
      <x:c r="Q88" s="19" t="str">
        <x:v>INTELLIGENCE_EE</x:v>
      </x:c>
      <x:c r="R88" s="19" t="str">
        <x:v>DC_ADAS_STACK</x:v>
      </x:c>
      <x:c r="S88" s="19" t="str"/>
      <x:c r="T88" s="19" t="str">
        <x:v>NONE</x:v>
      </x:c>
      <x:c r="U88" s="19" t="str">
        <x:v>2026-08-04</x:v>
      </x:c>
    </x:row>
    <x:row r="89" ht="56" customHeight="1">
      <x:c r="A89" s="369" t="str">
        <x:v>B31-F084</x:v>
      </x:c>
      <x:c r="B89" s="369" t="str">
        <x:v>PC-N90-MAX-CAND</x:v>
      </x:c>
      <x:c r="C89" s="369" t="str">
        <x:v>xiaomi_xla</x:v>
      </x:c>
      <x:c r="D89" s="369" t="str">
        <x:v>ADAS</x:v>
      </x:c>
      <x:c r="E89" s="369" t="str">
        <x:v>TEXT</x:v>
      </x:c>
      <x:c r="F89" s="373" t="str"/>
      <x:c r="G89" s="369" t="str">
        <x:v>小米XLA认知大模型</x:v>
      </x:c>
      <x:c r="H89" s="369" t="str"/>
      <x:c r="I89" s="369" t="str">
        <x:v>STANDARD_AT_RELEASE</x:v>
      </x:c>
      <x:c r="J89" s="369" t="str">
        <x:v>NOT_EVIDENCED</x:v>
      </x:c>
      <x:c r="K89" s="369" t="str">
        <x:v>NOT_COMPARED</x:v>
      </x:c>
      <x:c r="L89" s="369" t="str">
        <x:v>DIRECT_CLAIM</x:v>
      </x:c>
      <x:c r="M89" s="369" t="str"/>
      <x:c r="N89" s="369" t="str">
        <x:v>B31-C104</x:v>
      </x:c>
      <x:c r="O89" s="369" t="str">
        <x:f>IF(AND(I89="STANDARD_AT_RELEASE",T89="NONE"),"TRUE","FALSE")</x:f>
        <x:v>TRUE</x:v>
      </x:c>
      <x:c r="P89" s="369" t="str">
        <x:f>IF(AND(J89="STANDARD_CURRENT",T89="NONE"),"TRUE","FALSE")</x:f>
        <x:v>FALSE</x:v>
      </x:c>
      <x:c r="Q89" s="369" t="str">
        <x:v>INTELLIGENCE_EE</x:v>
      </x:c>
      <x:c r="R89" s="369" t="str">
        <x:v>DC_ADAS_STACK</x:v>
      </x:c>
      <x:c r="S89" s="369" t="str"/>
      <x:c r="T89" s="369" t="str">
        <x:v>NONE</x:v>
      </x:c>
      <x:c r="U89" s="369" t="str">
        <x:v>2026-08-04</x:v>
      </x:c>
    </x:row>
    <x:row r="90" ht="56" customHeight="1">
      <x:c r="A90" s="19" t="str">
        <x:v>B31-F085</x:v>
      </x:c>
      <x:c r="B90" s="19" t="str">
        <x:v>PC-N90-MAX-CAND</x:v>
      </x:c>
      <x:c r="C90" s="19" t="str">
        <x:v>smart_power_doors</x:v>
      </x:c>
      <x:c r="D90" s="19" t="str">
        <x:v>EXTERIOR</x:v>
      </x:c>
      <x:c r="E90" s="19" t="str">
        <x:v>TEXT</x:v>
      </x:c>
      <x:c r="F90" s="152" t="str"/>
      <x:c r="G90" s="19" t="str">
        <x:v>智能电动门</x:v>
      </x:c>
      <x:c r="H90" s="19" t="str"/>
      <x:c r="I90" s="19" t="str">
        <x:v>OPTIONAL_AT_RELEASE</x:v>
      </x:c>
      <x:c r="J90" s="19" t="str">
        <x:v>NOT_EVIDENCED</x:v>
      </x:c>
      <x:c r="K90" s="19" t="str">
        <x:v>NOT_COMPARED</x:v>
      </x:c>
      <x:c r="L90" s="19" t="str">
        <x:v>DIRECT_CLAIM</x:v>
      </x:c>
      <x:c r="M90" s="19" t="str"/>
      <x:c r="N90" s="19" t="str">
        <x:v>B31-C105</x:v>
      </x:c>
      <x:c r="O90" s="19" t="str">
        <x:f>IF(AND(I90="STANDARD_AT_RELEASE",T90="NONE"),"TRUE","FALSE")</x:f>
        <x:v>FALSE</x:v>
      </x:c>
      <x:c r="P90" s="19" t="str">
        <x:f>IF(AND(J90="STANDARD_CURRENT",T90="NONE"),"TRUE","FALSE")</x:f>
        <x:v>FALSE</x:v>
      </x:c>
      <x:c r="Q90" s="19" t="str">
        <x:v>OPTIONS_ACCESSORIES</x:v>
      </x:c>
      <x:c r="R90" s="19" t="str">
        <x:v>DC_EXTERIOR_smart_power_doors</x:v>
      </x:c>
      <x:c r="S90" s="19" t="str"/>
      <x:c r="T90" s="19" t="str">
        <x:v>NONE</x:v>
      </x:c>
      <x:c r="U90" s="19" t="str">
        <x:v>2026-08-04</x:v>
      </x:c>
    </x:row>
    <x:row r="91" ht="56" customHeight="1">
      <x:c r="A91" s="369" t="str">
        <x:v>B31-F086</x:v>
      </x:c>
      <x:c r="B91" s="369" t="str">
        <x:v>PC-N90-MAX-CAND</x:v>
      </x:c>
      <x:c r="C91" s="369" t="str">
        <x:v>power_running_boards</x:v>
      </x:c>
      <x:c r="D91" s="369" t="str">
        <x:v>EXTERIOR</x:v>
      </x:c>
      <x:c r="E91" s="369" t="str">
        <x:v>TEXT</x:v>
      </x:c>
      <x:c r="F91" s="373" t="str"/>
      <x:c r="G91" s="369" t="str">
        <x:v>电动迎宾踏板</x:v>
      </x:c>
      <x:c r="H91" s="369" t="str"/>
      <x:c r="I91" s="369" t="str">
        <x:v>OPTIONAL_AT_RELEASE</x:v>
      </x:c>
      <x:c r="J91" s="369" t="str">
        <x:v>NOT_EVIDENCED</x:v>
      </x:c>
      <x:c r="K91" s="369" t="str">
        <x:v>NOT_COMPARED</x:v>
      </x:c>
      <x:c r="L91" s="369" t="str">
        <x:v>DIRECT_CLAIM</x:v>
      </x:c>
      <x:c r="M91" s="369" t="str"/>
      <x:c r="N91" s="369" t="str">
        <x:v>B31-C106</x:v>
      </x:c>
      <x:c r="O91" s="369" t="str">
        <x:f>IF(AND(I91="STANDARD_AT_RELEASE",T91="NONE"),"TRUE","FALSE")</x:f>
        <x:v>FALSE</x:v>
      </x:c>
      <x:c r="P91" s="369" t="str">
        <x:f>IF(AND(J91="STANDARD_CURRENT",T91="NONE"),"TRUE","FALSE")</x:f>
        <x:v>FALSE</x:v>
      </x:c>
      <x:c r="Q91" s="369" t="str">
        <x:v>OPTIONS_ACCESSORIES</x:v>
      </x:c>
      <x:c r="R91" s="369" t="str">
        <x:v>DC_EXTERIOR_power_running_boards</x:v>
      </x:c>
      <x:c r="S91" s="369" t="str"/>
      <x:c r="T91" s="369" t="str">
        <x:v>NONE</x:v>
      </x:c>
      <x:c r="U91" s="369" t="str">
        <x:v>2026-08-04</x:v>
      </x:c>
    </x:row>
    <x:row r="92" ht="56" customHeight="1">
      <x:c r="A92" s="19" t="str">
        <x:v>B31-F087</x:v>
      </x:c>
      <x:c r="B92" s="19" t="str">
        <x:v>PC-N90-MAX-CAND</x:v>
      </x:c>
      <x:c r="C92" s="19" t="str">
        <x:v>front_swivel_seats</x:v>
      </x:c>
      <x:c r="D92" s="19" t="str">
        <x:v>COMFORT</x:v>
      </x:c>
      <x:c r="E92" s="19" t="str">
        <x:v>TEXT</x:v>
      </x:c>
      <x:c r="F92" s="152" t="str"/>
      <x:c r="G92" s="19" t="str">
        <x:v>一排电动旋转座椅</x:v>
      </x:c>
      <x:c r="H92" s="19" t="str"/>
      <x:c r="I92" s="19" t="str">
        <x:v>OPTIONAL_AT_RELEASE</x:v>
      </x:c>
      <x:c r="J92" s="19" t="str">
        <x:v>NOT_EVIDENCED</x:v>
      </x:c>
      <x:c r="K92" s="19" t="str">
        <x:v>NOT_COMPARED</x:v>
      </x:c>
      <x:c r="L92" s="19" t="str">
        <x:v>DIRECT_CLAIM</x:v>
      </x:c>
      <x:c r="M92" s="19" t="str"/>
      <x:c r="N92" s="19" t="str">
        <x:v>B31-C107</x:v>
      </x:c>
      <x:c r="O92" s="19" t="str">
        <x:f>IF(AND(I92="STANDARD_AT_RELEASE",T92="NONE"),"TRUE","FALSE")</x:f>
        <x:v>FALSE</x:v>
      </x:c>
      <x:c r="P92" s="19" t="str">
        <x:f>IF(AND(J92="STANDARD_CURRENT",T92="NONE"),"TRUE","FALSE")</x:f>
        <x:v>FALSE</x:v>
      </x:c>
      <x:c r="Q92" s="19" t="str">
        <x:v>CABIN_COMFORT</x:v>
      </x:c>
      <x:c r="R92" s="19" t="str">
        <x:v>DC_COMFORT_front_swivel_seats</x:v>
      </x:c>
      <x:c r="S92" s="19" t="str"/>
      <x:c r="T92" s="19" t="str">
        <x:v>NONE</x:v>
      </x:c>
      <x:c r="U92" s="19" t="str">
        <x:v>2026-08-04</x:v>
      </x:c>
    </x:row>
    <x:row r="93" ht="56" customHeight="1">
      <x:c r="A93" s="369" t="str">
        <x:v>B31-F088</x:v>
      </x:c>
      <x:c r="B93" s="369" t="str">
        <x:v>PC-N90-MAX-CAND</x:v>
      </x:c>
      <x:c r="C93" s="369" t="str">
        <x:v>zero_gravity_seats</x:v>
      </x:c>
      <x:c r="D93" s="369" t="str">
        <x:v>COMFORT</x:v>
      </x:c>
      <x:c r="E93" s="369" t="str">
        <x:v>TEXT</x:v>
      </x:c>
      <x:c r="F93" s="373" t="str"/>
      <x:c r="G93" s="369" t="str">
        <x:v>全车最多4把零重力座椅</x:v>
      </x:c>
      <x:c r="H93" s="369" t="str"/>
      <x:c r="I93" s="369" t="str">
        <x:v>OPTIONAL_AT_RELEASE</x:v>
      </x:c>
      <x:c r="J93" s="369" t="str">
        <x:v>NOT_EVIDENCED</x:v>
      </x:c>
      <x:c r="K93" s="369" t="str">
        <x:v>NOT_COMPARED</x:v>
      </x:c>
      <x:c r="L93" s="369" t="str">
        <x:v>DIRECT_CLAIM</x:v>
      </x:c>
      <x:c r="M93" s="369" t="str"/>
      <x:c r="N93" s="369" t="str">
        <x:v>B31-C108</x:v>
      </x:c>
      <x:c r="O93" s="369" t="str">
        <x:f>IF(AND(I93="STANDARD_AT_RELEASE",T93="NONE"),"TRUE","FALSE")</x:f>
        <x:v>FALSE</x:v>
      </x:c>
      <x:c r="P93" s="369" t="str">
        <x:f>IF(AND(J93="STANDARD_CURRENT",T93="NONE"),"TRUE","FALSE")</x:f>
        <x:v>FALSE</x:v>
      </x:c>
      <x:c r="Q93" s="369" t="str">
        <x:v>CABIN_COMFORT</x:v>
      </x:c>
      <x:c r="R93" s="369" t="str">
        <x:v>DC_COMFORT_zero_gravity_seats</x:v>
      </x:c>
      <x:c r="S93" s="369" t="str"/>
      <x:c r="T93" s="369" t="str">
        <x:v>NONE</x:v>
      </x:c>
      <x:c r="U93" s="369" t="str">
        <x:v>2026-08-04</x:v>
      </x:c>
    </x:row>
    <x:row r="94" ht="56" customHeight="1">
      <x:c r="A94" s="19" t="str">
        <x:v>B31-F089</x:v>
      </x:c>
      <x:c r="B94" s="19" t="str">
        <x:v>PC-N90-MAX-CAND</x:v>
      </x:c>
      <x:c r="C94" s="19" t="str">
        <x:v>wheel_designs_21</x:v>
      </x:c>
      <x:c r="D94" s="19" t="str">
        <x:v>EXTERIOR</x:v>
      </x:c>
      <x:c r="E94" s="19" t="str">
        <x:v>TEXT</x:v>
      </x:c>
      <x:c r="F94" s="152" t="str"/>
      <x:c r="G94" s="19" t="str">
        <x:v>四款21英寸轮毂造型</x:v>
      </x:c>
      <x:c r="H94" s="19" t="str"/>
      <x:c r="I94" s="19" t="str">
        <x:v>OPTIONAL_AT_RELEASE</x:v>
      </x:c>
      <x:c r="J94" s="19" t="str">
        <x:v>NOT_EVIDENCED</x:v>
      </x:c>
      <x:c r="K94" s="19" t="str">
        <x:v>NOT_COMPARED</x:v>
      </x:c>
      <x:c r="L94" s="19" t="str">
        <x:v>DIRECT_CLAIM</x:v>
      </x:c>
      <x:c r="M94" s="19" t="str"/>
      <x:c r="N94" s="19" t="str">
        <x:v>B31-C109</x:v>
      </x:c>
      <x:c r="O94" s="19" t="str">
        <x:f>IF(AND(I94="STANDARD_AT_RELEASE",T94="NONE"),"TRUE","FALSE")</x:f>
        <x:v>FALSE</x:v>
      </x:c>
      <x:c r="P94" s="19" t="str">
        <x:f>IF(AND(J94="STANDARD_CURRENT",T94="NONE"),"TRUE","FALSE")</x:f>
        <x:v>FALSE</x:v>
      </x:c>
      <x:c r="Q94" s="19" t="str">
        <x:v>OPTIONS_ACCESSORIES</x:v>
      </x:c>
      <x:c r="R94" s="19" t="str">
        <x:v>DC_EXTERIOR_wheel_designs_21</x:v>
      </x:c>
      <x:c r="S94" s="19" t="str"/>
      <x:c r="T94" s="19" t="str">
        <x:v>NONE</x:v>
      </x:c>
      <x:c r="U94" s="19" t="str">
        <x:v>2026-08-04</x:v>
      </x:c>
    </x:row>
    <x:row r="95" ht="56" customHeight="1">
      <x:c r="A95" s="369" t="str">
        <x:v>B31-F090</x:v>
      </x:c>
      <x:c r="B95" s="369" t="str">
        <x:v>PC-N90-MAX-CAND</x:v>
      </x:c>
      <x:c r="C95" s="369" t="str">
        <x:v>grille_trim</x:v>
      </x:c>
      <x:c r="D95" s="369" t="str">
        <x:v>EXTERIOR</x:v>
      </x:c>
      <x:c r="E95" s="369" t="str">
        <x:v>TEXT</x:v>
      </x:c>
      <x:c r="F95" s="373" t="str"/>
      <x:c r="G95" s="369" t="str">
        <x:v>个性化前格栅饰板</x:v>
      </x:c>
      <x:c r="H95" s="369" t="str"/>
      <x:c r="I95" s="369" t="str">
        <x:v>OPTIONAL_AT_RELEASE</x:v>
      </x:c>
      <x:c r="J95" s="369" t="str">
        <x:v>NOT_EVIDENCED</x:v>
      </x:c>
      <x:c r="K95" s="369" t="str">
        <x:v>NOT_COMPARED</x:v>
      </x:c>
      <x:c r="L95" s="369" t="str">
        <x:v>DIRECT_CLAIM</x:v>
      </x:c>
      <x:c r="M95" s="369" t="str"/>
      <x:c r="N95" s="369" t="str">
        <x:v>B31-C110</x:v>
      </x:c>
      <x:c r="O95" s="369" t="str">
        <x:f>IF(AND(I95="STANDARD_AT_RELEASE",T95="NONE"),"TRUE","FALSE")</x:f>
        <x:v>FALSE</x:v>
      </x:c>
      <x:c r="P95" s="369" t="str">
        <x:f>IF(AND(J95="STANDARD_CURRENT",T95="NONE"),"TRUE","FALSE")</x:f>
        <x:v>FALSE</x:v>
      </x:c>
      <x:c r="Q95" s="369" t="str">
        <x:v>OPTIONS_ACCESSORIES</x:v>
      </x:c>
      <x:c r="R95" s="369" t="str">
        <x:v>DC_EXTERIOR_grille_trim</x:v>
      </x:c>
      <x:c r="S95" s="369" t="str"/>
      <x:c r="T95" s="369" t="str">
        <x:v>NONE</x:v>
      </x:c>
      <x:c r="U95" s="369" t="str">
        <x:v>2026-08-04</x:v>
      </x:c>
    </x:row>
    <x:row r="96" ht="56" customHeight="1">
      <x:c r="A96" s="19" t="str">
        <x:v>B31-F091</x:v>
      </x:c>
      <x:c r="B96" s="19" t="str">
        <x:v>PC-N90-MAX-CAND</x:v>
      </x:c>
      <x:c r="C96" s="19" t="str">
        <x:v>vehicle_table</x:v>
      </x:c>
      <x:c r="D96" s="19" t="str">
        <x:v>ACCESSORY</x:v>
      </x:c>
      <x:c r="E96" s="19" t="str">
        <x:v>TEXT</x:v>
      </x:c>
      <x:c r="F96" s="152" t="str"/>
      <x:c r="G96" s="19" t="str">
        <x:v>600×420mm车载桌板</x:v>
      </x:c>
      <x:c r="H96" s="19" t="str"/>
      <x:c r="I96" s="19" t="str">
        <x:v>SEPARATE_PURCHASE</x:v>
      </x:c>
      <x:c r="J96" s="19" t="str">
        <x:v>NOT_EVIDENCED</x:v>
      </x:c>
      <x:c r="K96" s="19" t="str">
        <x:v>NOT_COMPARED</x:v>
      </x:c>
      <x:c r="L96" s="19" t="str">
        <x:v>DIRECT_CLAIM</x:v>
      </x:c>
      <x:c r="M96" s="19" t="str"/>
      <x:c r="N96" s="19" t="str">
        <x:v>B31-C111</x:v>
      </x:c>
      <x:c r="O96" s="19" t="str">
        <x:f>IF(AND(I96="STANDARD_AT_RELEASE",T96="NONE"),"TRUE","FALSE")</x:f>
        <x:v>FALSE</x:v>
      </x:c>
      <x:c r="P96" s="19" t="str">
        <x:f>IF(AND(J96="STANDARD_CURRENT",T96="NONE"),"TRUE","FALSE")</x:f>
        <x:v>FALSE</x:v>
      </x:c>
      <x:c r="Q96" s="19" t="str">
        <x:v>OPTIONS_ACCESSORIES</x:v>
      </x:c>
      <x:c r="R96" s="19" t="str">
        <x:v>DC_ACCESSORY_vehicle_table</x:v>
      </x:c>
      <x:c r="S96" s="19" t="str"/>
      <x:c r="T96" s="19" t="str">
        <x:v>NONE</x:v>
      </x:c>
      <x:c r="U96" s="19" t="str">
        <x:v>2026-08-04</x:v>
      </x:c>
    </x:row>
    <x:row r="97" ht="56" customHeight="1">
      <x:c r="A97" s="369" t="str">
        <x:v>B31-F092</x:v>
      </x:c>
      <x:c r="B97" s="369" t="str">
        <x:v>PC-N90-MAX-CAND</x:v>
      </x:c>
      <x:c r="C97" s="369" t="str">
        <x:v>mattress</x:v>
      </x:c>
      <x:c r="D97" s="369" t="str">
        <x:v>ACCESSORY</x:v>
      </x:c>
      <x:c r="E97" s="369" t="str">
        <x:v>TEXT</x:v>
      </x:c>
      <x:c r="F97" s="373" t="str"/>
      <x:c r="G97" s="369" t="str">
        <x:v>专用床垫</x:v>
      </x:c>
      <x:c r="H97" s="369" t="str"/>
      <x:c r="I97" s="369" t="str">
        <x:v>SEPARATE_PURCHASE</x:v>
      </x:c>
      <x:c r="J97" s="369" t="str">
        <x:v>NOT_EVIDENCED</x:v>
      </x:c>
      <x:c r="K97" s="369" t="str">
        <x:v>NOT_COMPARED</x:v>
      </x:c>
      <x:c r="L97" s="369" t="str">
        <x:v>DIRECT_CLAIM</x:v>
      </x:c>
      <x:c r="M97" s="369" t="str"/>
      <x:c r="N97" s="369" t="str">
        <x:v>B31-C112</x:v>
      </x:c>
      <x:c r="O97" s="369" t="str">
        <x:f>IF(AND(I97="STANDARD_AT_RELEASE",T97="NONE"),"TRUE","FALSE")</x:f>
        <x:v>FALSE</x:v>
      </x:c>
      <x:c r="P97" s="369" t="str">
        <x:f>IF(AND(J97="STANDARD_CURRENT",T97="NONE"),"TRUE","FALSE")</x:f>
        <x:v>FALSE</x:v>
      </x:c>
      <x:c r="Q97" s="369" t="str">
        <x:v>OPTIONS_ACCESSORIES</x:v>
      </x:c>
      <x:c r="R97" s="369" t="str">
        <x:v>DC_ACCESSORY_mattress</x:v>
      </x:c>
      <x:c r="S97" s="369" t="str"/>
      <x:c r="T97" s="369" t="str">
        <x:v>NONE</x:v>
      </x:c>
      <x:c r="U97" s="369" t="str">
        <x:v>2026-08-04</x:v>
      </x:c>
    </x:row>
    <x:row r="98" ht="56" customHeight="1">
      <x:c r="A98" s="19" t="str">
        <x:v>B31-F093</x:v>
      </x:c>
      <x:c r="B98" s="19" t="str">
        <x:v>PC-N90-MAX-CAND</x:v>
      </x:c>
      <x:c r="C98" s="19" t="str">
        <x:v>privacy_curtains</x:v>
      </x:c>
      <x:c r="D98" s="19" t="str">
        <x:v>ACCESSORY</x:v>
      </x:c>
      <x:c r="E98" s="19" t="str">
        <x:v>TEXT</x:v>
      </x:c>
      <x:c r="F98" s="152" t="str"/>
      <x:c r="G98" s="19" t="str">
        <x:v>隐私帘</x:v>
      </x:c>
      <x:c r="H98" s="19" t="str"/>
      <x:c r="I98" s="19" t="str">
        <x:v>SEPARATE_PURCHASE</x:v>
      </x:c>
      <x:c r="J98" s="19" t="str">
        <x:v>NOT_EVIDENCED</x:v>
      </x:c>
      <x:c r="K98" s="19" t="str">
        <x:v>NOT_COMPARED</x:v>
      </x:c>
      <x:c r="L98" s="19" t="str">
        <x:v>DIRECT_CLAIM</x:v>
      </x:c>
      <x:c r="M98" s="19" t="str"/>
      <x:c r="N98" s="19" t="str">
        <x:v>B31-C113</x:v>
      </x:c>
      <x:c r="O98" s="19" t="str">
        <x:f>IF(AND(I98="STANDARD_AT_RELEASE",T98="NONE"),"TRUE","FALSE")</x:f>
        <x:v>FALSE</x:v>
      </x:c>
      <x:c r="P98" s="19" t="str">
        <x:f>IF(AND(J98="STANDARD_CURRENT",T98="NONE"),"TRUE","FALSE")</x:f>
        <x:v>FALSE</x:v>
      </x:c>
      <x:c r="Q98" s="19" t="str">
        <x:v>OPTIONS_ACCESSORIES</x:v>
      </x:c>
      <x:c r="R98" s="19" t="str">
        <x:v>DC_ACCESSORY_privacy_curtains</x:v>
      </x:c>
      <x:c r="S98" s="19" t="str"/>
      <x:c r="T98" s="19" t="str">
        <x:v>NONE</x:v>
      </x:c>
      <x:c r="U98" s="19" t="str">
        <x:v>2026-08-04</x:v>
      </x:c>
    </x:row>
    <x:row r="99" ht="56" customHeight="1">
      <x:c r="A99" s="369" t="str">
        <x:v>B31-F094</x:v>
      </x:c>
      <x:c r="B99" s="369" t="str">
        <x:v>PC-N90-MAX-CAND</x:v>
      </x:c>
      <x:c r="C99" s="369" t="str">
        <x:v>tail_tent</x:v>
      </x:c>
      <x:c r="D99" s="369" t="str">
        <x:v>ACCESSORY</x:v>
      </x:c>
      <x:c r="E99" s="369" t="str">
        <x:v>TEXT</x:v>
      </x:c>
      <x:c r="F99" s="373" t="str"/>
      <x:c r="G99" s="369" t="str">
        <x:v>尾帐</x:v>
      </x:c>
      <x:c r="H99" s="369" t="str"/>
      <x:c r="I99" s="369" t="str">
        <x:v>SEPARATE_PURCHASE</x:v>
      </x:c>
      <x:c r="J99" s="369" t="str">
        <x:v>NOT_EVIDENCED</x:v>
      </x:c>
      <x:c r="K99" s="369" t="str">
        <x:v>NOT_COMPARED</x:v>
      </x:c>
      <x:c r="L99" s="369" t="str">
        <x:v>DIRECT_CLAIM</x:v>
      </x:c>
      <x:c r="M99" s="369" t="str"/>
      <x:c r="N99" s="369" t="str">
        <x:v>B31-C114</x:v>
      </x:c>
      <x:c r="O99" s="369" t="str">
        <x:f>IF(AND(I99="STANDARD_AT_RELEASE",T99="NONE"),"TRUE","FALSE")</x:f>
        <x:v>FALSE</x:v>
      </x:c>
      <x:c r="P99" s="369" t="str">
        <x:f>IF(AND(J99="STANDARD_CURRENT",T99="NONE"),"TRUE","FALSE")</x:f>
        <x:v>FALSE</x:v>
      </x:c>
      <x:c r="Q99" s="369" t="str">
        <x:v>OPTIONS_ACCESSORIES</x:v>
      </x:c>
      <x:c r="R99" s="369" t="str">
        <x:v>DC_ACCESSORY_tail_tent</x:v>
      </x:c>
      <x:c r="S99" s="369" t="str"/>
      <x:c r="T99" s="369" t="str">
        <x:v>NONE</x:v>
      </x:c>
      <x:c r="U99" s="369" t="str">
        <x:v>2026-08-04</x:v>
      </x:c>
    </x:row>
    <x:row r="100" ht="56" customHeight="1">
      <x:c r="A100" s="19" t="str">
        <x:v>B31-F095</x:v>
      </x:c>
      <x:c r="B100" s="19" t="str">
        <x:v>PC-N90-MAX-CAND</x:v>
      </x:c>
      <x:c r="C100" s="19" t="str">
        <x:v>side_tent</x:v>
      </x:c>
      <x:c r="D100" s="19" t="str">
        <x:v>ACCESSORY</x:v>
      </x:c>
      <x:c r="E100" s="19" t="str">
        <x:v>TEXT</x:v>
      </x:c>
      <x:c r="F100" s="152" t="str"/>
      <x:c r="G100" s="19" t="str">
        <x:v>车边帐</x:v>
      </x:c>
      <x:c r="H100" s="19" t="str"/>
      <x:c r="I100" s="19" t="str">
        <x:v>SEPARATE_PURCHASE</x:v>
      </x:c>
      <x:c r="J100" s="19" t="str">
        <x:v>NOT_EVIDENCED</x:v>
      </x:c>
      <x:c r="K100" s="19" t="str">
        <x:v>NOT_COMPARED</x:v>
      </x:c>
      <x:c r="L100" s="19" t="str">
        <x:v>DIRECT_CLAIM</x:v>
      </x:c>
      <x:c r="M100" s="19" t="str"/>
      <x:c r="N100" s="19" t="str">
        <x:v>B31-C115</x:v>
      </x:c>
      <x:c r="O100" s="19" t="str">
        <x:f>IF(AND(I100="STANDARD_AT_RELEASE",T100="NONE"),"TRUE","FALSE")</x:f>
        <x:v>FALSE</x:v>
      </x:c>
      <x:c r="P100" s="19" t="str">
        <x:f>IF(AND(J100="STANDARD_CURRENT",T100="NONE"),"TRUE","FALSE")</x:f>
        <x:v>FALSE</x:v>
      </x:c>
      <x:c r="Q100" s="19" t="str">
        <x:v>OPTIONS_ACCESSORIES</x:v>
      </x:c>
      <x:c r="R100" s="19" t="str">
        <x:v>DC_ACCESSORY_side_tent</x:v>
      </x:c>
      <x:c r="S100" s="19" t="str"/>
      <x:c r="T100" s="19" t="str">
        <x:v>NONE</x:v>
      </x:c>
      <x:c r="U100" s="19" t="str">
        <x:v>2026-08-04</x:v>
      </x:c>
    </x:row>
    <x:row r="101" ht="56" customHeight="1">
      <x:c r="A101" s="369" t="str">
        <x:v>B31-F096</x:v>
      </x:c>
      <x:c r="B101" s="369" t="str">
        <x:v>PC-N90-MAX-CAND</x:v>
      </x:c>
      <x:c r="C101" s="369" t="str">
        <x:v>passenger_seat_pad</x:v>
      </x:c>
      <x:c r="D101" s="369" t="str">
        <x:v>ACCESSORY</x:v>
      </x:c>
      <x:c r="E101" s="369" t="str">
        <x:v>TEXT</x:v>
      </x:c>
      <x:c r="F101" s="373" t="str"/>
      <x:c r="G101" s="369" t="str">
        <x:v>副驾靠背扩展Pad</x:v>
      </x:c>
      <x:c r="H101" s="369" t="str"/>
      <x:c r="I101" s="369" t="str">
        <x:v>SEPARATE_PURCHASE</x:v>
      </x:c>
      <x:c r="J101" s="369" t="str">
        <x:v>NOT_EVIDENCED</x:v>
      </x:c>
      <x:c r="K101" s="369" t="str">
        <x:v>NOT_COMPARED</x:v>
      </x:c>
      <x:c r="L101" s="369" t="str">
        <x:v>DIRECT_CLAIM</x:v>
      </x:c>
      <x:c r="M101" s="369" t="str"/>
      <x:c r="N101" s="369" t="str">
        <x:v>B31-C116</x:v>
      </x:c>
      <x:c r="O101" s="369" t="str">
        <x:f>IF(AND(I101="STANDARD_AT_RELEASE",T101="NONE"),"TRUE","FALSE")</x:f>
        <x:v>FALSE</x:v>
      </x:c>
      <x:c r="P101" s="369" t="str">
        <x:f>IF(AND(J101="STANDARD_CURRENT",T101="NONE"),"TRUE","FALSE")</x:f>
        <x:v>FALSE</x:v>
      </x:c>
      <x:c r="Q101" s="369" t="str">
        <x:v>OPTIONS_ACCESSORIES</x:v>
      </x:c>
      <x:c r="R101" s="369" t="str">
        <x:v>DC_ACCESSORY_passenger_seat_pad</x:v>
      </x:c>
      <x:c r="S101" s="369" t="str"/>
      <x:c r="T101" s="369" t="str">
        <x:v>NONE</x:v>
      </x:c>
      <x:c r="U101" s="369" t="str">
        <x:v>2026-08-04</x:v>
      </x:c>
    </x:row>
    <x:row r="102" ht="56" customHeight="1">
      <x:c r="A102" s="19" t="str">
        <x:v>B31-F097</x:v>
      </x:c>
      <x:c r="B102" s="19" t="str">
        <x:v>PC-N70-MAX-CAND</x:v>
      </x:c>
      <x:c r="C102" s="19" t="str">
        <x:v>zero_to_100</x:v>
      </x:c>
      <x:c r="D102" s="19" t="str">
        <x:v>POWERTRAIN</x:v>
      </x:c>
      <x:c r="E102" s="19" t="str">
        <x:v>TEXT</x:v>
      </x:c>
      <x:c r="F102" s="152" t="str"/>
      <x:c r="G102" s="19" t="str">
        <x:v>NOT_DISCLOSED</x:v>
      </x:c>
      <x:c r="H102" s="19" t="str"/>
      <x:c r="I102" s="19" t="str">
        <x:v>NOT_DISCLOSED</x:v>
      </x:c>
      <x:c r="J102" s="19" t="str">
        <x:v>NOT_EVIDENCED</x:v>
      </x:c>
      <x:c r="K102" s="19" t="str">
        <x:v>NOT_COMPARED</x:v>
      </x:c>
      <x:c r="L102" s="19" t="str">
        <x:v>DIRECT_CLAIM</x:v>
      </x:c>
      <x:c r="M102" s="19" t="str"/>
      <x:c r="N102" s="19" t="str">
        <x:v>B31-C117</x:v>
      </x:c>
      <x:c r="O102" s="19" t="str">
        <x:f>IF(AND(I102="STANDARD_AT_RELEASE",T102="NONE"),"TRUE","FALSE")</x:f>
        <x:v>FALSE</x:v>
      </x:c>
      <x:c r="P102" s="19" t="str">
        <x:f>IF(AND(J102="STANDARD_CURRENT",T102="NONE"),"TRUE","FALSE")</x:f>
        <x:v>FALSE</x:v>
      </x:c>
      <x:c r="Q102" s="19" t="str">
        <x:v>E_DRIVE</x:v>
      </x:c>
      <x:c r="R102" s="19" t="str">
        <x:v>DC_POWERTRAIN_zero_to_100</x:v>
      </x:c>
      <x:c r="S102" s="19" t="str"/>
      <x:c r="T102" s="19" t="str">
        <x:v>NONE</x:v>
      </x:c>
      <x:c r="U102" s="19" t="str">
        <x:v>2026-08-04</x:v>
      </x:c>
    </x:row>
    <x:row r="103" ht="56" customHeight="1">
      <x:c r="A103" s="369" t="str">
        <x:v>B31-F098</x:v>
      </x:c>
      <x:c r="B103" s="369" t="str">
        <x:v>PC-N70-MAX-CAND</x:v>
      </x:c>
      <x:c r="C103" s="369" t="str">
        <x:v>peak_torque</x:v>
      </x:c>
      <x:c r="D103" s="369" t="str">
        <x:v>POWERTRAIN</x:v>
      </x:c>
      <x:c r="E103" s="369" t="str">
        <x:v>TEXT</x:v>
      </x:c>
      <x:c r="F103" s="373" t="str"/>
      <x:c r="G103" s="369" t="str">
        <x:v>NOT_DISCLOSED</x:v>
      </x:c>
      <x:c r="H103" s="369" t="str"/>
      <x:c r="I103" s="369" t="str">
        <x:v>NOT_DISCLOSED</x:v>
      </x:c>
      <x:c r="J103" s="369" t="str">
        <x:v>NOT_EVIDENCED</x:v>
      </x:c>
      <x:c r="K103" s="369" t="str">
        <x:v>NOT_COMPARED</x:v>
      </x:c>
      <x:c r="L103" s="369" t="str">
        <x:v>DIRECT_CLAIM</x:v>
      </x:c>
      <x:c r="M103" s="369" t="str"/>
      <x:c r="N103" s="369" t="str">
        <x:v>B31-C118</x:v>
      </x:c>
      <x:c r="O103" s="369" t="str">
        <x:f>IF(AND(I103="STANDARD_AT_RELEASE",T103="NONE"),"TRUE","FALSE")</x:f>
        <x:v>FALSE</x:v>
      </x:c>
      <x:c r="P103" s="369" t="str">
        <x:f>IF(AND(J103="STANDARD_CURRENT",T103="NONE"),"TRUE","FALSE")</x:f>
        <x:v>FALSE</x:v>
      </x:c>
      <x:c r="Q103" s="369" t="str">
        <x:v>E_DRIVE</x:v>
      </x:c>
      <x:c r="R103" s="369" t="str">
        <x:v>DC_POWERTRAIN_peak_torque</x:v>
      </x:c>
      <x:c r="S103" s="369" t="str"/>
      <x:c r="T103" s="369" t="str">
        <x:v>NONE</x:v>
      </x:c>
      <x:c r="U103" s="369" t="str">
        <x:v>2026-08-04</x:v>
      </x:c>
    </x:row>
    <x:row r="104" ht="56" customHeight="1">
      <x:c r="A104" s="19" t="str">
        <x:v>B31-F099</x:v>
      </x:c>
      <x:c r="B104" s="19" t="str">
        <x:v>PC-N70-MAX-CAND</x:v>
      </x:c>
      <x:c r="C104" s="19" t="str">
        <x:v>battery_capacity</x:v>
      </x:c>
      <x:c r="D104" s="19" t="str">
        <x:v>ENERGY</x:v>
      </x:c>
      <x:c r="E104" s="19" t="str">
        <x:v>TEXT</x:v>
      </x:c>
      <x:c r="F104" s="152" t="str"/>
      <x:c r="G104" s="19" t="str">
        <x:v>NOT_DISCLOSED</x:v>
      </x:c>
      <x:c r="H104" s="19" t="str"/>
      <x:c r="I104" s="19" t="str">
        <x:v>NOT_DISCLOSED</x:v>
      </x:c>
      <x:c r="J104" s="19" t="str">
        <x:v>NOT_EVIDENCED</x:v>
      </x:c>
      <x:c r="K104" s="19" t="str">
        <x:v>NOT_COMPARED</x:v>
      </x:c>
      <x:c r="L104" s="19" t="str">
        <x:v>DIRECT_CLAIM</x:v>
      </x:c>
      <x:c r="M104" s="19" t="str"/>
      <x:c r="N104" s="19" t="str">
        <x:v>B31-C119</x:v>
      </x:c>
      <x:c r="O104" s="19" t="str">
        <x:f>IF(AND(I104="STANDARD_AT_RELEASE",T104="NONE"),"TRUE","FALSE")</x:f>
        <x:v>FALSE</x:v>
      </x:c>
      <x:c r="P104" s="19" t="str">
        <x:f>IF(AND(J104="STANDARD_CURRENT",T104="NONE"),"TRUE","FALSE")</x:f>
        <x:v>FALSE</x:v>
      </x:c>
      <x:c r="Q104" s="19" t="str">
        <x:v>ENERGY_SYSTEM</x:v>
      </x:c>
      <x:c r="R104" s="19" t="str">
        <x:v>DC_ENERGY_SYSTEM</x:v>
      </x:c>
      <x:c r="S104" s="19" t="str"/>
      <x:c r="T104" s="19" t="str">
        <x:v>NONE</x:v>
      </x:c>
      <x:c r="U104" s="19" t="str">
        <x:v>2026-08-04</x:v>
      </x:c>
    </x:row>
    <x:row r="105" ht="56" customHeight="1">
      <x:c r="A105" s="369" t="str">
        <x:v>B31-F100</x:v>
      </x:c>
      <x:c r="B105" s="369" t="str">
        <x:v>PC-N70-MAX-CAND</x:v>
      </x:c>
      <x:c r="C105" s="369" t="str">
        <x:v>fast_charge_rate</x:v>
      </x:c>
      <x:c r="D105" s="369" t="str">
        <x:v>ENERGY</x:v>
      </x:c>
      <x:c r="E105" s="369" t="str">
        <x:v>TEXT</x:v>
      </x:c>
      <x:c r="F105" s="373" t="str"/>
      <x:c r="G105" s="369" t="str">
        <x:v>NOT_DISCLOSED</x:v>
      </x:c>
      <x:c r="H105" s="369" t="str"/>
      <x:c r="I105" s="369" t="str">
        <x:v>NOT_DISCLOSED</x:v>
      </x:c>
      <x:c r="J105" s="369" t="str">
        <x:v>NOT_EVIDENCED</x:v>
      </x:c>
      <x:c r="K105" s="369" t="str">
        <x:v>NOT_COMPARED</x:v>
      </x:c>
      <x:c r="L105" s="369" t="str">
        <x:v>DIRECT_CLAIM</x:v>
      </x:c>
      <x:c r="M105" s="369" t="str"/>
      <x:c r="N105" s="369" t="str">
        <x:v>B31-C120</x:v>
      </x:c>
      <x:c r="O105" s="369" t="str">
        <x:f>IF(AND(I105="STANDARD_AT_RELEASE",T105="NONE"),"TRUE","FALSE")</x:f>
        <x:v>FALSE</x:v>
      </x:c>
      <x:c r="P105" s="369" t="str">
        <x:f>IF(AND(J105="STANDARD_CURRENT",T105="NONE"),"TRUE","FALSE")</x:f>
        <x:v>FALSE</x:v>
      </x:c>
      <x:c r="Q105" s="369" t="str">
        <x:v>ENERGY_SYSTEM</x:v>
      </x:c>
      <x:c r="R105" s="369" t="str">
        <x:v>DC_ENERGY_fast_charge_rate</x:v>
      </x:c>
      <x:c r="S105" s="369" t="str"/>
      <x:c r="T105" s="369" t="str">
        <x:v>NONE</x:v>
      </x:c>
      <x:c r="U105" s="369" t="str">
        <x:v>2026-08-04</x:v>
      </x:c>
    </x:row>
    <x:row r="106" ht="56" customHeight="1">
      <x:c r="A106" s="19" t="str">
        <x:v>B31-F101</x:v>
      </x:c>
      <x:c r="B106" s="19" t="str">
        <x:v>PC-N70-MAX-CAND</x:v>
      </x:c>
      <x:c r="C106" s="19" t="str">
        <x:v>suspension_layout</x:v>
      </x:c>
      <x:c r="D106" s="19" t="str">
        <x:v>CHASSIS</x:v>
      </x:c>
      <x:c r="E106" s="19" t="str">
        <x:v>TEXT</x:v>
      </x:c>
      <x:c r="F106" s="152" t="str"/>
      <x:c r="G106" s="19" t="str">
        <x:v>NOT_DISCLOSED</x:v>
      </x:c>
      <x:c r="H106" s="19" t="str"/>
      <x:c r="I106" s="19" t="str">
        <x:v>NOT_DISCLOSED</x:v>
      </x:c>
      <x:c r="J106" s="19" t="str">
        <x:v>NOT_EVIDENCED</x:v>
      </x:c>
      <x:c r="K106" s="19" t="str">
        <x:v>NOT_COMPARED</x:v>
      </x:c>
      <x:c r="L106" s="19" t="str">
        <x:v>DIRECT_CLAIM</x:v>
      </x:c>
      <x:c r="M106" s="19" t="str"/>
      <x:c r="N106" s="19" t="str">
        <x:v>B31-C121</x:v>
      </x:c>
      <x:c r="O106" s="19" t="str">
        <x:f>IF(AND(I106="STANDARD_AT_RELEASE",T106="NONE"),"TRUE","FALSE")</x:f>
        <x:v>FALSE</x:v>
      </x:c>
      <x:c r="P106" s="19" t="str">
        <x:f>IF(AND(J106="STANDARD_CURRENT",T106="NONE"),"TRUE","FALSE")</x:f>
        <x:v>FALSE</x:v>
      </x:c>
      <x:c r="Q106" s="19" t="str">
        <x:v>CHASSIS_HARDWARE</x:v>
      </x:c>
      <x:c r="R106" s="19" t="str">
        <x:v>DC_CHASSIS_SUSPENSION</x:v>
      </x:c>
      <x:c r="S106" s="19" t="str"/>
      <x:c r="T106" s="19" t="str">
        <x:v>NONE</x:v>
      </x:c>
      <x:c r="U106" s="19" t="str">
        <x:v>2026-08-04</x:v>
      </x:c>
    </x:row>
    <x:row r="107" ht="56" customHeight="1">
      <x:c r="A107" s="369" t="str">
        <x:v>B31-F102</x:v>
      </x:c>
      <x:c r="B107" s="369" t="str">
        <x:v>PC-N70-MAX-CAND</x:v>
      </x:c>
      <x:c r="C107" s="369" t="str">
        <x:v>tire_spec</x:v>
      </x:c>
      <x:c r="D107" s="369" t="str">
        <x:v>CHASSIS</x:v>
      </x:c>
      <x:c r="E107" s="369" t="str">
        <x:v>TEXT</x:v>
      </x:c>
      <x:c r="F107" s="373" t="str"/>
      <x:c r="G107" s="369" t="str">
        <x:v>NOT_DISCLOSED</x:v>
      </x:c>
      <x:c r="H107" s="369" t="str"/>
      <x:c r="I107" s="369" t="str">
        <x:v>NOT_DISCLOSED</x:v>
      </x:c>
      <x:c r="J107" s="369" t="str">
        <x:v>NOT_EVIDENCED</x:v>
      </x:c>
      <x:c r="K107" s="369" t="str">
        <x:v>NOT_COMPARED</x:v>
      </x:c>
      <x:c r="L107" s="369" t="str">
        <x:v>DIRECT_CLAIM</x:v>
      </x:c>
      <x:c r="M107" s="369" t="str"/>
      <x:c r="N107" s="369" t="str">
        <x:v>B31-C122</x:v>
      </x:c>
      <x:c r="O107" s="369" t="str">
        <x:f>IF(AND(I107="STANDARD_AT_RELEASE",T107="NONE"),"TRUE","FALSE")</x:f>
        <x:v>FALSE</x:v>
      </x:c>
      <x:c r="P107" s="369" t="str">
        <x:f>IF(AND(J107="STANDARD_CURRENT",T107="NONE"),"TRUE","FALSE")</x:f>
        <x:v>FALSE</x:v>
      </x:c>
      <x:c r="Q107" s="369" t="str">
        <x:v>CHASSIS_HARDWARE</x:v>
      </x:c>
      <x:c r="R107" s="369" t="str">
        <x:v>DC_CHASSIS_tire_spec</x:v>
      </x:c>
      <x:c r="S107" s="369" t="str"/>
      <x:c r="T107" s="369" t="str">
        <x:v>NONE</x:v>
      </x:c>
      <x:c r="U107" s="369" t="str">
        <x:v>2026-08-04</x:v>
      </x:c>
    </x:row>
    <x:row r="108" ht="56" customHeight="1">
      <x:c r="A108" s="19" t="str">
        <x:v>B31-F103</x:v>
      </x:c>
      <x:c r="B108" s="19" t="str">
        <x:v>PC-N70-MAX-CAND</x:v>
      </x:c>
      <x:c r="C108" s="19" t="str">
        <x:v>brake_hardware</x:v>
      </x:c>
      <x:c r="D108" s="19" t="str">
        <x:v>CHASSIS</x:v>
      </x:c>
      <x:c r="E108" s="19" t="str">
        <x:v>TEXT</x:v>
      </x:c>
      <x:c r="F108" s="152" t="str"/>
      <x:c r="G108" s="19" t="str">
        <x:v>NOT_DISCLOSED</x:v>
      </x:c>
      <x:c r="H108" s="19" t="str"/>
      <x:c r="I108" s="19" t="str">
        <x:v>NOT_DISCLOSED</x:v>
      </x:c>
      <x:c r="J108" s="19" t="str">
        <x:v>NOT_EVIDENCED</x:v>
      </x:c>
      <x:c r="K108" s="19" t="str">
        <x:v>NOT_COMPARED</x:v>
      </x:c>
      <x:c r="L108" s="19" t="str">
        <x:v>DIRECT_CLAIM</x:v>
      </x:c>
      <x:c r="M108" s="19" t="str"/>
      <x:c r="N108" s="19" t="str">
        <x:v>B31-C123</x:v>
      </x:c>
      <x:c r="O108" s="19" t="str">
        <x:f>IF(AND(I108="STANDARD_AT_RELEASE",T108="NONE"),"TRUE","FALSE")</x:f>
        <x:v>FALSE</x:v>
      </x:c>
      <x:c r="P108" s="19" t="str">
        <x:f>IF(AND(J108="STANDARD_CURRENT",T108="NONE"),"TRUE","FALSE")</x:f>
        <x:v>FALSE</x:v>
      </x:c>
      <x:c r="Q108" s="19" t="str">
        <x:v>CHASSIS_HARDWARE</x:v>
      </x:c>
      <x:c r="R108" s="19" t="str">
        <x:v>DC_CHASSIS_brake_hardware</x:v>
      </x:c>
      <x:c r="S108" s="19" t="str"/>
      <x:c r="T108" s="19" t="str">
        <x:v>NONE</x:v>
      </x:c>
      <x:c r="U108" s="19" t="str">
        <x:v>2026-08-04</x:v>
      </x:c>
    </x:row>
    <x:row r="109" ht="56" customHeight="1">
      <x:c r="A109" s="369" t="str">
        <x:v>B31-F104</x:v>
      </x:c>
      <x:c r="B109" s="369" t="str">
        <x:v>PC-N70-MAX-CAND</x:v>
      </x:c>
      <x:c r="C109" s="369" t="str">
        <x:v>trunk_standard</x:v>
      </x:c>
      <x:c r="D109" s="369" t="str">
        <x:v>BODY_SPACE</x:v>
      </x:c>
      <x:c r="E109" s="369" t="str">
        <x:v>TEXT</x:v>
      </x:c>
      <x:c r="F109" s="373" t="str"/>
      <x:c r="G109" s="369" t="str">
        <x:v>NOT_DISCLOSED</x:v>
      </x:c>
      <x:c r="H109" s="369" t="str"/>
      <x:c r="I109" s="369" t="str">
        <x:v>NOT_DISCLOSED</x:v>
      </x:c>
      <x:c r="J109" s="369" t="str">
        <x:v>NOT_EVIDENCED</x:v>
      </x:c>
      <x:c r="K109" s="369" t="str">
        <x:v>NOT_COMPARED</x:v>
      </x:c>
      <x:c r="L109" s="369" t="str">
        <x:v>DIRECT_CLAIM</x:v>
      </x:c>
      <x:c r="M109" s="369" t="str"/>
      <x:c r="N109" s="369" t="str">
        <x:v>B31-C124</x:v>
      </x:c>
      <x:c r="O109" s="369" t="str">
        <x:f>IF(AND(I109="STANDARD_AT_RELEASE",T109="NONE"),"TRUE","FALSE")</x:f>
        <x:v>FALSE</x:v>
      </x:c>
      <x:c r="P109" s="369" t="str">
        <x:f>IF(AND(J109="STANDARD_CURRENT",T109="NONE"),"TRUE","FALSE")</x:f>
        <x:v>FALSE</x:v>
      </x:c>
      <x:c r="Q109" s="369" t="str">
        <x:v>BODY_SPACE_SAFETY</x:v>
      </x:c>
      <x:c r="R109" s="369" t="str">
        <x:v>DC_BODY_SPACE_trunk_standard</x:v>
      </x:c>
      <x:c r="S109" s="369" t="str"/>
      <x:c r="T109" s="369" t="str">
        <x:v>NONE</x:v>
      </x:c>
      <x:c r="U109" s="369" t="str">
        <x:v>2026-08-04</x:v>
      </x:c>
    </x:row>
    <x:row r="110" ht="56" customHeight="1">
      <x:c r="A110" s="19" t="str">
        <x:v>B31-F105</x:v>
      </x:c>
      <x:c r="B110" s="19" t="str">
        <x:v>PC-N70-MAX-CAND</x:v>
      </x:c>
      <x:c r="C110" s="19" t="str">
        <x:v>row2_space_max</x:v>
      </x:c>
      <x:c r="D110" s="19" t="str">
        <x:v>BODY_SPACE</x:v>
      </x:c>
      <x:c r="E110" s="19" t="str">
        <x:v>TEXT</x:v>
      </x:c>
      <x:c r="F110" s="152" t="str"/>
      <x:c r="G110" s="19" t="str">
        <x:v>NOT_DISCLOSED</x:v>
      </x:c>
      <x:c r="H110" s="19" t="str"/>
      <x:c r="I110" s="19" t="str">
        <x:v>NOT_DISCLOSED</x:v>
      </x:c>
      <x:c r="J110" s="19" t="str">
        <x:v>NOT_EVIDENCED</x:v>
      </x:c>
      <x:c r="K110" s="19" t="str">
        <x:v>NOT_COMPARED</x:v>
      </x:c>
      <x:c r="L110" s="19" t="str">
        <x:v>DIRECT_CLAIM</x:v>
      </x:c>
      <x:c r="M110" s="19" t="str"/>
      <x:c r="N110" s="19" t="str">
        <x:v>B31-C125</x:v>
      </x:c>
      <x:c r="O110" s="19" t="str">
        <x:f>IF(AND(I110="STANDARD_AT_RELEASE",T110="NONE"),"TRUE","FALSE")</x:f>
        <x:v>FALSE</x:v>
      </x:c>
      <x:c r="P110" s="19" t="str">
        <x:f>IF(AND(J110="STANDARD_CURRENT",T110="NONE"),"TRUE","FALSE")</x:f>
        <x:v>FALSE</x:v>
      </x:c>
      <x:c r="Q110" s="19" t="str">
        <x:v>BODY_SPACE_SAFETY</x:v>
      </x:c>
      <x:c r="R110" s="19" t="str">
        <x:v>DC_BODY_SPACE_row2_space_max</x:v>
      </x:c>
      <x:c r="S110" s="19" t="str"/>
      <x:c r="T110" s="19" t="str">
        <x:v>NONE</x:v>
      </x:c>
      <x:c r="U110" s="19" t="str">
        <x:v>2026-08-04</x:v>
      </x:c>
    </x:row>
    <x:row r="111" ht="56" customHeight="1">
      <x:c r="A111" s="369" t="str">
        <x:v>B31-F106</x:v>
      </x:c>
      <x:c r="B111" s="369" t="str">
        <x:v>PC-N70-MAX-CAND</x:v>
      </x:c>
      <x:c r="C111" s="369" t="str">
        <x:v>front_swivel_seats</x:v>
      </x:c>
      <x:c r="D111" s="369" t="str">
        <x:v>COMFORT</x:v>
      </x:c>
      <x:c r="E111" s="369" t="str">
        <x:v>TEXT</x:v>
      </x:c>
      <x:c r="F111" s="373" t="str"/>
      <x:c r="G111" s="369" t="str">
        <x:v>NOT_DISCLOSED</x:v>
      </x:c>
      <x:c r="H111" s="369" t="str"/>
      <x:c r="I111" s="369" t="str">
        <x:v>NOT_DISCLOSED</x:v>
      </x:c>
      <x:c r="J111" s="369" t="str">
        <x:v>NOT_EVIDENCED</x:v>
      </x:c>
      <x:c r="K111" s="369" t="str">
        <x:v>NOT_COMPARED</x:v>
      </x:c>
      <x:c r="L111" s="369" t="str">
        <x:v>DIRECT_CLAIM</x:v>
      </x:c>
      <x:c r="M111" s="369" t="str"/>
      <x:c r="N111" s="369" t="str">
        <x:v>B31-C126</x:v>
      </x:c>
      <x:c r="O111" s="369" t="str">
        <x:f>IF(AND(I111="STANDARD_AT_RELEASE",T111="NONE"),"TRUE","FALSE")</x:f>
        <x:v>FALSE</x:v>
      </x:c>
      <x:c r="P111" s="369" t="str">
        <x:f>IF(AND(J111="STANDARD_CURRENT",T111="NONE"),"TRUE","FALSE")</x:f>
        <x:v>FALSE</x:v>
      </x:c>
      <x:c r="Q111" s="369" t="str">
        <x:v>CABIN_COMFORT</x:v>
      </x:c>
      <x:c r="R111" s="369" t="str">
        <x:v>DC_COMFORT_front_swivel_seats</x:v>
      </x:c>
      <x:c r="S111" s="369" t="str"/>
      <x:c r="T111" s="369" t="str">
        <x:v>NONE</x:v>
      </x:c>
      <x:c r="U111" s="369" t="str">
        <x:v>2026-08-04</x:v>
      </x:c>
    </x:row>
    <x:row r="112" ht="56" customHeight="1">
      <x:c r="A112" s="19" t="str">
        <x:v>B31-F107</x:v>
      </x:c>
      <x:c r="B112" s="19" t="str">
        <x:v>PC-N70-MAX-CAND</x:v>
      </x:c>
      <x:c r="C112" s="19" t="str">
        <x:v>zero_gravity_seats</x:v>
      </x:c>
      <x:c r="D112" s="19" t="str">
        <x:v>COMFORT</x:v>
      </x:c>
      <x:c r="E112" s="19" t="str">
        <x:v>TEXT</x:v>
      </x:c>
      <x:c r="F112" s="152" t="str"/>
      <x:c r="G112" s="19" t="str">
        <x:v>NOT_DISCLOSED</x:v>
      </x:c>
      <x:c r="H112" s="19" t="str"/>
      <x:c r="I112" s="19" t="str">
        <x:v>NOT_DISCLOSED</x:v>
      </x:c>
      <x:c r="J112" s="19" t="str">
        <x:v>NOT_EVIDENCED</x:v>
      </x:c>
      <x:c r="K112" s="19" t="str">
        <x:v>NOT_COMPARED</x:v>
      </x:c>
      <x:c r="L112" s="19" t="str">
        <x:v>DIRECT_CLAIM</x:v>
      </x:c>
      <x:c r="M112" s="19" t="str"/>
      <x:c r="N112" s="19" t="str">
        <x:v>B31-C127</x:v>
      </x:c>
      <x:c r="O112" s="19" t="str">
        <x:f>IF(AND(I112="STANDARD_AT_RELEASE",T112="NONE"),"TRUE","FALSE")</x:f>
        <x:v>FALSE</x:v>
      </x:c>
      <x:c r="P112" s="19" t="str">
        <x:f>IF(AND(J112="STANDARD_CURRENT",T112="NONE"),"TRUE","FALSE")</x:f>
        <x:v>FALSE</x:v>
      </x:c>
      <x:c r="Q112" s="19" t="str">
        <x:v>CABIN_COMFORT</x:v>
      </x:c>
      <x:c r="R112" s="19" t="str">
        <x:v>DC_COMFORT_zero_gravity_seats</x:v>
      </x:c>
      <x:c r="S112" s="19" t="str"/>
      <x:c r="T112" s="19" t="str">
        <x:v>NONE</x:v>
      </x:c>
      <x:c r="U112" s="19" t="str">
        <x:v>2026-08-04</x:v>
      </x:c>
    </x:row>
    <x:row r="113" ht="56" customHeight="1">
      <x:c r="A113" s="369" t="str">
        <x:v>B31-F108</x:v>
      </x:c>
      <x:c r="B113" s="369" t="str">
        <x:v>PC-N70-MAX-CAND</x:v>
      </x:c>
      <x:c r="C113" s="369" t="str">
        <x:v>fridge_capacity</x:v>
      </x:c>
      <x:c r="D113" s="369" t="str">
        <x:v>CABIN</x:v>
      </x:c>
      <x:c r="E113" s="369" t="str">
        <x:v>TEXT</x:v>
      </x:c>
      <x:c r="F113" s="373" t="str"/>
      <x:c r="G113" s="369" t="str">
        <x:v>NOT_DISCLOSED</x:v>
      </x:c>
      <x:c r="H113" s="369" t="str"/>
      <x:c r="I113" s="369" t="str">
        <x:v>NOT_DISCLOSED</x:v>
      </x:c>
      <x:c r="J113" s="369" t="str">
        <x:v>NOT_EVIDENCED</x:v>
      </x:c>
      <x:c r="K113" s="369" t="str">
        <x:v>NOT_COMPARED</x:v>
      </x:c>
      <x:c r="L113" s="369" t="str">
        <x:v>DIRECT_CLAIM</x:v>
      </x:c>
      <x:c r="M113" s="369" t="str"/>
      <x:c r="N113" s="369" t="str">
        <x:v>B31-C128</x:v>
      </x:c>
      <x:c r="O113" s="369" t="str">
        <x:f>IF(AND(I113="STANDARD_AT_RELEASE",T113="NONE"),"TRUE","FALSE")</x:f>
        <x:v>FALSE</x:v>
      </x:c>
      <x:c r="P113" s="369" t="str">
        <x:f>IF(AND(J113="STANDARD_CURRENT",T113="NONE"),"TRUE","FALSE")</x:f>
        <x:v>FALSE</x:v>
      </x:c>
      <x:c r="Q113" s="369" t="str">
        <x:v>CABIN_COMFORT</x:v>
      </x:c>
      <x:c r="R113" s="369" t="str">
        <x:v>DC_CABIN_fridge_capacity</x:v>
      </x:c>
      <x:c r="S113" s="369" t="str"/>
      <x:c r="T113" s="369" t="str">
        <x:v>NONE</x:v>
      </x:c>
      <x:c r="U113" s="369" t="str">
        <x:v>2026-08-04</x:v>
      </x:c>
    </x:row>
    <x:row r="114" ht="56" customHeight="1">
      <x:c r="A114" s="19" t="str">
        <x:v>B31-F109</x:v>
      </x:c>
      <x:c r="B114" s="19" t="str">
        <x:v>PC-N70-MAX-CAND</x:v>
      </x:c>
      <x:c r="C114" s="19" t="str">
        <x:v>rear_entertainment_screen</x:v>
      </x:c>
      <x:c r="D114" s="19" t="str">
        <x:v>CABIN</x:v>
      </x:c>
      <x:c r="E114" s="19" t="str">
        <x:v>TEXT</x:v>
      </x:c>
      <x:c r="F114" s="152" t="str"/>
      <x:c r="G114" s="19" t="str">
        <x:v>NOT_DISCLOSED</x:v>
      </x:c>
      <x:c r="H114" s="19" t="str"/>
      <x:c r="I114" s="19" t="str">
        <x:v>NOT_DISCLOSED</x:v>
      </x:c>
      <x:c r="J114" s="19" t="str">
        <x:v>NOT_EVIDENCED</x:v>
      </x:c>
      <x:c r="K114" s="19" t="str">
        <x:v>NOT_COMPARED</x:v>
      </x:c>
      <x:c r="L114" s="19" t="str">
        <x:v>DIRECT_CLAIM</x:v>
      </x:c>
      <x:c r="M114" s="19" t="str"/>
      <x:c r="N114" s="19" t="str">
        <x:v>B31-C129</x:v>
      </x:c>
      <x:c r="O114" s="19" t="str">
        <x:f>IF(AND(I114="STANDARD_AT_RELEASE",T114="NONE"),"TRUE","FALSE")</x:f>
        <x:v>FALSE</x:v>
      </x:c>
      <x:c r="P114" s="19" t="str">
        <x:f>IF(AND(J114="STANDARD_CURRENT",T114="NONE"),"TRUE","FALSE")</x:f>
        <x:v>FALSE</x:v>
      </x:c>
      <x:c r="Q114" s="19" t="str">
        <x:v>CABIN_COMFORT</x:v>
      </x:c>
      <x:c r="R114" s="19" t="str">
        <x:v>DC_CABIN_rear_entertainment_screen</x:v>
      </x:c>
      <x:c r="S114" s="19" t="str"/>
      <x:c r="T114" s="19" t="str">
        <x:v>NONE</x:v>
      </x:c>
      <x:c r="U114" s="19" t="str">
        <x:v>2026-08-04</x:v>
      </x:c>
    </x:row>
    <x:row r="115" ht="56" customHeight="1">
      <x:c r="A115" s="369" t="str">
        <x:v>B31-F110</x:v>
      </x:c>
      <x:c r="B115" s="369" t="str">
        <x:v>PC-N70-MAX-CAND</x:v>
      </x:c>
      <x:c r="C115" s="369" t="str">
        <x:v>airbag_count</x:v>
      </x:c>
      <x:c r="D115" s="369" t="str">
        <x:v>SAFETY</x:v>
      </x:c>
      <x:c r="E115" s="369" t="str">
        <x:v>TEXT</x:v>
      </x:c>
      <x:c r="F115" s="373" t="str"/>
      <x:c r="G115" s="369" t="str">
        <x:v>NOT_DISCLOSED</x:v>
      </x:c>
      <x:c r="H115" s="369" t="str"/>
      <x:c r="I115" s="369" t="str">
        <x:v>NOT_DISCLOSED</x:v>
      </x:c>
      <x:c r="J115" s="369" t="str">
        <x:v>NOT_EVIDENCED</x:v>
      </x:c>
      <x:c r="K115" s="369" t="str">
        <x:v>NOT_COMPARED</x:v>
      </x:c>
      <x:c r="L115" s="369" t="str">
        <x:v>DIRECT_CLAIM</x:v>
      </x:c>
      <x:c r="M115" s="369" t="str"/>
      <x:c r="N115" s="369" t="str">
        <x:v>B31-C130</x:v>
      </x:c>
      <x:c r="O115" s="369" t="str">
        <x:f>IF(AND(I115="STANDARD_AT_RELEASE",T115="NONE"),"TRUE","FALSE")</x:f>
        <x:v>FALSE</x:v>
      </x:c>
      <x:c r="P115" s="369" t="str">
        <x:f>IF(AND(J115="STANDARD_CURRENT",T115="NONE"),"TRUE","FALSE")</x:f>
        <x:v>FALSE</x:v>
      </x:c>
      <x:c r="Q115" s="369" t="str">
        <x:v>OTHER</x:v>
      </x:c>
      <x:c r="R115" s="369" t="str">
        <x:v>DC_SAFETY_airbag_count</x:v>
      </x:c>
      <x:c r="S115" s="369" t="str"/>
      <x:c r="T115" s="369" t="str">
        <x:v>NONE</x:v>
      </x:c>
      <x:c r="U115" s="369" t="str">
        <x:v>2026-08-04</x:v>
      </x:c>
    </x:row>
    <x:row r="116" ht="56" customHeight="1">
      <x:c r="A116" s="19" t="str">
        <x:v>B31-F111</x:v>
      </x:c>
      <x:c r="B116" s="19" t="str">
        <x:v>PC-N70-MAX-CAND</x:v>
      </x:c>
      <x:c r="C116" s="19" t="str">
        <x:v>rear_solid_state_lidar</x:v>
      </x:c>
      <x:c r="D116" s="19" t="str">
        <x:v>ADAS</x:v>
      </x:c>
      <x:c r="E116" s="19" t="str">
        <x:v>TEXT</x:v>
      </x:c>
      <x:c r="F116" s="152" t="str"/>
      <x:c r="G116" s="19" t="str">
        <x:v>NOT_DISCLOSED</x:v>
      </x:c>
      <x:c r="H116" s="19" t="str"/>
      <x:c r="I116" s="19" t="str">
        <x:v>NOT_DISCLOSED</x:v>
      </x:c>
      <x:c r="J116" s="19" t="str">
        <x:v>NOT_EVIDENCED</x:v>
      </x:c>
      <x:c r="K116" s="19" t="str">
        <x:v>NOT_COMPARED</x:v>
      </x:c>
      <x:c r="L116" s="19" t="str">
        <x:v>DIRECT_CLAIM</x:v>
      </x:c>
      <x:c r="M116" s="19" t="str"/>
      <x:c r="N116" s="19" t="str">
        <x:v>B31-C131</x:v>
      </x:c>
      <x:c r="O116" s="19" t="str">
        <x:f>IF(AND(I116="STANDARD_AT_RELEASE",T116="NONE"),"TRUE","FALSE")</x:f>
        <x:v>FALSE</x:v>
      </x:c>
      <x:c r="P116" s="19" t="str">
        <x:f>IF(AND(J116="STANDARD_CURRENT",T116="NONE"),"TRUE","FALSE")</x:f>
        <x:v>FALSE</x:v>
      </x:c>
      <x:c r="Q116" s="19" t="str">
        <x:v>INTELLIGENCE_EE</x:v>
      </x:c>
      <x:c r="R116" s="19" t="str">
        <x:v>DC_ADAS_STACK</x:v>
      </x:c>
      <x:c r="S116" s="19" t="str"/>
      <x:c r="T116" s="19" t="str">
        <x:v>NONE</x:v>
      </x:c>
      <x:c r="U116" s="19" t="str">
        <x:v>2026-08-04</x:v>
      </x:c>
    </x:row>
    <x:row r="117" ht="56" customHeight="1">
      <x:c r="A117" s="369" t="str">
        <x:v>B31-F112</x:v>
      </x:c>
      <x:c r="B117" s="369" t="str">
        <x:v>PC-N70-MAX-CAND</x:v>
      </x:c>
      <x:c r="C117" s="369" t="str">
        <x:v>speaker_count</x:v>
      </x:c>
      <x:c r="D117" s="369" t="str">
        <x:v>CABIN</x:v>
      </x:c>
      <x:c r="E117" s="369" t="str">
        <x:v>TEXT</x:v>
      </x:c>
      <x:c r="F117" s="373" t="str"/>
      <x:c r="G117" s="369" t="str">
        <x:v>NOT_DISCLOSED</x:v>
      </x:c>
      <x:c r="H117" s="369" t="str"/>
      <x:c r="I117" s="369" t="str">
        <x:v>NOT_DISCLOSED</x:v>
      </x:c>
      <x:c r="J117" s="369" t="str">
        <x:v>NOT_EVIDENCED</x:v>
      </x:c>
      <x:c r="K117" s="369" t="str">
        <x:v>NOT_COMPARED</x:v>
      </x:c>
      <x:c r="L117" s="369" t="str">
        <x:v>DIRECT_CLAIM</x:v>
      </x:c>
      <x:c r="M117" s="369" t="str"/>
      <x:c r="N117" s="369" t="str">
        <x:v>B31-C132</x:v>
      </x:c>
      <x:c r="O117" s="369" t="str">
        <x:f>IF(AND(I117="STANDARD_AT_RELEASE",T117="NONE"),"TRUE","FALSE")</x:f>
        <x:v>FALSE</x:v>
      </x:c>
      <x:c r="P117" s="369" t="str">
        <x:f>IF(AND(J117="STANDARD_CURRENT",T117="NONE"),"TRUE","FALSE")</x:f>
        <x:v>FALSE</x:v>
      </x:c>
      <x:c r="Q117" s="369" t="str">
        <x:v>CABIN_COMFORT</x:v>
      </x:c>
      <x:c r="R117" s="369" t="str">
        <x:v>DC_CABIN_speaker_count</x:v>
      </x:c>
      <x:c r="S117" s="369" t="str"/>
      <x:c r="T117" s="369" t="str">
        <x:v>NONE</x:v>
      </x:c>
      <x:c r="U117" s="369" t="str">
        <x:v>2026-08-04</x:v>
      </x:c>
    </x:row>
    <x:row r="118" ht="56" customHeight="1">
      <x:c r="A118" s="19" t="str">
        <x:v>B31-F113</x:v>
      </x:c>
      <x:c r="B118" s="19" t="str">
        <x:v>PC-N70-MAX-CAND</x:v>
      </x:c>
      <x:c r="C118" s="19" t="str">
        <x:v>xiaomi_had</x:v>
      </x:c>
      <x:c r="D118" s="19" t="str">
        <x:v>ADAS</x:v>
      </x:c>
      <x:c r="E118" s="19" t="str">
        <x:v>TEXT</x:v>
      </x:c>
      <x:c r="F118" s="152" t="str"/>
      <x:c r="G118" s="19" t="str">
        <x:v>小米HAD / 满配辅助驾驶</x:v>
      </x:c>
      <x:c r="H118" s="19" t="str"/>
      <x:c r="I118" s="19" t="str">
        <x:v>STANDARD_AT_RELEASE</x:v>
      </x:c>
      <x:c r="J118" s="19" t="str">
        <x:v>NOT_EVIDENCED</x:v>
      </x:c>
      <x:c r="K118" s="19" t="str">
        <x:v>NOT_COMPARED</x:v>
      </x:c>
      <x:c r="L118" s="19" t="str">
        <x:v>PROPAGATED_SCOPE_CLAIM</x:v>
      </x:c>
      <x:c r="M118" s="19" t="str">
        <x:v>B31-C029</x:v>
      </x:c>
      <x:c r="N118" s="19" t="str">
        <x:v>B31-C029</x:v>
      </x:c>
      <x:c r="O118" s="19" t="str">
        <x:f>IF(AND(I118="STANDARD_AT_RELEASE",T118="NONE"),"TRUE","FALSE")</x:f>
        <x:v>TRUE</x:v>
      </x:c>
      <x:c r="P118" s="19" t="str">
        <x:f>IF(AND(J118="STANDARD_CURRENT",T118="NONE"),"TRUE","FALSE")</x:f>
        <x:v>FALSE</x:v>
      </x:c>
      <x:c r="Q118" s="19" t="str">
        <x:v>INTELLIGENCE_EE</x:v>
      </x:c>
      <x:c r="R118" s="19" t="str">
        <x:v>DC_ADAS_STACK</x:v>
      </x:c>
      <x:c r="S118" s="19" t="str"/>
      <x:c r="T118" s="19" t="str">
        <x:v>NONE</x:v>
      </x:c>
      <x:c r="U118" s="19" t="str">
        <x:v>2026-08-04</x:v>
      </x:c>
    </x:row>
    <x:row r="119" ht="56" customHeight="1">
      <x:c r="A119" s="369" t="str">
        <x:v>B31-F114</x:v>
      </x:c>
      <x:c r="B119" s="369" t="str">
        <x:v>PC-N90-MAX-CAND</x:v>
      </x:c>
      <x:c r="C119" s="369" t="str">
        <x:v>xiaomi_had</x:v>
      </x:c>
      <x:c r="D119" s="369" t="str">
        <x:v>ADAS</x:v>
      </x:c>
      <x:c r="E119" s="369" t="str">
        <x:v>TEXT</x:v>
      </x:c>
      <x:c r="F119" s="373" t="str"/>
      <x:c r="G119" s="369" t="str">
        <x:v>小米HAD / 满配辅助驾驶</x:v>
      </x:c>
      <x:c r="H119" s="369" t="str"/>
      <x:c r="I119" s="369" t="str">
        <x:v>STANDARD_AT_RELEASE</x:v>
      </x:c>
      <x:c r="J119" s="369" t="str">
        <x:v>NOT_EVIDENCED</x:v>
      </x:c>
      <x:c r="K119" s="369" t="str">
        <x:v>NOT_COMPARED</x:v>
      </x:c>
      <x:c r="L119" s="369" t="str">
        <x:v>PROPAGATED_SCOPE_CLAIM</x:v>
      </x:c>
      <x:c r="M119" s="369" t="str">
        <x:v>B31-C029</x:v>
      </x:c>
      <x:c r="N119" s="369" t="str">
        <x:v>B31-C029</x:v>
      </x:c>
      <x:c r="O119" s="369" t="str">
        <x:f>IF(AND(I119="STANDARD_AT_RELEASE",T119="NONE"),"TRUE","FALSE")</x:f>
        <x:v>TRUE</x:v>
      </x:c>
      <x:c r="P119" s="369" t="str">
        <x:f>IF(AND(J119="STANDARD_CURRENT",T119="NONE"),"TRUE","FALSE")</x:f>
        <x:v>FALSE</x:v>
      </x:c>
      <x:c r="Q119" s="369" t="str">
        <x:v>INTELLIGENCE_EE</x:v>
      </x:c>
      <x:c r="R119" s="369" t="str">
        <x:v>DC_ADAS_STACK</x:v>
      </x:c>
      <x:c r="S119" s="369" t="str"/>
      <x:c r="T119" s="369" t="str">
        <x:v>NONE</x:v>
      </x:c>
      <x:c r="U119" s="369" t="str">
        <x:v>2026-08-04</x:v>
      </x:c>
    </x:row>
    <x:row r="120" ht="56" customHeight="1">
      <x:c r="A120" s="19" t="str">
        <x:v>B31-F115</x:v>
      </x:c>
      <x:c r="B120" s="19" t="str">
        <x:v>PC-N70-MAX-CAND</x:v>
      </x:c>
      <x:c r="C120" s="19" t="str">
        <x:v>super_xiaoai</x:v>
      </x:c>
      <x:c r="D120" s="19" t="str">
        <x:v>CABIN</x:v>
      </x:c>
      <x:c r="E120" s="19" t="str">
        <x:v>TEXT</x:v>
      </x:c>
      <x:c r="F120" s="152" t="str"/>
      <x:c r="G120" s="19" t="str">
        <x:v>超级小爱</x:v>
      </x:c>
      <x:c r="H120" s="19" t="str"/>
      <x:c r="I120" s="19" t="str">
        <x:v>STANDARD_AT_RELEASE</x:v>
      </x:c>
      <x:c r="J120" s="19" t="str">
        <x:v>NOT_EVIDENCED</x:v>
      </x:c>
      <x:c r="K120" s="19" t="str">
        <x:v>NOT_COMPARED</x:v>
      </x:c>
      <x:c r="L120" s="19" t="str">
        <x:v>PROPAGATED_SCOPE_CLAIM</x:v>
      </x:c>
      <x:c r="M120" s="19" t="str">
        <x:v>B31-C030</x:v>
      </x:c>
      <x:c r="N120" s="19" t="str">
        <x:v>B31-C030</x:v>
      </x:c>
      <x:c r="O120" s="19" t="str">
        <x:f>IF(AND(I120="STANDARD_AT_RELEASE",T120="NONE"),"TRUE","FALSE")</x:f>
        <x:v>TRUE</x:v>
      </x:c>
      <x:c r="P120" s="19" t="str">
        <x:f>IF(AND(J120="STANDARD_CURRENT",T120="NONE"),"TRUE","FALSE")</x:f>
        <x:v>FALSE</x:v>
      </x:c>
      <x:c r="Q120" s="19" t="str">
        <x:v>CABIN_COMFORT</x:v>
      </x:c>
      <x:c r="R120" s="19" t="str">
        <x:v>DC_EE_CABIN</x:v>
      </x:c>
      <x:c r="S120" s="19" t="str"/>
      <x:c r="T120" s="19" t="str">
        <x:v>NONE</x:v>
      </x:c>
      <x:c r="U120" s="19" t="str">
        <x:v>2026-08-04</x:v>
      </x:c>
    </x:row>
    <x:row r="121" ht="56" customHeight="1">
      <x:c r="A121" s="369" t="str">
        <x:v>B31-F116</x:v>
      </x:c>
      <x:c r="B121" s="369" t="str">
        <x:v>PC-N90-MAX-CAND</x:v>
      </x:c>
      <x:c r="C121" s="369" t="str">
        <x:v>super_xiaoai</x:v>
      </x:c>
      <x:c r="D121" s="369" t="str">
        <x:v>CABIN</x:v>
      </x:c>
      <x:c r="E121" s="369" t="str">
        <x:v>TEXT</x:v>
      </x:c>
      <x:c r="F121" s="373" t="str"/>
      <x:c r="G121" s="369" t="str">
        <x:v>超级小爱</x:v>
      </x:c>
      <x:c r="H121" s="369" t="str"/>
      <x:c r="I121" s="369" t="str">
        <x:v>STANDARD_AT_RELEASE</x:v>
      </x:c>
      <x:c r="J121" s="369" t="str">
        <x:v>NOT_EVIDENCED</x:v>
      </x:c>
      <x:c r="K121" s="369" t="str">
        <x:v>NOT_COMPARED</x:v>
      </x:c>
      <x:c r="L121" s="369" t="str">
        <x:v>PROPAGATED_SCOPE_CLAIM</x:v>
      </x:c>
      <x:c r="M121" s="369" t="str">
        <x:v>B31-C030</x:v>
      </x:c>
      <x:c r="N121" s="369" t="str">
        <x:v>B31-C030</x:v>
      </x:c>
      <x:c r="O121" s="369" t="str">
        <x:f>IF(AND(I121="STANDARD_AT_RELEASE",T121="NONE"),"TRUE","FALSE")</x:f>
        <x:v>TRUE</x:v>
      </x:c>
      <x:c r="P121" s="369" t="str">
        <x:f>IF(AND(J121="STANDARD_CURRENT",T121="NONE"),"TRUE","FALSE")</x:f>
        <x:v>FALSE</x:v>
      </x:c>
      <x:c r="Q121" s="369" t="str">
        <x:v>CABIN_COMFORT</x:v>
      </x:c>
      <x:c r="R121" s="369" t="str">
        <x:v>DC_EE_CABIN</x:v>
      </x:c>
      <x:c r="S121" s="369" t="str"/>
      <x:c r="T121" s="369" t="str">
        <x:v>NONE</x:v>
      </x:c>
      <x:c r="U121" s="369" t="str">
        <x:v>2026-08-04</x:v>
      </x:c>
    </x:row>
    <x:row r="122" ht="56" customHeight="1">
      <x:c r="A122" s="19" t="str">
        <x:v>B31-F117</x:v>
      </x:c>
      <x:c r="B122" s="19" t="str">
        <x:v>PC-N70-MAX-CAND</x:v>
      </x:c>
      <x:c r="C122" s="19" t="str">
        <x:v>wading_mode</x:v>
      </x:c>
      <x:c r="D122" s="19" t="str">
        <x:v>SAFETY</x:v>
      </x:c>
      <x:c r="E122" s="19" t="str">
        <x:v>TEXT</x:v>
      </x:c>
      <x:c r="F122" s="152" t="str"/>
      <x:c r="G122" s="19" t="str">
        <x:v>涉水模式</x:v>
      </x:c>
      <x:c r="H122" s="19" t="str"/>
      <x:c r="I122" s="19" t="str">
        <x:v>STANDARD_AT_RELEASE</x:v>
      </x:c>
      <x:c r="J122" s="19" t="str">
        <x:v>NOT_EVIDENCED</x:v>
      </x:c>
      <x:c r="K122" s="19" t="str">
        <x:v>NOT_COMPARED</x:v>
      </x:c>
      <x:c r="L122" s="19" t="str">
        <x:v>PROPAGATED_SCOPE_CLAIM</x:v>
      </x:c>
      <x:c r="M122" s="19" t="str">
        <x:v>B31-C031</x:v>
      </x:c>
      <x:c r="N122" s="19" t="str">
        <x:v>B31-C031</x:v>
      </x:c>
      <x:c r="O122" s="19" t="str">
        <x:f>IF(AND(I122="STANDARD_AT_RELEASE",T122="NONE"),"TRUE","FALSE")</x:f>
        <x:v>TRUE</x:v>
      </x:c>
      <x:c r="P122" s="19" t="str">
        <x:f>IF(AND(J122="STANDARD_CURRENT",T122="NONE"),"TRUE","FALSE")</x:f>
        <x:v>FALSE</x:v>
      </x:c>
      <x:c r="Q122" s="19" t="str">
        <x:v>OTHER</x:v>
      </x:c>
      <x:c r="R122" s="19" t="str">
        <x:v>DC_SAFETY_wading_mode</x:v>
      </x:c>
      <x:c r="S122" s="19" t="str"/>
      <x:c r="T122" s="19" t="str">
        <x:v>NONE</x:v>
      </x:c>
      <x:c r="U122" s="19" t="str">
        <x:v>2026-08-04</x:v>
      </x:c>
    </x:row>
    <x:row r="123" ht="56" customHeight="1">
      <x:c r="A123" s="369" t="str">
        <x:v>B31-F118</x:v>
      </x:c>
      <x:c r="B123" s="369" t="str">
        <x:v>PC-N90-MAX-CAND</x:v>
      </x:c>
      <x:c r="C123" s="369" t="str">
        <x:v>wading_mode</x:v>
      </x:c>
      <x:c r="D123" s="369" t="str">
        <x:v>SAFETY</x:v>
      </x:c>
      <x:c r="E123" s="369" t="str">
        <x:v>TEXT</x:v>
      </x:c>
      <x:c r="F123" s="373" t="str"/>
      <x:c r="G123" s="369" t="str">
        <x:v>涉水模式</x:v>
      </x:c>
      <x:c r="H123" s="369" t="str"/>
      <x:c r="I123" s="369" t="str">
        <x:v>STANDARD_AT_RELEASE</x:v>
      </x:c>
      <x:c r="J123" s="369" t="str">
        <x:v>NOT_EVIDENCED</x:v>
      </x:c>
      <x:c r="K123" s="369" t="str">
        <x:v>NOT_COMPARED</x:v>
      </x:c>
      <x:c r="L123" s="369" t="str">
        <x:v>PROPAGATED_SCOPE_CLAIM</x:v>
      </x:c>
      <x:c r="M123" s="369" t="str">
        <x:v>B31-C031</x:v>
      </x:c>
      <x:c r="N123" s="369" t="str">
        <x:v>B31-C031</x:v>
      </x:c>
      <x:c r="O123" s="369" t="str">
        <x:f>IF(AND(I123="STANDARD_AT_RELEASE",T123="NONE"),"TRUE","FALSE")</x:f>
        <x:v>TRUE</x:v>
      </x:c>
      <x:c r="P123" s="369" t="str">
        <x:f>IF(AND(J123="STANDARD_CURRENT",T123="NONE"),"TRUE","FALSE")</x:f>
        <x:v>FALSE</x:v>
      </x:c>
      <x:c r="Q123" s="369" t="str">
        <x:v>OTHER</x:v>
      </x:c>
      <x:c r="R123" s="369" t="str">
        <x:v>DC_SAFETY_wading_mode</x:v>
      </x:c>
      <x:c r="S123" s="369" t="str"/>
      <x:c r="T123" s="369" t="str">
        <x:v>NONE</x:v>
      </x:c>
      <x:c r="U123" s="369" t="str">
        <x:v>2026-08-04</x:v>
      </x:c>
    </x:row>
    <x:row r="124" ht="56" customHeight="1">
      <x:c r="A124" s="19" t="str">
        <x:v>B31-F119</x:v>
      </x:c>
      <x:c r="B124" s="19" t="str">
        <x:v>PC-N70-MAX-CAND</x:v>
      </x:c>
      <x:c r="C124" s="19" t="str">
        <x:v>hyperos_cabin</x:v>
      </x:c>
      <x:c r="D124" s="19" t="str">
        <x:v>CABIN</x:v>
      </x:c>
      <x:c r="E124" s="19" t="str">
        <x:v>TEXT</x:v>
      </x:c>
      <x:c r="F124" s="152" t="str"/>
      <x:c r="G124" s="19" t="str">
        <x:v>小米澎湃智能座舱</x:v>
      </x:c>
      <x:c r="H124" s="19" t="str"/>
      <x:c r="I124" s="19" t="str">
        <x:v>SERIES_CAPABILITY</x:v>
      </x:c>
      <x:c r="J124" s="19" t="str">
        <x:v>NOT_EVIDENCED</x:v>
      </x:c>
      <x:c r="K124" s="19" t="str">
        <x:v>NOT_COMPARED</x:v>
      </x:c>
      <x:c r="L124" s="19" t="str">
        <x:v>PROPAGATED_SCOPE_CLAIM</x:v>
      </x:c>
      <x:c r="M124" s="19" t="str">
        <x:v>B31-C032</x:v>
      </x:c>
      <x:c r="N124" s="19" t="str">
        <x:v>B31-C032</x:v>
      </x:c>
      <x:c r="O124" s="19" t="str">
        <x:f>IF(AND(I124="STANDARD_AT_RELEASE",T124="NONE"),"TRUE","FALSE")</x:f>
        <x:v>FALSE</x:v>
      </x:c>
      <x:c r="P124" s="19" t="str">
        <x:f>IF(AND(J124="STANDARD_CURRENT",T124="NONE"),"TRUE","FALSE")</x:f>
        <x:v>FALSE</x:v>
      </x:c>
      <x:c r="Q124" s="19" t="str">
        <x:v>CABIN_COMFORT</x:v>
      </x:c>
      <x:c r="R124" s="19" t="str">
        <x:v>DC_EE_CABIN</x:v>
      </x:c>
      <x:c r="S124" s="19" t="str"/>
      <x:c r="T124" s="19" t="str">
        <x:v>NONE</x:v>
      </x:c>
      <x:c r="U124" s="19" t="str">
        <x:v>2026-08-04</x:v>
      </x:c>
    </x:row>
    <x:row r="125" ht="56" customHeight="1">
      <x:c r="A125" s="369" t="str">
        <x:v>B31-F120</x:v>
      </x:c>
      <x:c r="B125" s="369" t="str">
        <x:v>PC-N90-MAX-CAND</x:v>
      </x:c>
      <x:c r="C125" s="369" t="str">
        <x:v>hyperos_cabin</x:v>
      </x:c>
      <x:c r="D125" s="369" t="str">
        <x:v>CABIN</x:v>
      </x:c>
      <x:c r="E125" s="369" t="str">
        <x:v>TEXT</x:v>
      </x:c>
      <x:c r="F125" s="373" t="str"/>
      <x:c r="G125" s="369" t="str">
        <x:v>小米澎湃智能座舱</x:v>
      </x:c>
      <x:c r="H125" s="369" t="str"/>
      <x:c r="I125" s="369" t="str">
        <x:v>SERIES_CAPABILITY</x:v>
      </x:c>
      <x:c r="J125" s="369" t="str">
        <x:v>NOT_EVIDENCED</x:v>
      </x:c>
      <x:c r="K125" s="369" t="str">
        <x:v>NOT_COMPARED</x:v>
      </x:c>
      <x:c r="L125" s="369" t="str">
        <x:v>PROPAGATED_SCOPE_CLAIM</x:v>
      </x:c>
      <x:c r="M125" s="369" t="str">
        <x:v>B31-C032</x:v>
      </x:c>
      <x:c r="N125" s="369" t="str">
        <x:v>B31-C032</x:v>
      </x:c>
      <x:c r="O125" s="369" t="str">
        <x:f>IF(AND(I125="STANDARD_AT_RELEASE",T125="NONE"),"TRUE","FALSE")</x:f>
        <x:v>FALSE</x:v>
      </x:c>
      <x:c r="P125" s="369" t="str">
        <x:f>IF(AND(J125="STANDARD_CURRENT",T125="NONE"),"TRUE","FALSE")</x:f>
        <x:v>FALSE</x:v>
      </x:c>
      <x:c r="Q125" s="369" t="str">
        <x:v>CABIN_COMFORT</x:v>
      </x:c>
      <x:c r="R125" s="369" t="str">
        <x:v>DC_EE_CABIN</x:v>
      </x:c>
      <x:c r="S125" s="369" t="str"/>
      <x:c r="T125" s="369" t="str">
        <x:v>NONE</x:v>
      </x:c>
      <x:c r="U125" s="369" t="str">
        <x:v>2026-08-04</x:v>
      </x:c>
    </x:row>
    <x:row r="126" ht="56" customHeight="1">
      <x:c r="A126" s="19" t="str">
        <x:v>B31-F121</x:v>
      </x:c>
      <x:c r="B126" s="19" t="str">
        <x:v>PC-N70-MAX-CAND</x:v>
      </x:c>
      <x:c r="C126" s="19" t="str">
        <x:v>flat_floor_long_rails</x:v>
      </x:c>
      <x:c r="D126" s="19" t="str">
        <x:v>BODY_SPACE</x:v>
      </x:c>
      <x:c r="E126" s="19" t="str">
        <x:v>TEXT</x:v>
      </x:c>
      <x:c r="F126" s="152" t="str"/>
      <x:c r="G126" s="19" t="str">
        <x:v>贯穿纯平地板、方正格局、超长滑轨</x:v>
      </x:c>
      <x:c r="H126" s="19" t="str"/>
      <x:c r="I126" s="19" t="str">
        <x:v>SERIES_CAPABILITY</x:v>
      </x:c>
      <x:c r="J126" s="19" t="str">
        <x:v>NOT_EVIDENCED</x:v>
      </x:c>
      <x:c r="K126" s="19" t="str">
        <x:v>NOT_COMPARED</x:v>
      </x:c>
      <x:c r="L126" s="19" t="str">
        <x:v>PROPAGATED_SCOPE_CLAIM</x:v>
      </x:c>
      <x:c r="M126" s="19" t="str">
        <x:v>B31-C033</x:v>
      </x:c>
      <x:c r="N126" s="19" t="str">
        <x:v>B31-C033</x:v>
      </x:c>
      <x:c r="O126" s="19" t="str">
        <x:f>IF(AND(I126="STANDARD_AT_RELEASE",T126="NONE"),"TRUE","FALSE")</x:f>
        <x:v>FALSE</x:v>
      </x:c>
      <x:c r="P126" s="19" t="str">
        <x:f>IF(AND(J126="STANDARD_CURRENT",T126="NONE"),"TRUE","FALSE")</x:f>
        <x:v>FALSE</x:v>
      </x:c>
      <x:c r="Q126" s="19" t="str">
        <x:v>BODY_SPACE_SAFETY</x:v>
      </x:c>
      <x:c r="R126" s="19" t="str">
        <x:v>DC_BODY_SPACE_flat_floor_long_rails</x:v>
      </x:c>
      <x:c r="S126" s="19" t="str"/>
      <x:c r="T126" s="19" t="str">
        <x:v>NONE</x:v>
      </x:c>
      <x:c r="U126" s="19" t="str">
        <x:v>2026-08-04</x:v>
      </x:c>
    </x:row>
    <x:row r="127" ht="56" customHeight="1">
      <x:c r="A127" s="369" t="str">
        <x:v>B31-F122</x:v>
      </x:c>
      <x:c r="B127" s="369" t="str">
        <x:v>PC-N90-MAX-CAND</x:v>
      </x:c>
      <x:c r="C127" s="369" t="str">
        <x:v>flat_floor_long_rails</x:v>
      </x:c>
      <x:c r="D127" s="369" t="str">
        <x:v>BODY_SPACE</x:v>
      </x:c>
      <x:c r="E127" s="369" t="str">
        <x:v>TEXT</x:v>
      </x:c>
      <x:c r="F127" s="373" t="str"/>
      <x:c r="G127" s="369" t="str">
        <x:v>贯穿纯平地板、方正格局、超长滑轨</x:v>
      </x:c>
      <x:c r="H127" s="369" t="str"/>
      <x:c r="I127" s="369" t="str">
        <x:v>SERIES_CAPABILITY</x:v>
      </x:c>
      <x:c r="J127" s="369" t="str">
        <x:v>NOT_EVIDENCED</x:v>
      </x:c>
      <x:c r="K127" s="369" t="str">
        <x:v>NOT_COMPARED</x:v>
      </x:c>
      <x:c r="L127" s="369" t="str">
        <x:v>PROPAGATED_SCOPE_CLAIM</x:v>
      </x:c>
      <x:c r="M127" s="369" t="str">
        <x:v>B31-C033</x:v>
      </x:c>
      <x:c r="N127" s="369" t="str">
        <x:v>B31-C033</x:v>
      </x:c>
      <x:c r="O127" s="369" t="str">
        <x:f>IF(AND(I127="STANDARD_AT_RELEASE",T127="NONE"),"TRUE","FALSE")</x:f>
        <x:v>FALSE</x:v>
      </x:c>
      <x:c r="P127" s="369" t="str">
        <x:f>IF(AND(J127="STANDARD_CURRENT",T127="NONE"),"TRUE","FALSE")</x:f>
        <x:v>FALSE</x:v>
      </x:c>
      <x:c r="Q127" s="369" t="str">
        <x:v>BODY_SPACE_SAFETY</x:v>
      </x:c>
      <x:c r="R127" s="369" t="str">
        <x:v>DC_BODY_SPACE_flat_floor_long_rails</x:v>
      </x:c>
      <x:c r="S127" s="369" t="str"/>
      <x:c r="T127" s="369" t="str">
        <x:v>NONE</x:v>
      </x:c>
      <x:c r="U127" s="369" t="str">
        <x:v>2026-08-04</x:v>
      </x:c>
    </x:row>
  </x:sheetData>
  <x:mergeCells>
    <x:mergeCell ref="A1:U1"/>
    <x:mergeCell ref="A2:U2"/>
    <x:mergeCell ref="A3:U3"/>
  </x:mergeCells>
  <x:conditionalFormatting sqref="I6:T127">
    <x:cfRule type="containsText" dxfId="764" priority="1" operator="containsText" text="PASS"/>
    <x:cfRule type="containsText" dxfId="765" priority="2" operator="containsText" text="READY"/>
    <x:cfRule type="containsText" dxfId="766" priority="3" operator="containsText" text="TRUE"/>
    <x:cfRule type="containsText" dxfId="767" priority="4" operator="containsText" text="MATCH"/>
    <x:cfRule type="containsText" dxfId="768" priority="5" operator="containsText" text="STANDARD"/>
    <x:cfRule type="containsText" dxfId="769" priority="6" operator="containsText" text="ACCEPTED"/>
    <x:cfRule type="containsText" dxfId="770" priority="7" operator="containsText" text="OPTIONAL"/>
    <x:cfRule type="containsText" dxfId="771" priority="8" operator="containsText" text="SEPARATE_PURCHASE"/>
    <x:cfRule type="containsText" dxfId="772" priority="9" operator="containsText" text="EQUIPPED"/>
    <x:cfRule type="containsText" dxfId="773" priority="10" operator="containsText" text="PARTIAL"/>
    <x:cfRule type="containsText" dxfId="774" priority="11" operator="containsText" text="PENDING"/>
    <x:cfRule type="containsText" dxfId="775" priority="12" operator="containsText" text="NOT_DISCLOSED"/>
    <x:cfRule type="containsText" dxfId="776" priority="13" operator="containsText" text="NOT_EVIDENCED"/>
    <x:cfRule type="containsText" dxfId="777" priority="14" operator="containsText" text="NOT_COMPARABLE"/>
    <x:cfRule type="containsText" dxfId="778" priority="15" operator="containsText" text="PROVISIONAL"/>
    <x:cfRule type="containsText" dxfId="779" priority="16" operator="containsText" text="BLOCKED"/>
    <x:cfRule type="containsText" dxfId="780" priority="17" operator="containsText" text="FAIL"/>
    <x:cfRule type="containsText" dxfId="781" priority="18" operator="containsText" text="FALSE"/>
    <x:cfRule type="containsText" dxfId="782" priority="19" operator="containsText" text="CONFLICT"/>
    <x:cfRule type="containsText" dxfId="783" priority="20" operator="containsText" text="MISMATCH_HARD"/>
    <x:cfRule type="containsText" dxfId="784" priority="21" operator="containsText" text="REJECTED"/>
  </x:conditionalFormatting>
  <x:pageMargins left="0.7" right="0.7" top="0.75" bottom="0.75" header="0.3" footer="0.3"/>
</x:worksheet>
</file>

<file path=xl/worksheets/sheet5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9" hidden="0" customWidth="1"/>
    <x:col min="2" max="2" width="16" hidden="0" customWidth="1"/>
    <x:col min="3" max="3" width="25" hidden="0" customWidth="1"/>
    <x:col min="4" max="4" width="20" hidden="0" customWidth="1"/>
    <x:col min="5" max="5" width="28" hidden="0" customWidth="1"/>
    <x:col min="6" max="6" width="20" hidden="0" customWidth="1"/>
    <x:col min="7" max="7" width="28" hidden="0" customWidth="1"/>
    <x:col min="8" max="8" width="20" hidden="0" customWidth="1"/>
    <x:col min="9" max="9" width="27" hidden="0" customWidth="1"/>
    <x:col min="10" max="10" width="20" hidden="0" customWidth="1"/>
    <x:col min="11" max="11" width="34" hidden="0" customWidth="1"/>
    <x:col min="12" max="12" width="24" hidden="0" customWidth="1"/>
    <x:col min="13" max="13" width="24" hidden="0" customWidth="1"/>
    <x:col min="14" max="14" width="24" hidden="0" customWidth="1"/>
    <x:col min="15" max="15" width="24" hidden="0" customWidth="1"/>
    <x:col min="16" max="16" width="42" hidden="0" customWidth="1"/>
    <x:col min="17" max="17" width="14" hidden="0" customWidth="1"/>
    <x:col min="18" max="18" width="18" hidden="0" customWidth="1"/>
  </x:cols>
  <x:sheetData>
    <x:row r="1" ht="30" customHeight="1">
      <x:c r="A1" s="356" t="str">
        <x:v>52｜共通与差异矩阵</x:v>
      </x:c>
      <x:c r="B1" s="356"/>
      <x:c r="C1" s="356"/>
      <x:c r="D1" s="356"/>
      <x:c r="E1" s="356"/>
      <x:c r="F1" s="356"/>
      <x:c r="G1" s="356"/>
      <x:c r="H1" s="356"/>
      <x:c r="I1" s="356"/>
      <x:c r="J1" s="356"/>
      <x:c r="K1" s="356"/>
      <x:c r="L1" s="356"/>
      <x:c r="M1" s="356"/>
      <x:c r="N1" s="356"/>
      <x:c r="O1" s="356"/>
      <x:c r="P1" s="356"/>
      <x:c r="Q1" s="356"/>
      <x:c r="R1" s="356"/>
    </x:row>
    <x:row r="2" ht="22" customHeight="1">
      <x:c r="A2" s="359" t="str">
        <x:v>四个候选节点 × 发布时点/App双轴｜矩阵单元格由51表公式派生</x:v>
      </x:c>
      <x:c r="B2" s="359"/>
      <x:c r="C2" s="359"/>
      <x:c r="D2" s="359"/>
      <x:c r="E2" s="359"/>
      <x:c r="F2" s="359"/>
      <x:c r="G2" s="359"/>
      <x:c r="H2" s="359"/>
      <x:c r="I2" s="359"/>
      <x:c r="J2" s="359"/>
      <x:c r="K2" s="359"/>
      <x:c r="L2" s="359"/>
      <x:c r="M2" s="359"/>
      <x:c r="N2" s="359"/>
      <x:c r="O2" s="359"/>
      <x:c r="P2" s="359"/>
      <x:c r="Q2" s="359"/>
      <x:c r="R2" s="359"/>
    </x:row>
    <x:row r="3" ht="54" customHeight="1">
      <x:c r="A3" s="363" t="str">
        <x:v>N70低阶与升顶候选没有发布级配置事实，因此B1/B3默认UNRESOLVED；B2只比较N70 Max与N90 Max。状态相同不等于已证明全系共通，必须另有作用域级原文。</x:v>
      </x:c>
      <x:c r="B3" s="363"/>
      <x:c r="C3" s="363"/>
      <x:c r="D3" s="363"/>
      <x:c r="E3" s="363"/>
      <x:c r="F3" s="363"/>
      <x:c r="G3" s="363"/>
      <x:c r="H3" s="363"/>
      <x:c r="I3" s="363"/>
      <x:c r="J3" s="363"/>
      <x:c r="K3" s="363"/>
      <x:c r="L3" s="363"/>
      <x:c r="M3" s="363"/>
      <x:c r="N3" s="363"/>
      <x:c r="O3" s="363"/>
      <x:c r="P3" s="363"/>
      <x:c r="Q3" s="363"/>
      <x:c r="R3" s="363"/>
    </x:row>
    <x:row r="5" ht="62" customHeight="1">
      <x:c r="A5" s="368" t="str">
        <x:v>feature_code</x:v>
      </x:c>
      <x:c r="B5" s="368" t="str">
        <x:v>module</x:v>
      </x:c>
      <x:c r="C5" s="368" t="str">
        <x:v>N70低阶_release</x:v>
      </x:c>
      <x:c r="D5" s="368" t="str">
        <x:v>N70低阶_app</x:v>
      </x:c>
      <x:c r="E5" s="368" t="str">
        <x:v>N70Max_release</x:v>
      </x:c>
      <x:c r="F5" s="368" t="str">
        <x:v>N70Max_app</x:v>
      </x:c>
      <x:c r="G5" s="368" t="str">
        <x:v>N90Max_release</x:v>
      </x:c>
      <x:c r="H5" s="368" t="str">
        <x:v>N90Max_app</x:v>
      </x:c>
      <x:c r="I5" s="368" t="str">
        <x:v>升顶候选_release</x:v>
      </x:c>
      <x:c r="J5" s="368" t="str">
        <x:v>升顶候选_app</x:v>
      </x:c>
      <x:c r="K5" s="368" t="str">
        <x:v>common_scope_status</x:v>
      </x:c>
      <x:c r="L5" s="368" t="str">
        <x:v>B1低阶→N70Max</x:v>
      </x:c>
      <x:c r="M5" s="368" t="str">
        <x:v>B2 N70Max→N90Max</x:v>
      </x:c>
      <x:c r="N5" s="368" t="str">
        <x:v>B3 N90Max→升顶</x:v>
      </x:c>
      <x:c r="O5" s="368" t="str">
        <x:v>cost_driver_group</x:v>
      </x:c>
      <x:c r="P5" s="368" t="str">
        <x:v>double_count_key</x:v>
      </x:c>
      <x:c r="Q5" s="368" t="str">
        <x:v>claim_count</x:v>
      </x:c>
      <x:c r="R5" s="368" t="str">
        <x:v>conflict_status</x:v>
      </x:c>
    </x:row>
    <x:row r="6" ht="48" customHeight="1">
      <x:c r="A6" s="19" t="str">
        <x:v>adaptive_damper</x:v>
      </x:c>
      <x:c r="B6" s="19" t="str">
        <x:v>CHASSIS</x:v>
      </x:c>
      <x:c r="C6" s="19" t="str">
        <x:f>IF(COUNTIFS('51_版本配置事实'!$B$6:$B$127,"PC-N70-BASE-CAND",'51_版本配置事实'!$C$6:$C$127,$A6,'51_版本配置事实'!$T$6:$T$127,"&lt;&gt;NONE")&gt;0,"CONFLICTED",IF(COUNTIFS('51_版本配置事实'!$B$6:$B$127,"PC-N70-BASE-CAND",'51_版本配置事实'!$C$6:$C$127,$A6,'51_版本配置事实'!$I$6:$I$127,"STANDARD_AT_RELEASE")&gt;0,"STANDARD_AT_RELEASE",IF(COUNTIFS('51_版本配置事实'!$B$6:$B$127,"PC-N70-BASE-CAND",'51_版本配置事实'!$C$6:$C$127,$A6,'51_版本配置事实'!$I$6:$I$127,"OPTIONAL_AT_RELEASE")&gt;0,"OPTIONAL_AT_RELEASE",IF(COUNTIFS('51_版本配置事实'!$B$6:$B$127,"PC-N70-BASE-CAND",'51_版本配置事实'!$C$6:$C$127,$A6,'51_版本配置事实'!$I$6:$I$127,"SEPARATE_PURCHASE")&gt;0,"SEPARATE_PURCHASE",IF(COUNTIFS('51_版本配置事实'!$B$6:$B$127,"PC-N70-BASE-CAND",'51_版本配置事实'!$C$6:$C$127,$A6,'51_版本配置事实'!$I$6:$I$127,"EQUIPPED_STANDARD_UNCONFIRMED")&gt;0,"EQUIPPED_STANDARD_UNCONFIRMED",IF(COUNTIFS('51_版本配置事实'!$B$6:$B$127,"PC-N70-BASE-CAND",'51_版本配置事实'!$C$6:$C$127,$A6,'51_版本配置事实'!$I$6:$I$127,"SERIES_CAPABILITY")&gt;0,"SERIES_CAPABILITY",IF(COUNTIFS('51_版本配置事实'!$B$6:$B$127,"PC-N70-BASE-CAND",'51_版本配置事实'!$C$6:$C$127,$A6,'51_版本配置事实'!$I$6:$I$127,"NOT_DISCLOSED")&gt;0,"NOT_DISCLOSED","NOT_DISCLOSED")))))))</x:f>
        <x:v>NOT_DISCLOSED</x:v>
      </x:c>
      <x:c r="D6" s="19" t="str">
        <x:f>IF(COUNTIFS('51_版本配置事实'!$B$6:$B$127,"PC-N70-BASE-CAND",'51_版本配置事实'!$C$6:$C$127,$A6,'51_版本配置事实'!$J$6:$J$127,"STANDARD_CURRENT")&gt;0,"STANDARD_CURRENT","NOT_EVIDENCED")</x:f>
        <x:v>NOT_EVIDENCED</x:v>
      </x:c>
      <x:c r="E6" s="19" t="str">
        <x:f>IF(COUNTIFS('51_版本配置事实'!$B$6:$B$127,"PC-N70-MAX-CAND",'51_版本配置事实'!$C$6:$C$127,$A6,'51_版本配置事实'!$T$6:$T$127,"&lt;&gt;NONE")&gt;0,"CONFLICTED",IF(COUNTIFS('51_版本配置事实'!$B$6:$B$127,"PC-N70-MAX-CAND",'51_版本配置事实'!$C$6:$C$127,$A6,'51_版本配置事实'!$I$6:$I$127,"STANDARD_AT_RELEASE")&gt;0,"STANDARD_AT_RELEASE",IF(COUNTIFS('51_版本配置事实'!$B$6:$B$127,"PC-N70-MAX-CAND",'51_版本配置事实'!$C$6:$C$127,$A6,'51_版本配置事实'!$I$6:$I$127,"OPTIONAL_AT_RELEASE")&gt;0,"OPTIONAL_AT_RELEASE",IF(COUNTIFS('51_版本配置事实'!$B$6:$B$127,"PC-N70-MAX-CAND",'51_版本配置事实'!$C$6:$C$127,$A6,'51_版本配置事实'!$I$6:$I$127,"SEPARATE_PURCHASE")&gt;0,"SEPARATE_PURCHASE",IF(COUNTIFS('51_版本配置事实'!$B$6:$B$127,"PC-N70-MAX-CAND",'51_版本配置事实'!$C$6:$C$127,$A6,'51_版本配置事实'!$I$6:$I$127,"EQUIPPED_STANDARD_UNCONFIRMED")&gt;0,"EQUIPPED_STANDARD_UNCONFIRMED",IF(COUNTIFS('51_版本配置事实'!$B$6:$B$127,"PC-N70-MAX-CAND",'51_版本配置事实'!$C$6:$C$127,$A6,'51_版本配置事实'!$I$6:$I$127,"SERIES_CAPABILITY")&gt;0,"SERIES_CAPABILITY",IF(COUNTIFS('51_版本配置事实'!$B$6:$B$127,"PC-N70-MAX-CAND",'51_版本配置事实'!$C$6:$C$127,$A6,'51_版本配置事实'!$I$6:$I$127,"NOT_DISCLOSED")&gt;0,"NOT_DISCLOSED","NOT_DISCLOSED")))))))</x:f>
        <x:v>STANDARD_AT_RELEASE</x:v>
      </x:c>
      <x:c r="F6" s="19" t="str">
        <x:f>IF(COUNTIFS('51_版本配置事实'!$B$6:$B$127,"PC-N70-MAX-CAND",'51_版本配置事实'!$C$6:$C$127,$A6,'51_版本配置事实'!$J$6:$J$127,"STANDARD_CURRENT")&gt;0,"STANDARD_CURRENT","NOT_EVIDENCED")</x:f>
        <x:v>NOT_EVIDENCED</x:v>
      </x:c>
      <x:c r="G6" s="19" t="str">
        <x:f>IF(COUNTIFS('51_版本配置事实'!$B$6:$B$127,"PC-N90-MAX-CAND",'51_版本配置事实'!$C$6:$C$127,$A6,'51_版本配置事实'!$T$6:$T$127,"&lt;&gt;NONE")&gt;0,"CONFLICTED",IF(COUNTIFS('51_版本配置事实'!$B$6:$B$127,"PC-N90-MAX-CAND",'51_版本配置事实'!$C$6:$C$127,$A6,'51_版本配置事实'!$I$6:$I$127,"STANDARD_AT_RELEASE")&gt;0,"STANDARD_AT_RELEASE",IF(COUNTIFS('51_版本配置事实'!$B$6:$B$127,"PC-N90-MAX-CAND",'51_版本配置事实'!$C$6:$C$127,$A6,'51_版本配置事实'!$I$6:$I$127,"OPTIONAL_AT_RELEASE")&gt;0,"OPTIONAL_AT_RELEASE",IF(COUNTIFS('51_版本配置事实'!$B$6:$B$127,"PC-N90-MAX-CAND",'51_版本配置事实'!$C$6:$C$127,$A6,'51_版本配置事实'!$I$6:$I$127,"SEPARATE_PURCHASE")&gt;0,"SEPARATE_PURCHASE",IF(COUNTIFS('51_版本配置事实'!$B$6:$B$127,"PC-N90-MAX-CAND",'51_版本配置事实'!$C$6:$C$127,$A6,'51_版本配置事实'!$I$6:$I$127,"EQUIPPED_STANDARD_UNCONFIRMED")&gt;0,"EQUIPPED_STANDARD_UNCONFIRMED",IF(COUNTIFS('51_版本配置事实'!$B$6:$B$127,"PC-N90-MAX-CAND",'51_版本配置事实'!$C$6:$C$127,$A6,'51_版本配置事实'!$I$6:$I$127,"SERIES_CAPABILITY")&gt;0,"SERIES_CAPABILITY",IF(COUNTIFS('51_版本配置事实'!$B$6:$B$127,"PC-N90-MAX-CAND",'51_版本配置事实'!$C$6:$C$127,$A6,'51_版本配置事实'!$I$6:$I$127,"NOT_DISCLOSED")&gt;0,"NOT_DISCLOSED","NOT_DISCLOSED")))))))</x:f>
        <x:v>EQUIPPED_STANDARD_UNCONFIRMED</x:v>
      </x:c>
      <x:c r="H6" s="19" t="str">
        <x:f>IF(COUNTIFS('51_版本配置事实'!$B$6:$B$127,"PC-N90-MAX-CAND",'51_版本配置事实'!$C$6:$C$127,$A6,'51_版本配置事实'!$J$6:$J$127,"STANDARD_CURRENT")&gt;0,"STANDARD_CURRENT","NOT_EVIDENCED")</x:f>
        <x:v>NOT_EVIDENCED</x:v>
      </x:c>
      <x:c r="I6" s="19" t="str">
        <x:f>IF(COUNTIFS('51_版本配置事实'!$B$6:$B$127,"PC-N90-ROOF-CAND",'51_版本配置事实'!$C$6:$C$127,$A6,'51_版本配置事实'!$T$6:$T$127,"&lt;&gt;NONE")&gt;0,"CONFLICTED",IF(COUNTIFS('51_版本配置事实'!$B$6:$B$127,"PC-N90-ROOF-CAND",'51_版本配置事实'!$C$6:$C$127,$A6,'51_版本配置事实'!$I$6:$I$127,"STANDARD_AT_RELEASE")&gt;0,"STANDARD_AT_RELEASE",IF(COUNTIFS('51_版本配置事实'!$B$6:$B$127,"PC-N90-ROOF-CAND",'51_版本配置事实'!$C$6:$C$127,$A6,'51_版本配置事实'!$I$6:$I$127,"OPTIONAL_AT_RELEASE")&gt;0,"OPTIONAL_AT_RELEASE",IF(COUNTIFS('51_版本配置事实'!$B$6:$B$127,"PC-N90-ROOF-CAND",'51_版本配置事实'!$C$6:$C$127,$A6,'51_版本配置事实'!$I$6:$I$127,"SEPARATE_PURCHASE")&gt;0,"SEPARATE_PURCHASE",IF(COUNTIFS('51_版本配置事实'!$B$6:$B$127,"PC-N90-ROOF-CAND",'51_版本配置事实'!$C$6:$C$127,$A6,'51_版本配置事实'!$I$6:$I$127,"EQUIPPED_STANDARD_UNCONFIRMED")&gt;0,"EQUIPPED_STANDARD_UNCONFIRMED",IF(COUNTIFS('51_版本配置事实'!$B$6:$B$127,"PC-N90-ROOF-CAND",'51_版本配置事实'!$C$6:$C$127,$A6,'51_版本配置事实'!$I$6:$I$127,"SERIES_CAPABILITY")&gt;0,"SERIES_CAPABILITY",IF(COUNTIFS('51_版本配置事实'!$B$6:$B$127,"PC-N90-ROOF-CAND",'51_版本配置事实'!$C$6:$C$127,$A6,'51_版本配置事实'!$I$6:$I$127,"NOT_DISCLOSED")&gt;0,"NOT_DISCLOSED","NOT_DISCLOSED")))))))</x:f>
        <x:v>NOT_DISCLOSED</x:v>
      </x:c>
      <x:c r="J6" s="19" t="str">
        <x:f>IF(COUNTIFS('51_版本配置事实'!$B$6:$B$127,"PC-N90-ROOF-CAND",'51_版本配置事实'!$C$6:$C$127,$A6,'51_版本配置事实'!$J$6:$J$127,"STANDARD_CURRENT")&gt;0,"STANDARD_CURRENT","NOT_EVIDENCED")</x:f>
        <x:v>NOT_EVIDENCED</x:v>
      </x:c>
      <x:c r="K6" s="19" t="str">
        <x:f>IF(AND(E6=G6,E6&lt;&gt;"NOT_DISCLOSED",E6&lt;&gt;"CONFLICTED"),IF(COUNTIFS('50_发布会逐项主张'!$H$6:$H$137,$A6,'50_发布会逐项主张'!$O$6:$O$137,"ALL_PENGCHENG")&gt;0,"EXPLICIT_COMMON_ANNOUNCED_MAX","MATCHED_NOT_PROVED_COMMON"),"NOT_PROVED_COMMON")</x:f>
        <x:v>NOT_PROVED_COMMON</x:v>
      </x:c>
      <x:c r="L6" s="19" t="str">
        <x:f>IF(OR(C6="NOT_DISCLOSED",E6="NOT_DISCLOSED",C6="CONFLICTED",E6="CONFLICTED"),"UNRESOLVED",IF(C6=E6,"NO_CHANGE",IF(AND(C6="STANDARD_AT_RELEASE",E6="OPTIONAL_AT_RELEASE"),"STANDARD_TO_OPTIONAL",IF(AND(C6="OPTIONAL_AT_RELEASE",E6="STANDARD_AT_RELEASE"),"OPTIONAL_TO_STANDARD",IF(E6="STANDARD_AT_RELEASE","ADDED_STANDARD","REVIEW_CHANGE")))))</x:f>
        <x:v>UNRESOLVED</x:v>
      </x:c>
      <x:c r="M6" s="19" t="str">
        <x:f>IF(OR(E6="NOT_DISCLOSED",G6="NOT_DISCLOSED",E6="CONFLICTED",G6="CONFLICTED"),"UNRESOLVED",IF(E6=G6,"NO_CHANGE",IF(AND(E6="STANDARD_AT_RELEASE",G6="OPTIONAL_AT_RELEASE"),"STANDARD_TO_OPTIONAL",IF(AND(E6="OPTIONAL_AT_RELEASE",G6="STANDARD_AT_RELEASE"),"OPTIONAL_TO_STANDARD",IF(G6="STANDARD_AT_RELEASE","ADDED_STANDARD","REVIEW_CHANGE")))))</x:f>
        <x:v>REVIEW_CHANGE</x:v>
      </x:c>
      <x:c r="N6" s="19" t="str">
        <x:f>IF(OR(G6="NOT_DISCLOSED",I6="NOT_DISCLOSED",G6="CONFLICTED",I6="CONFLICTED"),"UNRESOLVED",IF(G6=I6,"NO_CHANGE",IF(AND(G6="STANDARD_AT_RELEASE",I6="OPTIONAL_AT_RELEASE"),"STANDARD_TO_OPTIONAL",IF(AND(G6="OPTIONAL_AT_RELEASE",I6="STANDARD_AT_RELEASE"),"OPTIONAL_TO_STANDARD",IF(I6="STANDARD_AT_RELEASE","ADDED_STANDARD","REVIEW_CHANGE")))))</x:f>
        <x:v>UNRESOLVED</x:v>
      </x:c>
      <x:c r="O6" s="19" t="str">
        <x:v>CHASSIS_HARDWARE</x:v>
      </x:c>
      <x:c r="P6" s="19" t="str">
        <x:v>DC_CHASSIS_SUSPENSION</x:v>
      </x:c>
      <x:c r="Q6" s="19" t="n">
        <x:f>COUNTIF('50_发布会逐项主张'!$H$6:$H$137,A6)</x:f>
        <x:v>2</x:v>
      </x:c>
      <x:c r="R6" s="19" t="str">
        <x:f>IF(COUNTIFS('50_发布会逐项主张'!$H$6:$H$137,A6,'50_发布会逐项主张'!$X$6:$X$137,"&lt;&gt;NONE")&gt;0,"CONFLICTED","NONE")</x:f>
        <x:v>NONE</x:v>
      </x:c>
    </x:row>
    <x:row r="7" ht="48" customHeight="1">
      <x:c r="A7" s="369" t="str">
        <x:v>air_suspension</x:v>
      </x:c>
      <x:c r="B7" s="369" t="str">
        <x:v>CHASSIS</x:v>
      </x:c>
      <x:c r="C7" s="369" t="str">
        <x:f>IF(COUNTIFS('51_版本配置事实'!$B$6:$B$127,"PC-N70-BASE-CAND",'51_版本配置事实'!$C$6:$C$127,$A7,'51_版本配置事实'!$T$6:$T$127,"&lt;&gt;NONE")&gt;0,"CONFLICTED",IF(COUNTIFS('51_版本配置事实'!$B$6:$B$127,"PC-N70-BASE-CAND",'51_版本配置事实'!$C$6:$C$127,$A7,'51_版本配置事实'!$I$6:$I$127,"STANDARD_AT_RELEASE")&gt;0,"STANDARD_AT_RELEASE",IF(COUNTIFS('51_版本配置事实'!$B$6:$B$127,"PC-N70-BASE-CAND",'51_版本配置事实'!$C$6:$C$127,$A7,'51_版本配置事实'!$I$6:$I$127,"OPTIONAL_AT_RELEASE")&gt;0,"OPTIONAL_AT_RELEASE",IF(COUNTIFS('51_版本配置事实'!$B$6:$B$127,"PC-N70-BASE-CAND",'51_版本配置事实'!$C$6:$C$127,$A7,'51_版本配置事实'!$I$6:$I$127,"SEPARATE_PURCHASE")&gt;0,"SEPARATE_PURCHASE",IF(COUNTIFS('51_版本配置事实'!$B$6:$B$127,"PC-N70-BASE-CAND",'51_版本配置事实'!$C$6:$C$127,$A7,'51_版本配置事实'!$I$6:$I$127,"EQUIPPED_STANDARD_UNCONFIRMED")&gt;0,"EQUIPPED_STANDARD_UNCONFIRMED",IF(COUNTIFS('51_版本配置事实'!$B$6:$B$127,"PC-N70-BASE-CAND",'51_版本配置事实'!$C$6:$C$127,$A7,'51_版本配置事实'!$I$6:$I$127,"SERIES_CAPABILITY")&gt;0,"SERIES_CAPABILITY",IF(COUNTIFS('51_版本配置事实'!$B$6:$B$127,"PC-N70-BASE-CAND",'51_版本配置事实'!$C$6:$C$127,$A7,'51_版本配置事实'!$I$6:$I$127,"NOT_DISCLOSED")&gt;0,"NOT_DISCLOSED","NOT_DISCLOSED")))))))</x:f>
        <x:v>NOT_DISCLOSED</x:v>
      </x:c>
      <x:c r="D7" s="369" t="str">
        <x:f>IF(COUNTIFS('51_版本配置事实'!$B$6:$B$127,"PC-N70-BASE-CAND",'51_版本配置事实'!$C$6:$C$127,$A7,'51_版本配置事实'!$J$6:$J$127,"STANDARD_CURRENT")&gt;0,"STANDARD_CURRENT","NOT_EVIDENCED")</x:f>
        <x:v>NOT_EVIDENCED</x:v>
      </x:c>
      <x:c r="E7" s="369" t="str">
        <x:f>IF(COUNTIFS('51_版本配置事实'!$B$6:$B$127,"PC-N70-MAX-CAND",'51_版本配置事实'!$C$6:$C$127,$A7,'51_版本配置事实'!$T$6:$T$127,"&lt;&gt;NONE")&gt;0,"CONFLICTED",IF(COUNTIFS('51_版本配置事实'!$B$6:$B$127,"PC-N70-MAX-CAND",'51_版本配置事实'!$C$6:$C$127,$A7,'51_版本配置事实'!$I$6:$I$127,"STANDARD_AT_RELEASE")&gt;0,"STANDARD_AT_RELEASE",IF(COUNTIFS('51_版本配置事实'!$B$6:$B$127,"PC-N70-MAX-CAND",'51_版本配置事实'!$C$6:$C$127,$A7,'51_版本配置事实'!$I$6:$I$127,"OPTIONAL_AT_RELEASE")&gt;0,"OPTIONAL_AT_RELEASE",IF(COUNTIFS('51_版本配置事实'!$B$6:$B$127,"PC-N70-MAX-CAND",'51_版本配置事实'!$C$6:$C$127,$A7,'51_版本配置事实'!$I$6:$I$127,"SEPARATE_PURCHASE")&gt;0,"SEPARATE_PURCHASE",IF(COUNTIFS('51_版本配置事实'!$B$6:$B$127,"PC-N70-MAX-CAND",'51_版本配置事实'!$C$6:$C$127,$A7,'51_版本配置事实'!$I$6:$I$127,"EQUIPPED_STANDARD_UNCONFIRMED")&gt;0,"EQUIPPED_STANDARD_UNCONFIRMED",IF(COUNTIFS('51_版本配置事实'!$B$6:$B$127,"PC-N70-MAX-CAND",'51_版本配置事实'!$C$6:$C$127,$A7,'51_版本配置事实'!$I$6:$I$127,"SERIES_CAPABILITY")&gt;0,"SERIES_CAPABILITY",IF(COUNTIFS('51_版本配置事实'!$B$6:$B$127,"PC-N70-MAX-CAND",'51_版本配置事实'!$C$6:$C$127,$A7,'51_版本配置事实'!$I$6:$I$127,"NOT_DISCLOSED")&gt;0,"NOT_DISCLOSED","NOT_DISCLOSED")))))))</x:f>
        <x:v>STANDARD_AT_RELEASE</x:v>
      </x:c>
      <x:c r="F7" s="369" t="str">
        <x:f>IF(COUNTIFS('51_版本配置事实'!$B$6:$B$127,"PC-N70-MAX-CAND",'51_版本配置事实'!$C$6:$C$127,$A7,'51_版本配置事实'!$J$6:$J$127,"STANDARD_CURRENT")&gt;0,"STANDARD_CURRENT","NOT_EVIDENCED")</x:f>
        <x:v>NOT_EVIDENCED</x:v>
      </x:c>
      <x:c r="G7" s="369" t="str">
        <x:f>IF(COUNTIFS('51_版本配置事实'!$B$6:$B$127,"PC-N90-MAX-CAND",'51_版本配置事实'!$C$6:$C$127,$A7,'51_版本配置事实'!$T$6:$T$127,"&lt;&gt;NONE")&gt;0,"CONFLICTED",IF(COUNTIFS('51_版本配置事实'!$B$6:$B$127,"PC-N90-MAX-CAND",'51_版本配置事实'!$C$6:$C$127,$A7,'51_版本配置事实'!$I$6:$I$127,"STANDARD_AT_RELEASE")&gt;0,"STANDARD_AT_RELEASE",IF(COUNTIFS('51_版本配置事实'!$B$6:$B$127,"PC-N90-MAX-CAND",'51_版本配置事实'!$C$6:$C$127,$A7,'51_版本配置事实'!$I$6:$I$127,"OPTIONAL_AT_RELEASE")&gt;0,"OPTIONAL_AT_RELEASE",IF(COUNTIFS('51_版本配置事实'!$B$6:$B$127,"PC-N90-MAX-CAND",'51_版本配置事实'!$C$6:$C$127,$A7,'51_版本配置事实'!$I$6:$I$127,"SEPARATE_PURCHASE")&gt;0,"SEPARATE_PURCHASE",IF(COUNTIFS('51_版本配置事实'!$B$6:$B$127,"PC-N90-MAX-CAND",'51_版本配置事实'!$C$6:$C$127,$A7,'51_版本配置事实'!$I$6:$I$127,"EQUIPPED_STANDARD_UNCONFIRMED")&gt;0,"EQUIPPED_STANDARD_UNCONFIRMED",IF(COUNTIFS('51_版本配置事实'!$B$6:$B$127,"PC-N90-MAX-CAND",'51_版本配置事实'!$C$6:$C$127,$A7,'51_版本配置事实'!$I$6:$I$127,"SERIES_CAPABILITY")&gt;0,"SERIES_CAPABILITY",IF(COUNTIFS('51_版本配置事实'!$B$6:$B$127,"PC-N90-MAX-CAND",'51_版本配置事实'!$C$6:$C$127,$A7,'51_版本配置事实'!$I$6:$I$127,"NOT_DISCLOSED")&gt;0,"NOT_DISCLOSED","NOT_DISCLOSED")))))))</x:f>
        <x:v>EQUIPPED_STANDARD_UNCONFIRMED</x:v>
      </x:c>
      <x:c r="H7" s="369" t="str">
        <x:f>IF(COUNTIFS('51_版本配置事实'!$B$6:$B$127,"PC-N90-MAX-CAND",'51_版本配置事实'!$C$6:$C$127,$A7,'51_版本配置事实'!$J$6:$J$127,"STANDARD_CURRENT")&gt;0,"STANDARD_CURRENT","NOT_EVIDENCED")</x:f>
        <x:v>NOT_EVIDENCED</x:v>
      </x:c>
      <x:c r="I7" s="369" t="str">
        <x:f>IF(COUNTIFS('51_版本配置事实'!$B$6:$B$127,"PC-N90-ROOF-CAND",'51_版本配置事实'!$C$6:$C$127,$A7,'51_版本配置事实'!$T$6:$T$127,"&lt;&gt;NONE")&gt;0,"CONFLICTED",IF(COUNTIFS('51_版本配置事实'!$B$6:$B$127,"PC-N90-ROOF-CAND",'51_版本配置事实'!$C$6:$C$127,$A7,'51_版本配置事实'!$I$6:$I$127,"STANDARD_AT_RELEASE")&gt;0,"STANDARD_AT_RELEASE",IF(COUNTIFS('51_版本配置事实'!$B$6:$B$127,"PC-N90-ROOF-CAND",'51_版本配置事实'!$C$6:$C$127,$A7,'51_版本配置事实'!$I$6:$I$127,"OPTIONAL_AT_RELEASE")&gt;0,"OPTIONAL_AT_RELEASE",IF(COUNTIFS('51_版本配置事实'!$B$6:$B$127,"PC-N90-ROOF-CAND",'51_版本配置事实'!$C$6:$C$127,$A7,'51_版本配置事实'!$I$6:$I$127,"SEPARATE_PURCHASE")&gt;0,"SEPARATE_PURCHASE",IF(COUNTIFS('51_版本配置事实'!$B$6:$B$127,"PC-N90-ROOF-CAND",'51_版本配置事实'!$C$6:$C$127,$A7,'51_版本配置事实'!$I$6:$I$127,"EQUIPPED_STANDARD_UNCONFIRMED")&gt;0,"EQUIPPED_STANDARD_UNCONFIRMED",IF(COUNTIFS('51_版本配置事实'!$B$6:$B$127,"PC-N90-ROOF-CAND",'51_版本配置事实'!$C$6:$C$127,$A7,'51_版本配置事实'!$I$6:$I$127,"SERIES_CAPABILITY")&gt;0,"SERIES_CAPABILITY",IF(COUNTIFS('51_版本配置事实'!$B$6:$B$127,"PC-N90-ROOF-CAND",'51_版本配置事实'!$C$6:$C$127,$A7,'51_版本配置事实'!$I$6:$I$127,"NOT_DISCLOSED")&gt;0,"NOT_DISCLOSED","NOT_DISCLOSED")))))))</x:f>
        <x:v>NOT_DISCLOSED</x:v>
      </x:c>
      <x:c r="J7" s="369" t="str">
        <x:f>IF(COUNTIFS('51_版本配置事实'!$B$6:$B$127,"PC-N90-ROOF-CAND",'51_版本配置事实'!$C$6:$C$127,$A7,'51_版本配置事实'!$J$6:$J$127,"STANDARD_CURRENT")&gt;0,"STANDARD_CURRENT","NOT_EVIDENCED")</x:f>
        <x:v>NOT_EVIDENCED</x:v>
      </x:c>
      <x:c r="K7" s="369" t="str">
        <x:f>IF(AND(E7=G7,E7&lt;&gt;"NOT_DISCLOSED",E7&lt;&gt;"CONFLICTED"),IF(COUNTIFS('50_发布会逐项主张'!$H$6:$H$137,$A7,'50_发布会逐项主张'!$O$6:$O$137,"ALL_PENGCHENG")&gt;0,"EXPLICIT_COMMON_ANNOUNCED_MAX","MATCHED_NOT_PROVED_COMMON"),"NOT_PROVED_COMMON")</x:f>
        <x:v>NOT_PROVED_COMMON</x:v>
      </x:c>
      <x:c r="L7" s="369" t="str">
        <x:f>IF(OR(C7="NOT_DISCLOSED",E7="NOT_DISCLOSED",C7="CONFLICTED",E7="CONFLICTED"),"UNRESOLVED",IF(C7=E7,"NO_CHANGE",IF(AND(C7="STANDARD_AT_RELEASE",E7="OPTIONAL_AT_RELEASE"),"STANDARD_TO_OPTIONAL",IF(AND(C7="OPTIONAL_AT_RELEASE",E7="STANDARD_AT_RELEASE"),"OPTIONAL_TO_STANDARD",IF(E7="STANDARD_AT_RELEASE","ADDED_STANDARD","REVIEW_CHANGE")))))</x:f>
        <x:v>UNRESOLVED</x:v>
      </x:c>
      <x:c r="M7" s="369" t="str">
        <x:f>IF(OR(E7="NOT_DISCLOSED",G7="NOT_DISCLOSED",E7="CONFLICTED",G7="CONFLICTED"),"UNRESOLVED",IF(E7=G7,"NO_CHANGE",IF(AND(E7="STANDARD_AT_RELEASE",G7="OPTIONAL_AT_RELEASE"),"STANDARD_TO_OPTIONAL",IF(AND(E7="OPTIONAL_AT_RELEASE",G7="STANDARD_AT_RELEASE"),"OPTIONAL_TO_STANDARD",IF(G7="STANDARD_AT_RELEASE","ADDED_STANDARD","REVIEW_CHANGE")))))</x:f>
        <x:v>REVIEW_CHANGE</x:v>
      </x:c>
      <x:c r="N7" s="369" t="str">
        <x:f>IF(OR(G7="NOT_DISCLOSED",I7="NOT_DISCLOSED",G7="CONFLICTED",I7="CONFLICTED"),"UNRESOLVED",IF(G7=I7,"NO_CHANGE",IF(AND(G7="STANDARD_AT_RELEASE",I7="OPTIONAL_AT_RELEASE"),"STANDARD_TO_OPTIONAL",IF(AND(G7="OPTIONAL_AT_RELEASE",I7="STANDARD_AT_RELEASE"),"OPTIONAL_TO_STANDARD",IF(I7="STANDARD_AT_RELEASE","ADDED_STANDARD","REVIEW_CHANGE")))))</x:f>
        <x:v>UNRESOLVED</x:v>
      </x:c>
      <x:c r="O7" s="369" t="str">
        <x:v>CHASSIS_HARDWARE</x:v>
      </x:c>
      <x:c r="P7" s="369" t="str">
        <x:v>DC_CHASSIS_SUSPENSION</x:v>
      </x:c>
      <x:c r="Q7" s="369" t="n">
        <x:f>COUNTIF('50_发布会逐项主张'!$H$6:$H$137,A7)</x:f>
        <x:v>2</x:v>
      </x:c>
      <x:c r="R7" s="369" t="str">
        <x:f>IF(COUNTIFS('50_发布会逐项主张'!$H$6:$H$137,A7,'50_发布会逐项主张'!$X$6:$X$137,"&lt;&gt;NONE")&gt;0,"CONFLICTED","NONE")</x:f>
        <x:v>NONE</x:v>
      </x:c>
    </x:row>
    <x:row r="8" ht="48" customHeight="1">
      <x:c r="A8" s="19" t="str">
        <x:v>airbag_count</x:v>
      </x:c>
      <x:c r="B8" s="19" t="str">
        <x:v>SAFETY</x:v>
      </x:c>
      <x:c r="C8" s="19" t="str">
        <x:f>IF(COUNTIFS('51_版本配置事实'!$B$6:$B$127,"PC-N70-BASE-CAND",'51_版本配置事实'!$C$6:$C$127,$A8,'51_版本配置事实'!$T$6:$T$127,"&lt;&gt;NONE")&gt;0,"CONFLICTED",IF(COUNTIFS('51_版本配置事实'!$B$6:$B$127,"PC-N70-BASE-CAND",'51_版本配置事实'!$C$6:$C$127,$A8,'51_版本配置事实'!$I$6:$I$127,"STANDARD_AT_RELEASE")&gt;0,"STANDARD_AT_RELEASE",IF(COUNTIFS('51_版本配置事实'!$B$6:$B$127,"PC-N70-BASE-CAND",'51_版本配置事实'!$C$6:$C$127,$A8,'51_版本配置事实'!$I$6:$I$127,"OPTIONAL_AT_RELEASE")&gt;0,"OPTIONAL_AT_RELEASE",IF(COUNTIFS('51_版本配置事实'!$B$6:$B$127,"PC-N70-BASE-CAND",'51_版本配置事实'!$C$6:$C$127,$A8,'51_版本配置事实'!$I$6:$I$127,"SEPARATE_PURCHASE")&gt;0,"SEPARATE_PURCHASE",IF(COUNTIFS('51_版本配置事实'!$B$6:$B$127,"PC-N70-BASE-CAND",'51_版本配置事实'!$C$6:$C$127,$A8,'51_版本配置事实'!$I$6:$I$127,"EQUIPPED_STANDARD_UNCONFIRMED")&gt;0,"EQUIPPED_STANDARD_UNCONFIRMED",IF(COUNTIFS('51_版本配置事实'!$B$6:$B$127,"PC-N70-BASE-CAND",'51_版本配置事实'!$C$6:$C$127,$A8,'51_版本配置事实'!$I$6:$I$127,"SERIES_CAPABILITY")&gt;0,"SERIES_CAPABILITY",IF(COUNTIFS('51_版本配置事实'!$B$6:$B$127,"PC-N70-BASE-CAND",'51_版本配置事实'!$C$6:$C$127,$A8,'51_版本配置事实'!$I$6:$I$127,"NOT_DISCLOSED")&gt;0,"NOT_DISCLOSED","NOT_DISCLOSED")))))))</x:f>
        <x:v>NOT_DISCLOSED</x:v>
      </x:c>
      <x:c r="D8" s="19" t="str">
        <x:f>IF(COUNTIFS('51_版本配置事实'!$B$6:$B$127,"PC-N70-BASE-CAND",'51_版本配置事实'!$C$6:$C$127,$A8,'51_版本配置事实'!$J$6:$J$127,"STANDARD_CURRENT")&gt;0,"STANDARD_CURRENT","NOT_EVIDENCED")</x:f>
        <x:v>NOT_EVIDENCED</x:v>
      </x:c>
      <x:c r="E8" s="19" t="str">
        <x:f>IF(COUNTIFS('51_版本配置事实'!$B$6:$B$127,"PC-N70-MAX-CAND",'51_版本配置事实'!$C$6:$C$127,$A8,'51_版本配置事实'!$T$6:$T$127,"&lt;&gt;NONE")&gt;0,"CONFLICTED",IF(COUNTIFS('51_版本配置事实'!$B$6:$B$127,"PC-N70-MAX-CAND",'51_版本配置事实'!$C$6:$C$127,$A8,'51_版本配置事实'!$I$6:$I$127,"STANDARD_AT_RELEASE")&gt;0,"STANDARD_AT_RELEASE",IF(COUNTIFS('51_版本配置事实'!$B$6:$B$127,"PC-N70-MAX-CAND",'51_版本配置事实'!$C$6:$C$127,$A8,'51_版本配置事实'!$I$6:$I$127,"OPTIONAL_AT_RELEASE")&gt;0,"OPTIONAL_AT_RELEASE",IF(COUNTIFS('51_版本配置事实'!$B$6:$B$127,"PC-N70-MAX-CAND",'51_版本配置事实'!$C$6:$C$127,$A8,'51_版本配置事实'!$I$6:$I$127,"SEPARATE_PURCHASE")&gt;0,"SEPARATE_PURCHASE",IF(COUNTIFS('51_版本配置事实'!$B$6:$B$127,"PC-N70-MAX-CAND",'51_版本配置事实'!$C$6:$C$127,$A8,'51_版本配置事实'!$I$6:$I$127,"EQUIPPED_STANDARD_UNCONFIRMED")&gt;0,"EQUIPPED_STANDARD_UNCONFIRMED",IF(COUNTIFS('51_版本配置事实'!$B$6:$B$127,"PC-N70-MAX-CAND",'51_版本配置事实'!$C$6:$C$127,$A8,'51_版本配置事实'!$I$6:$I$127,"SERIES_CAPABILITY")&gt;0,"SERIES_CAPABILITY",IF(COUNTIFS('51_版本配置事实'!$B$6:$B$127,"PC-N70-MAX-CAND",'51_版本配置事实'!$C$6:$C$127,$A8,'51_版本配置事实'!$I$6:$I$127,"NOT_DISCLOSED")&gt;0,"NOT_DISCLOSED","NOT_DISCLOSED")))))))</x:f>
        <x:v>NOT_DISCLOSED</x:v>
      </x:c>
      <x:c r="F8" s="19" t="str">
        <x:f>IF(COUNTIFS('51_版本配置事实'!$B$6:$B$127,"PC-N70-MAX-CAND",'51_版本配置事实'!$C$6:$C$127,$A8,'51_版本配置事实'!$J$6:$J$127,"STANDARD_CURRENT")&gt;0,"STANDARD_CURRENT","NOT_EVIDENCED")</x:f>
        <x:v>NOT_EVIDENCED</x:v>
      </x:c>
      <x:c r="G8" s="19" t="str">
        <x:f>IF(COUNTIFS('51_版本配置事实'!$B$6:$B$127,"PC-N90-MAX-CAND",'51_版本配置事实'!$C$6:$C$127,$A8,'51_版本配置事实'!$T$6:$T$127,"&lt;&gt;NONE")&gt;0,"CONFLICTED",IF(COUNTIFS('51_版本配置事实'!$B$6:$B$127,"PC-N90-MAX-CAND",'51_版本配置事实'!$C$6:$C$127,$A8,'51_版本配置事实'!$I$6:$I$127,"STANDARD_AT_RELEASE")&gt;0,"STANDARD_AT_RELEASE",IF(COUNTIFS('51_版本配置事实'!$B$6:$B$127,"PC-N90-MAX-CAND",'51_版本配置事实'!$C$6:$C$127,$A8,'51_版本配置事实'!$I$6:$I$127,"OPTIONAL_AT_RELEASE")&gt;0,"OPTIONAL_AT_RELEASE",IF(COUNTIFS('51_版本配置事实'!$B$6:$B$127,"PC-N90-MAX-CAND",'51_版本配置事实'!$C$6:$C$127,$A8,'51_版本配置事实'!$I$6:$I$127,"SEPARATE_PURCHASE")&gt;0,"SEPARATE_PURCHASE",IF(COUNTIFS('51_版本配置事实'!$B$6:$B$127,"PC-N90-MAX-CAND",'51_版本配置事实'!$C$6:$C$127,$A8,'51_版本配置事实'!$I$6:$I$127,"EQUIPPED_STANDARD_UNCONFIRMED")&gt;0,"EQUIPPED_STANDARD_UNCONFIRMED",IF(COUNTIFS('51_版本配置事实'!$B$6:$B$127,"PC-N90-MAX-CAND",'51_版本配置事实'!$C$6:$C$127,$A8,'51_版本配置事实'!$I$6:$I$127,"SERIES_CAPABILITY")&gt;0,"SERIES_CAPABILITY",IF(COUNTIFS('51_版本配置事实'!$B$6:$B$127,"PC-N90-MAX-CAND",'51_版本配置事实'!$C$6:$C$127,$A8,'51_版本配置事实'!$I$6:$I$127,"NOT_DISCLOSED")&gt;0,"NOT_DISCLOSED","NOT_DISCLOSED")))))))</x:f>
        <x:v>EQUIPPED_STANDARD_UNCONFIRMED</x:v>
      </x:c>
      <x:c r="H8" s="19" t="str">
        <x:f>IF(COUNTIFS('51_版本配置事实'!$B$6:$B$127,"PC-N90-MAX-CAND",'51_版本配置事实'!$C$6:$C$127,$A8,'51_版本配置事实'!$J$6:$J$127,"STANDARD_CURRENT")&gt;0,"STANDARD_CURRENT","NOT_EVIDENCED")</x:f>
        <x:v>NOT_EVIDENCED</x:v>
      </x:c>
      <x:c r="I8" s="19" t="str">
        <x:f>IF(COUNTIFS('51_版本配置事实'!$B$6:$B$127,"PC-N90-ROOF-CAND",'51_版本配置事实'!$C$6:$C$127,$A8,'51_版本配置事实'!$T$6:$T$127,"&lt;&gt;NONE")&gt;0,"CONFLICTED",IF(COUNTIFS('51_版本配置事实'!$B$6:$B$127,"PC-N90-ROOF-CAND",'51_版本配置事实'!$C$6:$C$127,$A8,'51_版本配置事实'!$I$6:$I$127,"STANDARD_AT_RELEASE")&gt;0,"STANDARD_AT_RELEASE",IF(COUNTIFS('51_版本配置事实'!$B$6:$B$127,"PC-N90-ROOF-CAND",'51_版本配置事实'!$C$6:$C$127,$A8,'51_版本配置事实'!$I$6:$I$127,"OPTIONAL_AT_RELEASE")&gt;0,"OPTIONAL_AT_RELEASE",IF(COUNTIFS('51_版本配置事实'!$B$6:$B$127,"PC-N90-ROOF-CAND",'51_版本配置事实'!$C$6:$C$127,$A8,'51_版本配置事实'!$I$6:$I$127,"SEPARATE_PURCHASE")&gt;0,"SEPARATE_PURCHASE",IF(COUNTIFS('51_版本配置事实'!$B$6:$B$127,"PC-N90-ROOF-CAND",'51_版本配置事实'!$C$6:$C$127,$A8,'51_版本配置事实'!$I$6:$I$127,"EQUIPPED_STANDARD_UNCONFIRMED")&gt;0,"EQUIPPED_STANDARD_UNCONFIRMED",IF(COUNTIFS('51_版本配置事实'!$B$6:$B$127,"PC-N90-ROOF-CAND",'51_版本配置事实'!$C$6:$C$127,$A8,'51_版本配置事实'!$I$6:$I$127,"SERIES_CAPABILITY")&gt;0,"SERIES_CAPABILITY",IF(COUNTIFS('51_版本配置事实'!$B$6:$B$127,"PC-N90-ROOF-CAND",'51_版本配置事实'!$C$6:$C$127,$A8,'51_版本配置事实'!$I$6:$I$127,"NOT_DISCLOSED")&gt;0,"NOT_DISCLOSED","NOT_DISCLOSED")))))))</x:f>
        <x:v>NOT_DISCLOSED</x:v>
      </x:c>
      <x:c r="J8" s="19" t="str">
        <x:f>IF(COUNTIFS('51_版本配置事实'!$B$6:$B$127,"PC-N90-ROOF-CAND",'51_版本配置事实'!$C$6:$C$127,$A8,'51_版本配置事实'!$J$6:$J$127,"STANDARD_CURRENT")&gt;0,"STANDARD_CURRENT","NOT_EVIDENCED")</x:f>
        <x:v>NOT_EVIDENCED</x:v>
      </x:c>
      <x:c r="K8" s="19" t="str">
        <x:f>IF(AND(E8=G8,E8&lt;&gt;"NOT_DISCLOSED",E8&lt;&gt;"CONFLICTED"),IF(COUNTIFS('50_发布会逐项主张'!$H$6:$H$137,$A8,'50_发布会逐项主张'!$O$6:$O$137,"ALL_PENGCHENG")&gt;0,"EXPLICIT_COMMON_ANNOUNCED_MAX","MATCHED_NOT_PROVED_COMMON"),"NOT_PROVED_COMMON")</x:f>
        <x:v>NOT_PROVED_COMMON</x:v>
      </x:c>
      <x:c r="L8" s="19" t="str">
        <x:f>IF(OR(C8="NOT_DISCLOSED",E8="NOT_DISCLOSED",C8="CONFLICTED",E8="CONFLICTED"),"UNRESOLVED",IF(C8=E8,"NO_CHANGE",IF(AND(C8="STANDARD_AT_RELEASE",E8="OPTIONAL_AT_RELEASE"),"STANDARD_TO_OPTIONAL",IF(AND(C8="OPTIONAL_AT_RELEASE",E8="STANDARD_AT_RELEASE"),"OPTIONAL_TO_STANDARD",IF(E8="STANDARD_AT_RELEASE","ADDED_STANDARD","REVIEW_CHANGE")))))</x:f>
        <x:v>UNRESOLVED</x:v>
      </x:c>
      <x:c r="M8" s="19" t="str">
        <x:f>IF(OR(E8="NOT_DISCLOSED",G8="NOT_DISCLOSED",E8="CONFLICTED",G8="CONFLICTED"),"UNRESOLVED",IF(E8=G8,"NO_CHANGE",IF(AND(E8="STANDARD_AT_RELEASE",G8="OPTIONAL_AT_RELEASE"),"STANDARD_TO_OPTIONAL",IF(AND(E8="OPTIONAL_AT_RELEASE",G8="STANDARD_AT_RELEASE"),"OPTIONAL_TO_STANDARD",IF(G8="STANDARD_AT_RELEASE","ADDED_STANDARD","REVIEW_CHANGE")))))</x:f>
        <x:v>UNRESOLVED</x:v>
      </x:c>
      <x:c r="N8" s="19" t="str">
        <x:f>IF(OR(G8="NOT_DISCLOSED",I8="NOT_DISCLOSED",G8="CONFLICTED",I8="CONFLICTED"),"UNRESOLVED",IF(G8=I8,"NO_CHANGE",IF(AND(G8="STANDARD_AT_RELEASE",I8="OPTIONAL_AT_RELEASE"),"STANDARD_TO_OPTIONAL",IF(AND(G8="OPTIONAL_AT_RELEASE",I8="STANDARD_AT_RELEASE"),"OPTIONAL_TO_STANDARD",IF(I8="STANDARD_AT_RELEASE","ADDED_STANDARD","REVIEW_CHANGE")))))</x:f>
        <x:v>UNRESOLVED</x:v>
      </x:c>
      <x:c r="O8" s="19" t="str">
        <x:v>OTHER</x:v>
      </x:c>
      <x:c r="P8" s="19" t="str">
        <x:v>DC_SAFETY_airbag_count</x:v>
      </x:c>
      <x:c r="Q8" s="19" t="n">
        <x:f>COUNTIF('50_发布会逐项主张'!$H$6:$H$137,A8)</x:f>
        <x:v>2</x:v>
      </x:c>
      <x:c r="R8" s="19" t="str">
        <x:f>IF(COUNTIFS('50_发布会逐项主张'!$H$6:$H$137,A8,'50_发布会逐项主张'!$X$6:$X$137,"&lt;&gt;NONE")&gt;0,"CONFLICTED","NONE")</x:f>
        <x:v>NONE</x:v>
      </x:c>
    </x:row>
    <x:row r="9" ht="48" customHeight="1">
      <x:c r="A9" s="369" t="str">
        <x:v>ambient_light_colors</x:v>
      </x:c>
      <x:c r="B9" s="369" t="str">
        <x:v>CABIN</x:v>
      </x:c>
      <x:c r="C9" s="369" t="str">
        <x:f>IF(COUNTIFS('51_版本配置事实'!$B$6:$B$127,"PC-N70-BASE-CAND",'51_版本配置事实'!$C$6:$C$127,$A9,'51_版本配置事实'!$T$6:$T$127,"&lt;&gt;NONE")&gt;0,"CONFLICTED",IF(COUNTIFS('51_版本配置事实'!$B$6:$B$127,"PC-N70-BASE-CAND",'51_版本配置事实'!$C$6:$C$127,$A9,'51_版本配置事实'!$I$6:$I$127,"STANDARD_AT_RELEASE")&gt;0,"STANDARD_AT_RELEASE",IF(COUNTIFS('51_版本配置事实'!$B$6:$B$127,"PC-N70-BASE-CAND",'51_版本配置事实'!$C$6:$C$127,$A9,'51_版本配置事实'!$I$6:$I$127,"OPTIONAL_AT_RELEASE")&gt;0,"OPTIONAL_AT_RELEASE",IF(COUNTIFS('51_版本配置事实'!$B$6:$B$127,"PC-N70-BASE-CAND",'51_版本配置事实'!$C$6:$C$127,$A9,'51_版本配置事实'!$I$6:$I$127,"SEPARATE_PURCHASE")&gt;0,"SEPARATE_PURCHASE",IF(COUNTIFS('51_版本配置事实'!$B$6:$B$127,"PC-N70-BASE-CAND",'51_版本配置事实'!$C$6:$C$127,$A9,'51_版本配置事实'!$I$6:$I$127,"EQUIPPED_STANDARD_UNCONFIRMED")&gt;0,"EQUIPPED_STANDARD_UNCONFIRMED",IF(COUNTIFS('51_版本配置事实'!$B$6:$B$127,"PC-N70-BASE-CAND",'51_版本配置事实'!$C$6:$C$127,$A9,'51_版本配置事实'!$I$6:$I$127,"SERIES_CAPABILITY")&gt;0,"SERIES_CAPABILITY",IF(COUNTIFS('51_版本配置事实'!$B$6:$B$127,"PC-N70-BASE-CAND",'51_版本配置事实'!$C$6:$C$127,$A9,'51_版本配置事实'!$I$6:$I$127,"NOT_DISCLOSED")&gt;0,"NOT_DISCLOSED","NOT_DISCLOSED")))))))</x:f>
        <x:v>NOT_DISCLOSED</x:v>
      </x:c>
      <x:c r="D9" s="369" t="str">
        <x:f>IF(COUNTIFS('51_版本配置事实'!$B$6:$B$127,"PC-N70-BASE-CAND",'51_版本配置事实'!$C$6:$C$127,$A9,'51_版本配置事实'!$J$6:$J$127,"STANDARD_CURRENT")&gt;0,"STANDARD_CURRENT","NOT_EVIDENCED")</x:f>
        <x:v>NOT_EVIDENCED</x:v>
      </x:c>
      <x:c r="E9" s="369" t="str">
        <x:f>IF(COUNTIFS('51_版本配置事实'!$B$6:$B$127,"PC-N70-MAX-CAND",'51_版本配置事实'!$C$6:$C$127,$A9,'51_版本配置事实'!$T$6:$T$127,"&lt;&gt;NONE")&gt;0,"CONFLICTED",IF(COUNTIFS('51_版本配置事实'!$B$6:$B$127,"PC-N70-MAX-CAND",'51_版本配置事实'!$C$6:$C$127,$A9,'51_版本配置事实'!$I$6:$I$127,"STANDARD_AT_RELEASE")&gt;0,"STANDARD_AT_RELEASE",IF(COUNTIFS('51_版本配置事实'!$B$6:$B$127,"PC-N70-MAX-CAND",'51_版本配置事实'!$C$6:$C$127,$A9,'51_版本配置事实'!$I$6:$I$127,"OPTIONAL_AT_RELEASE")&gt;0,"OPTIONAL_AT_RELEASE",IF(COUNTIFS('51_版本配置事实'!$B$6:$B$127,"PC-N70-MAX-CAND",'51_版本配置事实'!$C$6:$C$127,$A9,'51_版本配置事实'!$I$6:$I$127,"SEPARATE_PURCHASE")&gt;0,"SEPARATE_PURCHASE",IF(COUNTIFS('51_版本配置事实'!$B$6:$B$127,"PC-N70-MAX-CAND",'51_版本配置事实'!$C$6:$C$127,$A9,'51_版本配置事实'!$I$6:$I$127,"EQUIPPED_STANDARD_UNCONFIRMED")&gt;0,"EQUIPPED_STANDARD_UNCONFIRMED",IF(COUNTIFS('51_版本配置事实'!$B$6:$B$127,"PC-N70-MAX-CAND",'51_版本配置事实'!$C$6:$C$127,$A9,'51_版本配置事实'!$I$6:$I$127,"SERIES_CAPABILITY")&gt;0,"SERIES_CAPABILITY",IF(COUNTIFS('51_版本配置事实'!$B$6:$B$127,"PC-N70-MAX-CAND",'51_版本配置事实'!$C$6:$C$127,$A9,'51_版本配置事实'!$I$6:$I$127,"NOT_DISCLOSED")&gt;0,"NOT_DISCLOSED","NOT_DISCLOSED")))))))</x:f>
        <x:v>NOT_DISCLOSED</x:v>
      </x:c>
      <x:c r="F9" s="369" t="str">
        <x:f>IF(COUNTIFS('51_版本配置事实'!$B$6:$B$127,"PC-N70-MAX-CAND",'51_版本配置事实'!$C$6:$C$127,$A9,'51_版本配置事实'!$J$6:$J$127,"STANDARD_CURRENT")&gt;0,"STANDARD_CURRENT","NOT_EVIDENCED")</x:f>
        <x:v>NOT_EVIDENCED</x:v>
      </x:c>
      <x:c r="G9" s="369" t="str">
        <x:f>IF(COUNTIFS('51_版本配置事实'!$B$6:$B$127,"PC-N90-MAX-CAND",'51_版本配置事实'!$C$6:$C$127,$A9,'51_版本配置事实'!$T$6:$T$127,"&lt;&gt;NONE")&gt;0,"CONFLICTED",IF(COUNTIFS('51_版本配置事实'!$B$6:$B$127,"PC-N90-MAX-CAND",'51_版本配置事实'!$C$6:$C$127,$A9,'51_版本配置事实'!$I$6:$I$127,"STANDARD_AT_RELEASE")&gt;0,"STANDARD_AT_RELEASE",IF(COUNTIFS('51_版本配置事实'!$B$6:$B$127,"PC-N90-MAX-CAND",'51_版本配置事实'!$C$6:$C$127,$A9,'51_版本配置事实'!$I$6:$I$127,"OPTIONAL_AT_RELEASE")&gt;0,"OPTIONAL_AT_RELEASE",IF(COUNTIFS('51_版本配置事实'!$B$6:$B$127,"PC-N90-MAX-CAND",'51_版本配置事实'!$C$6:$C$127,$A9,'51_版本配置事实'!$I$6:$I$127,"SEPARATE_PURCHASE")&gt;0,"SEPARATE_PURCHASE",IF(COUNTIFS('51_版本配置事实'!$B$6:$B$127,"PC-N90-MAX-CAND",'51_版本配置事实'!$C$6:$C$127,$A9,'51_版本配置事实'!$I$6:$I$127,"EQUIPPED_STANDARD_UNCONFIRMED")&gt;0,"EQUIPPED_STANDARD_UNCONFIRMED",IF(COUNTIFS('51_版本配置事实'!$B$6:$B$127,"PC-N90-MAX-CAND",'51_版本配置事实'!$C$6:$C$127,$A9,'51_版本配置事实'!$I$6:$I$127,"SERIES_CAPABILITY")&gt;0,"SERIES_CAPABILITY",IF(COUNTIFS('51_版本配置事实'!$B$6:$B$127,"PC-N90-MAX-CAND",'51_版本配置事实'!$C$6:$C$127,$A9,'51_版本配置事实'!$I$6:$I$127,"NOT_DISCLOSED")&gt;0,"NOT_DISCLOSED","NOT_DISCLOSED")))))))</x:f>
        <x:v>EQUIPPED_STANDARD_UNCONFIRMED</x:v>
      </x:c>
      <x:c r="H9" s="369" t="str">
        <x:f>IF(COUNTIFS('51_版本配置事实'!$B$6:$B$127,"PC-N90-MAX-CAND",'51_版本配置事实'!$C$6:$C$127,$A9,'51_版本配置事实'!$J$6:$J$127,"STANDARD_CURRENT")&gt;0,"STANDARD_CURRENT","NOT_EVIDENCED")</x:f>
        <x:v>NOT_EVIDENCED</x:v>
      </x:c>
      <x:c r="I9" s="369" t="str">
        <x:f>IF(COUNTIFS('51_版本配置事实'!$B$6:$B$127,"PC-N90-ROOF-CAND",'51_版本配置事实'!$C$6:$C$127,$A9,'51_版本配置事实'!$T$6:$T$127,"&lt;&gt;NONE")&gt;0,"CONFLICTED",IF(COUNTIFS('51_版本配置事实'!$B$6:$B$127,"PC-N90-ROOF-CAND",'51_版本配置事实'!$C$6:$C$127,$A9,'51_版本配置事实'!$I$6:$I$127,"STANDARD_AT_RELEASE")&gt;0,"STANDARD_AT_RELEASE",IF(COUNTIFS('51_版本配置事实'!$B$6:$B$127,"PC-N90-ROOF-CAND",'51_版本配置事实'!$C$6:$C$127,$A9,'51_版本配置事实'!$I$6:$I$127,"OPTIONAL_AT_RELEASE")&gt;0,"OPTIONAL_AT_RELEASE",IF(COUNTIFS('51_版本配置事实'!$B$6:$B$127,"PC-N90-ROOF-CAND",'51_版本配置事实'!$C$6:$C$127,$A9,'51_版本配置事实'!$I$6:$I$127,"SEPARATE_PURCHASE")&gt;0,"SEPARATE_PURCHASE",IF(COUNTIFS('51_版本配置事实'!$B$6:$B$127,"PC-N90-ROOF-CAND",'51_版本配置事实'!$C$6:$C$127,$A9,'51_版本配置事实'!$I$6:$I$127,"EQUIPPED_STANDARD_UNCONFIRMED")&gt;0,"EQUIPPED_STANDARD_UNCONFIRMED",IF(COUNTIFS('51_版本配置事实'!$B$6:$B$127,"PC-N90-ROOF-CAND",'51_版本配置事实'!$C$6:$C$127,$A9,'51_版本配置事实'!$I$6:$I$127,"SERIES_CAPABILITY")&gt;0,"SERIES_CAPABILITY",IF(COUNTIFS('51_版本配置事实'!$B$6:$B$127,"PC-N90-ROOF-CAND",'51_版本配置事实'!$C$6:$C$127,$A9,'51_版本配置事实'!$I$6:$I$127,"NOT_DISCLOSED")&gt;0,"NOT_DISCLOSED","NOT_DISCLOSED")))))))</x:f>
        <x:v>NOT_DISCLOSED</x:v>
      </x:c>
      <x:c r="J9" s="369" t="str">
        <x:f>IF(COUNTIFS('51_版本配置事实'!$B$6:$B$127,"PC-N90-ROOF-CAND",'51_版本配置事实'!$C$6:$C$127,$A9,'51_版本配置事实'!$J$6:$J$127,"STANDARD_CURRENT")&gt;0,"STANDARD_CURRENT","NOT_EVIDENCED")</x:f>
        <x:v>NOT_EVIDENCED</x:v>
      </x:c>
      <x:c r="K9" s="369" t="str">
        <x:f>IF(AND(E9=G9,E9&lt;&gt;"NOT_DISCLOSED",E9&lt;&gt;"CONFLICTED"),IF(COUNTIFS('50_发布会逐项主张'!$H$6:$H$137,$A9,'50_发布会逐项主张'!$O$6:$O$137,"ALL_PENGCHENG")&gt;0,"EXPLICIT_COMMON_ANNOUNCED_MAX","MATCHED_NOT_PROVED_COMMON"),"NOT_PROVED_COMMON")</x:f>
        <x:v>NOT_PROVED_COMMON</x:v>
      </x:c>
      <x:c r="L9" s="369" t="str">
        <x:f>IF(OR(C9="NOT_DISCLOSED",E9="NOT_DISCLOSED",C9="CONFLICTED",E9="CONFLICTED"),"UNRESOLVED",IF(C9=E9,"NO_CHANGE",IF(AND(C9="STANDARD_AT_RELEASE",E9="OPTIONAL_AT_RELEASE"),"STANDARD_TO_OPTIONAL",IF(AND(C9="OPTIONAL_AT_RELEASE",E9="STANDARD_AT_RELEASE"),"OPTIONAL_TO_STANDARD",IF(E9="STANDARD_AT_RELEASE","ADDED_STANDARD","REVIEW_CHANGE")))))</x:f>
        <x:v>UNRESOLVED</x:v>
      </x:c>
      <x:c r="M9" s="369" t="str">
        <x:f>IF(OR(E9="NOT_DISCLOSED",G9="NOT_DISCLOSED",E9="CONFLICTED",G9="CONFLICTED"),"UNRESOLVED",IF(E9=G9,"NO_CHANGE",IF(AND(E9="STANDARD_AT_RELEASE",G9="OPTIONAL_AT_RELEASE"),"STANDARD_TO_OPTIONAL",IF(AND(E9="OPTIONAL_AT_RELEASE",G9="STANDARD_AT_RELEASE"),"OPTIONAL_TO_STANDARD",IF(G9="STANDARD_AT_RELEASE","ADDED_STANDARD","REVIEW_CHANGE")))))</x:f>
        <x:v>UNRESOLVED</x:v>
      </x:c>
      <x:c r="N9" s="369" t="str">
        <x:f>IF(OR(G9="NOT_DISCLOSED",I9="NOT_DISCLOSED",G9="CONFLICTED",I9="CONFLICTED"),"UNRESOLVED",IF(G9=I9,"NO_CHANGE",IF(AND(G9="STANDARD_AT_RELEASE",I9="OPTIONAL_AT_RELEASE"),"STANDARD_TO_OPTIONAL",IF(AND(G9="OPTIONAL_AT_RELEASE",I9="STANDARD_AT_RELEASE"),"OPTIONAL_TO_STANDARD",IF(I9="STANDARD_AT_RELEASE","ADDED_STANDARD","REVIEW_CHANGE")))))</x:f>
        <x:v>UNRESOLVED</x:v>
      </x:c>
      <x:c r="O9" s="369" t="str">
        <x:v>CABIN_COMFORT</x:v>
      </x:c>
      <x:c r="P9" s="369" t="str">
        <x:v>DC_CABIN_ambient_light_colors</x:v>
      </x:c>
      <x:c r="Q9" s="369" t="n">
        <x:f>COUNTIF('50_发布会逐项主张'!$H$6:$H$137,A9)</x:f>
        <x:v>1</x:v>
      </x:c>
      <x:c r="R9" s="369" t="str">
        <x:f>IF(COUNTIFS('50_发布会逐项主张'!$H$6:$H$137,A9,'50_发布会逐项主张'!$X$6:$X$137,"&lt;&gt;NONE")&gt;0,"CONFLICTED","NONE")</x:f>
        <x:v>NONE</x:v>
      </x:c>
    </x:row>
    <x:row r="10" ht="48" customHeight="1">
      <x:c r="A10" s="19" t="str">
        <x:v>audio_peak_power</x:v>
      </x:c>
      <x:c r="B10" s="19" t="str">
        <x:v>CABIN</x:v>
      </x:c>
      <x:c r="C10" s="19" t="str">
        <x:f>IF(COUNTIFS('51_版本配置事实'!$B$6:$B$127,"PC-N70-BASE-CAND",'51_版本配置事实'!$C$6:$C$127,$A10,'51_版本配置事实'!$T$6:$T$127,"&lt;&gt;NONE")&gt;0,"CONFLICTED",IF(COUNTIFS('51_版本配置事实'!$B$6:$B$127,"PC-N70-BASE-CAND",'51_版本配置事实'!$C$6:$C$127,$A10,'51_版本配置事实'!$I$6:$I$127,"STANDARD_AT_RELEASE")&gt;0,"STANDARD_AT_RELEASE",IF(COUNTIFS('51_版本配置事实'!$B$6:$B$127,"PC-N70-BASE-CAND",'51_版本配置事实'!$C$6:$C$127,$A10,'51_版本配置事实'!$I$6:$I$127,"OPTIONAL_AT_RELEASE")&gt;0,"OPTIONAL_AT_RELEASE",IF(COUNTIFS('51_版本配置事实'!$B$6:$B$127,"PC-N70-BASE-CAND",'51_版本配置事实'!$C$6:$C$127,$A10,'51_版本配置事实'!$I$6:$I$127,"SEPARATE_PURCHASE")&gt;0,"SEPARATE_PURCHASE",IF(COUNTIFS('51_版本配置事实'!$B$6:$B$127,"PC-N70-BASE-CAND",'51_版本配置事实'!$C$6:$C$127,$A10,'51_版本配置事实'!$I$6:$I$127,"EQUIPPED_STANDARD_UNCONFIRMED")&gt;0,"EQUIPPED_STANDARD_UNCONFIRMED",IF(COUNTIFS('51_版本配置事实'!$B$6:$B$127,"PC-N70-BASE-CAND",'51_版本配置事实'!$C$6:$C$127,$A10,'51_版本配置事实'!$I$6:$I$127,"SERIES_CAPABILITY")&gt;0,"SERIES_CAPABILITY",IF(COUNTIFS('51_版本配置事实'!$B$6:$B$127,"PC-N70-BASE-CAND",'51_版本配置事实'!$C$6:$C$127,$A10,'51_版本配置事实'!$I$6:$I$127,"NOT_DISCLOSED")&gt;0,"NOT_DISCLOSED","NOT_DISCLOSED")))))))</x:f>
        <x:v>NOT_DISCLOSED</x:v>
      </x:c>
      <x:c r="D10" s="19" t="str">
        <x:f>IF(COUNTIFS('51_版本配置事实'!$B$6:$B$127,"PC-N70-BASE-CAND",'51_版本配置事实'!$C$6:$C$127,$A10,'51_版本配置事实'!$J$6:$J$127,"STANDARD_CURRENT")&gt;0,"STANDARD_CURRENT","NOT_EVIDENCED")</x:f>
        <x:v>NOT_EVIDENCED</x:v>
      </x:c>
      <x:c r="E10" s="19" t="str">
        <x:f>IF(COUNTIFS('51_版本配置事实'!$B$6:$B$127,"PC-N70-MAX-CAND",'51_版本配置事实'!$C$6:$C$127,$A10,'51_版本配置事实'!$T$6:$T$127,"&lt;&gt;NONE")&gt;0,"CONFLICTED",IF(COUNTIFS('51_版本配置事实'!$B$6:$B$127,"PC-N70-MAX-CAND",'51_版本配置事实'!$C$6:$C$127,$A10,'51_版本配置事实'!$I$6:$I$127,"STANDARD_AT_RELEASE")&gt;0,"STANDARD_AT_RELEASE",IF(COUNTIFS('51_版本配置事实'!$B$6:$B$127,"PC-N70-MAX-CAND",'51_版本配置事实'!$C$6:$C$127,$A10,'51_版本配置事实'!$I$6:$I$127,"OPTIONAL_AT_RELEASE")&gt;0,"OPTIONAL_AT_RELEASE",IF(COUNTIFS('51_版本配置事实'!$B$6:$B$127,"PC-N70-MAX-CAND",'51_版本配置事实'!$C$6:$C$127,$A10,'51_版本配置事实'!$I$6:$I$127,"SEPARATE_PURCHASE")&gt;0,"SEPARATE_PURCHASE",IF(COUNTIFS('51_版本配置事实'!$B$6:$B$127,"PC-N70-MAX-CAND",'51_版本配置事实'!$C$6:$C$127,$A10,'51_版本配置事实'!$I$6:$I$127,"EQUIPPED_STANDARD_UNCONFIRMED")&gt;0,"EQUIPPED_STANDARD_UNCONFIRMED",IF(COUNTIFS('51_版本配置事实'!$B$6:$B$127,"PC-N70-MAX-CAND",'51_版本配置事实'!$C$6:$C$127,$A10,'51_版本配置事实'!$I$6:$I$127,"SERIES_CAPABILITY")&gt;0,"SERIES_CAPABILITY",IF(COUNTIFS('51_版本配置事实'!$B$6:$B$127,"PC-N70-MAX-CAND",'51_版本配置事实'!$C$6:$C$127,$A10,'51_版本配置事实'!$I$6:$I$127,"NOT_DISCLOSED")&gt;0,"NOT_DISCLOSED","NOT_DISCLOSED")))))))</x:f>
        <x:v>NOT_DISCLOSED</x:v>
      </x:c>
      <x:c r="F10" s="19" t="str">
        <x:f>IF(COUNTIFS('51_版本配置事实'!$B$6:$B$127,"PC-N70-MAX-CAND",'51_版本配置事实'!$C$6:$C$127,$A10,'51_版本配置事实'!$J$6:$J$127,"STANDARD_CURRENT")&gt;0,"STANDARD_CURRENT","NOT_EVIDENCED")</x:f>
        <x:v>NOT_EVIDENCED</x:v>
      </x:c>
      <x:c r="G10" s="19" t="str">
        <x:f>IF(COUNTIFS('51_版本配置事实'!$B$6:$B$127,"PC-N90-MAX-CAND",'51_版本配置事实'!$C$6:$C$127,$A10,'51_版本配置事实'!$T$6:$T$127,"&lt;&gt;NONE")&gt;0,"CONFLICTED",IF(COUNTIFS('51_版本配置事实'!$B$6:$B$127,"PC-N90-MAX-CAND",'51_版本配置事实'!$C$6:$C$127,$A10,'51_版本配置事实'!$I$6:$I$127,"STANDARD_AT_RELEASE")&gt;0,"STANDARD_AT_RELEASE",IF(COUNTIFS('51_版本配置事实'!$B$6:$B$127,"PC-N90-MAX-CAND",'51_版本配置事实'!$C$6:$C$127,$A10,'51_版本配置事实'!$I$6:$I$127,"OPTIONAL_AT_RELEASE")&gt;0,"OPTIONAL_AT_RELEASE",IF(COUNTIFS('51_版本配置事实'!$B$6:$B$127,"PC-N90-MAX-CAND",'51_版本配置事实'!$C$6:$C$127,$A10,'51_版本配置事实'!$I$6:$I$127,"SEPARATE_PURCHASE")&gt;0,"SEPARATE_PURCHASE",IF(COUNTIFS('51_版本配置事实'!$B$6:$B$127,"PC-N90-MAX-CAND",'51_版本配置事实'!$C$6:$C$127,$A10,'51_版本配置事实'!$I$6:$I$127,"EQUIPPED_STANDARD_UNCONFIRMED")&gt;0,"EQUIPPED_STANDARD_UNCONFIRMED",IF(COUNTIFS('51_版本配置事实'!$B$6:$B$127,"PC-N90-MAX-CAND",'51_版本配置事实'!$C$6:$C$127,$A10,'51_版本配置事实'!$I$6:$I$127,"SERIES_CAPABILITY")&gt;0,"SERIES_CAPABILITY",IF(COUNTIFS('51_版本配置事实'!$B$6:$B$127,"PC-N90-MAX-CAND",'51_版本配置事实'!$C$6:$C$127,$A10,'51_版本配置事实'!$I$6:$I$127,"NOT_DISCLOSED")&gt;0,"NOT_DISCLOSED","NOT_DISCLOSED")))))))</x:f>
        <x:v>EQUIPPED_STANDARD_UNCONFIRMED</x:v>
      </x:c>
      <x:c r="H10" s="19" t="str">
        <x:f>IF(COUNTIFS('51_版本配置事实'!$B$6:$B$127,"PC-N90-MAX-CAND",'51_版本配置事实'!$C$6:$C$127,$A10,'51_版本配置事实'!$J$6:$J$127,"STANDARD_CURRENT")&gt;0,"STANDARD_CURRENT","NOT_EVIDENCED")</x:f>
        <x:v>NOT_EVIDENCED</x:v>
      </x:c>
      <x:c r="I10" s="19" t="str">
        <x:f>IF(COUNTIFS('51_版本配置事实'!$B$6:$B$127,"PC-N90-ROOF-CAND",'51_版本配置事实'!$C$6:$C$127,$A10,'51_版本配置事实'!$T$6:$T$127,"&lt;&gt;NONE")&gt;0,"CONFLICTED",IF(COUNTIFS('51_版本配置事实'!$B$6:$B$127,"PC-N90-ROOF-CAND",'51_版本配置事实'!$C$6:$C$127,$A10,'51_版本配置事实'!$I$6:$I$127,"STANDARD_AT_RELEASE")&gt;0,"STANDARD_AT_RELEASE",IF(COUNTIFS('51_版本配置事实'!$B$6:$B$127,"PC-N90-ROOF-CAND",'51_版本配置事实'!$C$6:$C$127,$A10,'51_版本配置事实'!$I$6:$I$127,"OPTIONAL_AT_RELEASE")&gt;0,"OPTIONAL_AT_RELEASE",IF(COUNTIFS('51_版本配置事实'!$B$6:$B$127,"PC-N90-ROOF-CAND",'51_版本配置事实'!$C$6:$C$127,$A10,'51_版本配置事实'!$I$6:$I$127,"SEPARATE_PURCHASE")&gt;0,"SEPARATE_PURCHASE",IF(COUNTIFS('51_版本配置事实'!$B$6:$B$127,"PC-N90-ROOF-CAND",'51_版本配置事实'!$C$6:$C$127,$A10,'51_版本配置事实'!$I$6:$I$127,"EQUIPPED_STANDARD_UNCONFIRMED")&gt;0,"EQUIPPED_STANDARD_UNCONFIRMED",IF(COUNTIFS('51_版本配置事实'!$B$6:$B$127,"PC-N90-ROOF-CAND",'51_版本配置事实'!$C$6:$C$127,$A10,'51_版本配置事实'!$I$6:$I$127,"SERIES_CAPABILITY")&gt;0,"SERIES_CAPABILITY",IF(COUNTIFS('51_版本配置事实'!$B$6:$B$127,"PC-N90-ROOF-CAND",'51_版本配置事实'!$C$6:$C$127,$A10,'51_版本配置事实'!$I$6:$I$127,"NOT_DISCLOSED")&gt;0,"NOT_DISCLOSED","NOT_DISCLOSED")))))))</x:f>
        <x:v>NOT_DISCLOSED</x:v>
      </x:c>
      <x:c r="J10" s="19" t="str">
        <x:f>IF(COUNTIFS('51_版本配置事实'!$B$6:$B$127,"PC-N90-ROOF-CAND",'51_版本配置事实'!$C$6:$C$127,$A10,'51_版本配置事实'!$J$6:$J$127,"STANDARD_CURRENT")&gt;0,"STANDARD_CURRENT","NOT_EVIDENCED")</x:f>
        <x:v>NOT_EVIDENCED</x:v>
      </x:c>
      <x:c r="K10" s="19" t="str">
        <x:f>IF(AND(E10=G10,E10&lt;&gt;"NOT_DISCLOSED",E10&lt;&gt;"CONFLICTED"),IF(COUNTIFS('50_发布会逐项主张'!$H$6:$H$137,$A10,'50_发布会逐项主张'!$O$6:$O$137,"ALL_PENGCHENG")&gt;0,"EXPLICIT_COMMON_ANNOUNCED_MAX","MATCHED_NOT_PROVED_COMMON"),"NOT_PROVED_COMMON")</x:f>
        <x:v>NOT_PROVED_COMMON</x:v>
      </x:c>
      <x:c r="L10" s="19" t="str">
        <x:f>IF(OR(C10="NOT_DISCLOSED",E10="NOT_DISCLOSED",C10="CONFLICTED",E10="CONFLICTED"),"UNRESOLVED",IF(C10=E10,"NO_CHANGE",IF(AND(C10="STANDARD_AT_RELEASE",E10="OPTIONAL_AT_RELEASE"),"STANDARD_TO_OPTIONAL",IF(AND(C10="OPTIONAL_AT_RELEASE",E10="STANDARD_AT_RELEASE"),"OPTIONAL_TO_STANDARD",IF(E10="STANDARD_AT_RELEASE","ADDED_STANDARD","REVIEW_CHANGE")))))</x:f>
        <x:v>UNRESOLVED</x:v>
      </x:c>
      <x:c r="M10" s="19" t="str">
        <x:f>IF(OR(E10="NOT_DISCLOSED",G10="NOT_DISCLOSED",E10="CONFLICTED",G10="CONFLICTED"),"UNRESOLVED",IF(E10=G10,"NO_CHANGE",IF(AND(E10="STANDARD_AT_RELEASE",G10="OPTIONAL_AT_RELEASE"),"STANDARD_TO_OPTIONAL",IF(AND(E10="OPTIONAL_AT_RELEASE",G10="STANDARD_AT_RELEASE"),"OPTIONAL_TO_STANDARD",IF(G10="STANDARD_AT_RELEASE","ADDED_STANDARD","REVIEW_CHANGE")))))</x:f>
        <x:v>UNRESOLVED</x:v>
      </x:c>
      <x:c r="N10" s="19" t="str">
        <x:f>IF(OR(G10="NOT_DISCLOSED",I10="NOT_DISCLOSED",G10="CONFLICTED",I10="CONFLICTED"),"UNRESOLVED",IF(G10=I10,"NO_CHANGE",IF(AND(G10="STANDARD_AT_RELEASE",I10="OPTIONAL_AT_RELEASE"),"STANDARD_TO_OPTIONAL",IF(AND(G10="OPTIONAL_AT_RELEASE",I10="STANDARD_AT_RELEASE"),"OPTIONAL_TO_STANDARD",IF(I10="STANDARD_AT_RELEASE","ADDED_STANDARD","REVIEW_CHANGE")))))</x:f>
        <x:v>UNRESOLVED</x:v>
      </x:c>
      <x:c r="O10" s="19" t="str">
        <x:v>CABIN_COMFORT</x:v>
      </x:c>
      <x:c r="P10" s="19" t="str">
        <x:v>DC_CABIN_audio_peak_power</x:v>
      </x:c>
      <x:c r="Q10" s="19" t="n">
        <x:f>COUNTIF('50_发布会逐项主张'!$H$6:$H$137,A10)</x:f>
        <x:v>1</x:v>
      </x:c>
      <x:c r="R10" s="19" t="str">
        <x:f>IF(COUNTIFS('50_发布会逐项主张'!$H$6:$H$137,A10,'50_发布会逐项主张'!$X$6:$X$137,"&lt;&gt;NONE")&gt;0,"CONFLICTED","NONE")</x:f>
        <x:v>NONE</x:v>
      </x:c>
    </x:row>
    <x:row r="11" ht="48" customHeight="1">
      <x:c r="A11" s="369" t="str">
        <x:v>battery_bottom_impact</x:v>
      </x:c>
      <x:c r="B11" s="369" t="str">
        <x:v>SAFETY</x:v>
      </x:c>
      <x:c r="C11" s="369" t="str">
        <x:f>IF(COUNTIFS('51_版本配置事实'!$B$6:$B$127,"PC-N70-BASE-CAND",'51_版本配置事实'!$C$6:$C$127,$A11,'51_版本配置事实'!$T$6:$T$127,"&lt;&gt;NONE")&gt;0,"CONFLICTED",IF(COUNTIFS('51_版本配置事实'!$B$6:$B$127,"PC-N70-BASE-CAND",'51_版本配置事实'!$C$6:$C$127,$A11,'51_版本配置事实'!$I$6:$I$127,"STANDARD_AT_RELEASE")&gt;0,"STANDARD_AT_RELEASE",IF(COUNTIFS('51_版本配置事实'!$B$6:$B$127,"PC-N70-BASE-CAND",'51_版本配置事实'!$C$6:$C$127,$A11,'51_版本配置事实'!$I$6:$I$127,"OPTIONAL_AT_RELEASE")&gt;0,"OPTIONAL_AT_RELEASE",IF(COUNTIFS('51_版本配置事实'!$B$6:$B$127,"PC-N70-BASE-CAND",'51_版本配置事实'!$C$6:$C$127,$A11,'51_版本配置事实'!$I$6:$I$127,"SEPARATE_PURCHASE")&gt;0,"SEPARATE_PURCHASE",IF(COUNTIFS('51_版本配置事实'!$B$6:$B$127,"PC-N70-BASE-CAND",'51_版本配置事实'!$C$6:$C$127,$A11,'51_版本配置事实'!$I$6:$I$127,"EQUIPPED_STANDARD_UNCONFIRMED")&gt;0,"EQUIPPED_STANDARD_UNCONFIRMED",IF(COUNTIFS('51_版本配置事实'!$B$6:$B$127,"PC-N70-BASE-CAND",'51_版本配置事实'!$C$6:$C$127,$A11,'51_版本配置事实'!$I$6:$I$127,"SERIES_CAPABILITY")&gt;0,"SERIES_CAPABILITY",IF(COUNTIFS('51_版本配置事实'!$B$6:$B$127,"PC-N70-BASE-CAND",'51_版本配置事实'!$C$6:$C$127,$A11,'51_版本配置事实'!$I$6:$I$127,"NOT_DISCLOSED")&gt;0,"NOT_DISCLOSED","NOT_DISCLOSED")))))))</x:f>
        <x:v>NOT_DISCLOSED</x:v>
      </x:c>
      <x:c r="D11" s="369" t="str">
        <x:f>IF(COUNTIFS('51_版本配置事实'!$B$6:$B$127,"PC-N70-BASE-CAND",'51_版本配置事实'!$C$6:$C$127,$A11,'51_版本配置事实'!$J$6:$J$127,"STANDARD_CURRENT")&gt;0,"STANDARD_CURRENT","NOT_EVIDENCED")</x:f>
        <x:v>NOT_EVIDENCED</x:v>
      </x:c>
      <x:c r="E11" s="369" t="str">
        <x:f>IF(COUNTIFS('51_版本配置事实'!$B$6:$B$127,"PC-N70-MAX-CAND",'51_版本配置事实'!$C$6:$C$127,$A11,'51_版本配置事实'!$T$6:$T$127,"&lt;&gt;NONE")&gt;0,"CONFLICTED",IF(COUNTIFS('51_版本配置事实'!$B$6:$B$127,"PC-N70-MAX-CAND",'51_版本配置事实'!$C$6:$C$127,$A11,'51_版本配置事实'!$I$6:$I$127,"STANDARD_AT_RELEASE")&gt;0,"STANDARD_AT_RELEASE",IF(COUNTIFS('51_版本配置事实'!$B$6:$B$127,"PC-N70-MAX-CAND",'51_版本配置事实'!$C$6:$C$127,$A11,'51_版本配置事实'!$I$6:$I$127,"OPTIONAL_AT_RELEASE")&gt;0,"OPTIONAL_AT_RELEASE",IF(COUNTIFS('51_版本配置事实'!$B$6:$B$127,"PC-N70-MAX-CAND",'51_版本配置事实'!$C$6:$C$127,$A11,'51_版本配置事实'!$I$6:$I$127,"SEPARATE_PURCHASE")&gt;0,"SEPARATE_PURCHASE",IF(COUNTIFS('51_版本配置事实'!$B$6:$B$127,"PC-N70-MAX-CAND",'51_版本配置事实'!$C$6:$C$127,$A11,'51_版本配置事实'!$I$6:$I$127,"EQUIPPED_STANDARD_UNCONFIRMED")&gt;0,"EQUIPPED_STANDARD_UNCONFIRMED",IF(COUNTIFS('51_版本配置事实'!$B$6:$B$127,"PC-N70-MAX-CAND",'51_版本配置事实'!$C$6:$C$127,$A11,'51_版本配置事实'!$I$6:$I$127,"SERIES_CAPABILITY")&gt;0,"SERIES_CAPABILITY",IF(COUNTIFS('51_版本配置事实'!$B$6:$B$127,"PC-N70-MAX-CAND",'51_版本配置事实'!$C$6:$C$127,$A11,'51_版本配置事实'!$I$6:$I$127,"NOT_DISCLOSED")&gt;0,"NOT_DISCLOSED","NOT_DISCLOSED")))))))</x:f>
        <x:v>NOT_DISCLOSED</x:v>
      </x:c>
      <x:c r="F11" s="369" t="str">
        <x:f>IF(COUNTIFS('51_版本配置事实'!$B$6:$B$127,"PC-N70-MAX-CAND",'51_版本配置事实'!$C$6:$C$127,$A11,'51_版本配置事实'!$J$6:$J$127,"STANDARD_CURRENT")&gt;0,"STANDARD_CURRENT","NOT_EVIDENCED")</x:f>
        <x:v>NOT_EVIDENCED</x:v>
      </x:c>
      <x:c r="G11" s="369" t="str">
        <x:f>IF(COUNTIFS('51_版本配置事实'!$B$6:$B$127,"PC-N90-MAX-CAND",'51_版本配置事实'!$C$6:$C$127,$A11,'51_版本配置事实'!$T$6:$T$127,"&lt;&gt;NONE")&gt;0,"CONFLICTED",IF(COUNTIFS('51_版本配置事实'!$B$6:$B$127,"PC-N90-MAX-CAND",'51_版本配置事实'!$C$6:$C$127,$A11,'51_版本配置事实'!$I$6:$I$127,"STANDARD_AT_RELEASE")&gt;0,"STANDARD_AT_RELEASE",IF(COUNTIFS('51_版本配置事实'!$B$6:$B$127,"PC-N90-MAX-CAND",'51_版本配置事实'!$C$6:$C$127,$A11,'51_版本配置事实'!$I$6:$I$127,"OPTIONAL_AT_RELEASE")&gt;0,"OPTIONAL_AT_RELEASE",IF(COUNTIFS('51_版本配置事实'!$B$6:$B$127,"PC-N90-MAX-CAND",'51_版本配置事实'!$C$6:$C$127,$A11,'51_版本配置事实'!$I$6:$I$127,"SEPARATE_PURCHASE")&gt;0,"SEPARATE_PURCHASE",IF(COUNTIFS('51_版本配置事实'!$B$6:$B$127,"PC-N90-MAX-CAND",'51_版本配置事实'!$C$6:$C$127,$A11,'51_版本配置事实'!$I$6:$I$127,"EQUIPPED_STANDARD_UNCONFIRMED")&gt;0,"EQUIPPED_STANDARD_UNCONFIRMED",IF(COUNTIFS('51_版本配置事实'!$B$6:$B$127,"PC-N90-MAX-CAND",'51_版本配置事实'!$C$6:$C$127,$A11,'51_版本配置事实'!$I$6:$I$127,"SERIES_CAPABILITY")&gt;0,"SERIES_CAPABILITY",IF(COUNTIFS('51_版本配置事实'!$B$6:$B$127,"PC-N90-MAX-CAND",'51_版本配置事实'!$C$6:$C$127,$A11,'51_版本配置事实'!$I$6:$I$127,"NOT_DISCLOSED")&gt;0,"NOT_DISCLOSED","NOT_DISCLOSED")))))))</x:f>
        <x:v>EQUIPPED_STANDARD_UNCONFIRMED</x:v>
      </x:c>
      <x:c r="H11" s="369" t="str">
        <x:f>IF(COUNTIFS('51_版本配置事实'!$B$6:$B$127,"PC-N90-MAX-CAND",'51_版本配置事实'!$C$6:$C$127,$A11,'51_版本配置事实'!$J$6:$J$127,"STANDARD_CURRENT")&gt;0,"STANDARD_CURRENT","NOT_EVIDENCED")</x:f>
        <x:v>NOT_EVIDENCED</x:v>
      </x:c>
      <x:c r="I11" s="369" t="str">
        <x:f>IF(COUNTIFS('51_版本配置事实'!$B$6:$B$127,"PC-N90-ROOF-CAND",'51_版本配置事实'!$C$6:$C$127,$A11,'51_版本配置事实'!$T$6:$T$127,"&lt;&gt;NONE")&gt;0,"CONFLICTED",IF(COUNTIFS('51_版本配置事实'!$B$6:$B$127,"PC-N90-ROOF-CAND",'51_版本配置事实'!$C$6:$C$127,$A11,'51_版本配置事实'!$I$6:$I$127,"STANDARD_AT_RELEASE")&gt;0,"STANDARD_AT_RELEASE",IF(COUNTIFS('51_版本配置事实'!$B$6:$B$127,"PC-N90-ROOF-CAND",'51_版本配置事实'!$C$6:$C$127,$A11,'51_版本配置事实'!$I$6:$I$127,"OPTIONAL_AT_RELEASE")&gt;0,"OPTIONAL_AT_RELEASE",IF(COUNTIFS('51_版本配置事实'!$B$6:$B$127,"PC-N90-ROOF-CAND",'51_版本配置事实'!$C$6:$C$127,$A11,'51_版本配置事实'!$I$6:$I$127,"SEPARATE_PURCHASE")&gt;0,"SEPARATE_PURCHASE",IF(COUNTIFS('51_版本配置事实'!$B$6:$B$127,"PC-N90-ROOF-CAND",'51_版本配置事实'!$C$6:$C$127,$A11,'51_版本配置事实'!$I$6:$I$127,"EQUIPPED_STANDARD_UNCONFIRMED")&gt;0,"EQUIPPED_STANDARD_UNCONFIRMED",IF(COUNTIFS('51_版本配置事实'!$B$6:$B$127,"PC-N90-ROOF-CAND",'51_版本配置事实'!$C$6:$C$127,$A11,'51_版本配置事实'!$I$6:$I$127,"SERIES_CAPABILITY")&gt;0,"SERIES_CAPABILITY",IF(COUNTIFS('51_版本配置事实'!$B$6:$B$127,"PC-N90-ROOF-CAND",'51_版本配置事实'!$C$6:$C$127,$A11,'51_版本配置事实'!$I$6:$I$127,"NOT_DISCLOSED")&gt;0,"NOT_DISCLOSED","NOT_DISCLOSED")))))))</x:f>
        <x:v>NOT_DISCLOSED</x:v>
      </x:c>
      <x:c r="J11" s="369" t="str">
        <x:f>IF(COUNTIFS('51_版本配置事实'!$B$6:$B$127,"PC-N90-ROOF-CAND",'51_版本配置事实'!$C$6:$C$127,$A11,'51_版本配置事实'!$J$6:$J$127,"STANDARD_CURRENT")&gt;0,"STANDARD_CURRENT","NOT_EVIDENCED")</x:f>
        <x:v>NOT_EVIDENCED</x:v>
      </x:c>
      <x:c r="K11" s="369" t="str">
        <x:f>IF(AND(E11=G11,E11&lt;&gt;"NOT_DISCLOSED",E11&lt;&gt;"CONFLICTED"),IF(COUNTIFS('50_发布会逐项主张'!$H$6:$H$137,$A11,'50_发布会逐项主张'!$O$6:$O$137,"ALL_PENGCHENG")&gt;0,"EXPLICIT_COMMON_ANNOUNCED_MAX","MATCHED_NOT_PROVED_COMMON"),"NOT_PROVED_COMMON")</x:f>
        <x:v>NOT_PROVED_COMMON</x:v>
      </x:c>
      <x:c r="L11" s="369" t="str">
        <x:f>IF(OR(C11="NOT_DISCLOSED",E11="NOT_DISCLOSED",C11="CONFLICTED",E11="CONFLICTED"),"UNRESOLVED",IF(C11=E11,"NO_CHANGE",IF(AND(C11="STANDARD_AT_RELEASE",E11="OPTIONAL_AT_RELEASE"),"STANDARD_TO_OPTIONAL",IF(AND(C11="OPTIONAL_AT_RELEASE",E11="STANDARD_AT_RELEASE"),"OPTIONAL_TO_STANDARD",IF(E11="STANDARD_AT_RELEASE","ADDED_STANDARD","REVIEW_CHANGE")))))</x:f>
        <x:v>UNRESOLVED</x:v>
      </x:c>
      <x:c r="M11" s="369" t="str">
        <x:f>IF(OR(E11="NOT_DISCLOSED",G11="NOT_DISCLOSED",E11="CONFLICTED",G11="CONFLICTED"),"UNRESOLVED",IF(E11=G11,"NO_CHANGE",IF(AND(E11="STANDARD_AT_RELEASE",G11="OPTIONAL_AT_RELEASE"),"STANDARD_TO_OPTIONAL",IF(AND(E11="OPTIONAL_AT_RELEASE",G11="STANDARD_AT_RELEASE"),"OPTIONAL_TO_STANDARD",IF(G11="STANDARD_AT_RELEASE","ADDED_STANDARD","REVIEW_CHANGE")))))</x:f>
        <x:v>UNRESOLVED</x:v>
      </x:c>
      <x:c r="N11" s="369" t="str">
        <x:f>IF(OR(G11="NOT_DISCLOSED",I11="NOT_DISCLOSED",G11="CONFLICTED",I11="CONFLICTED"),"UNRESOLVED",IF(G11=I11,"NO_CHANGE",IF(AND(G11="STANDARD_AT_RELEASE",I11="OPTIONAL_AT_RELEASE"),"STANDARD_TO_OPTIONAL",IF(AND(G11="OPTIONAL_AT_RELEASE",I11="STANDARD_AT_RELEASE"),"OPTIONAL_TO_STANDARD",IF(I11="STANDARD_AT_RELEASE","ADDED_STANDARD","REVIEW_CHANGE")))))</x:f>
        <x:v>UNRESOLVED</x:v>
      </x:c>
      <x:c r="O11" s="369" t="str">
        <x:v>OTHER</x:v>
      </x:c>
      <x:c r="P11" s="369" t="str">
        <x:v>DC_SAFETY_battery_bottom_impact</x:v>
      </x:c>
      <x:c r="Q11" s="369" t="n">
        <x:f>COUNTIF('50_发布会逐项主张'!$H$6:$H$137,A11)</x:f>
        <x:v>1</x:v>
      </x:c>
      <x:c r="R11" s="369" t="str">
        <x:f>IF(COUNTIFS('50_发布会逐项主张'!$H$6:$H$137,A11,'50_发布会逐项主张'!$X$6:$X$137,"&lt;&gt;NONE")&gt;0,"CONFLICTED","NONE")</x:f>
        <x:v>NONE</x:v>
      </x:c>
    </x:row>
    <x:row r="12" ht="48" customHeight="1">
      <x:c r="A12" s="19" t="str">
        <x:v>battery_capacity</x:v>
      </x:c>
      <x:c r="B12" s="19" t="str">
        <x:v>ENERGY</x:v>
      </x:c>
      <x:c r="C12" s="19" t="str">
        <x:f>IF(COUNTIFS('51_版本配置事实'!$B$6:$B$127,"PC-N70-BASE-CAND",'51_版本配置事实'!$C$6:$C$127,$A12,'51_版本配置事实'!$T$6:$T$127,"&lt;&gt;NONE")&gt;0,"CONFLICTED",IF(COUNTIFS('51_版本配置事实'!$B$6:$B$127,"PC-N70-BASE-CAND",'51_版本配置事实'!$C$6:$C$127,$A12,'51_版本配置事实'!$I$6:$I$127,"STANDARD_AT_RELEASE")&gt;0,"STANDARD_AT_RELEASE",IF(COUNTIFS('51_版本配置事实'!$B$6:$B$127,"PC-N70-BASE-CAND",'51_版本配置事实'!$C$6:$C$127,$A12,'51_版本配置事实'!$I$6:$I$127,"OPTIONAL_AT_RELEASE")&gt;0,"OPTIONAL_AT_RELEASE",IF(COUNTIFS('51_版本配置事实'!$B$6:$B$127,"PC-N70-BASE-CAND",'51_版本配置事实'!$C$6:$C$127,$A12,'51_版本配置事实'!$I$6:$I$127,"SEPARATE_PURCHASE")&gt;0,"SEPARATE_PURCHASE",IF(COUNTIFS('51_版本配置事实'!$B$6:$B$127,"PC-N70-BASE-CAND",'51_版本配置事实'!$C$6:$C$127,$A12,'51_版本配置事实'!$I$6:$I$127,"EQUIPPED_STANDARD_UNCONFIRMED")&gt;0,"EQUIPPED_STANDARD_UNCONFIRMED",IF(COUNTIFS('51_版本配置事实'!$B$6:$B$127,"PC-N70-BASE-CAND",'51_版本配置事实'!$C$6:$C$127,$A12,'51_版本配置事实'!$I$6:$I$127,"SERIES_CAPABILITY")&gt;0,"SERIES_CAPABILITY",IF(COUNTIFS('51_版本配置事实'!$B$6:$B$127,"PC-N70-BASE-CAND",'51_版本配置事实'!$C$6:$C$127,$A12,'51_版本配置事实'!$I$6:$I$127,"NOT_DISCLOSED")&gt;0,"NOT_DISCLOSED","NOT_DISCLOSED")))))))</x:f>
        <x:v>NOT_DISCLOSED</x:v>
      </x:c>
      <x:c r="D12" s="19" t="str">
        <x:f>IF(COUNTIFS('51_版本配置事实'!$B$6:$B$127,"PC-N70-BASE-CAND",'51_版本配置事实'!$C$6:$C$127,$A12,'51_版本配置事实'!$J$6:$J$127,"STANDARD_CURRENT")&gt;0,"STANDARD_CURRENT","NOT_EVIDENCED")</x:f>
        <x:v>NOT_EVIDENCED</x:v>
      </x:c>
      <x:c r="E12" s="19" t="str">
        <x:f>IF(COUNTIFS('51_版本配置事实'!$B$6:$B$127,"PC-N70-MAX-CAND",'51_版本配置事实'!$C$6:$C$127,$A12,'51_版本配置事实'!$T$6:$T$127,"&lt;&gt;NONE")&gt;0,"CONFLICTED",IF(COUNTIFS('51_版本配置事实'!$B$6:$B$127,"PC-N70-MAX-CAND",'51_版本配置事实'!$C$6:$C$127,$A12,'51_版本配置事实'!$I$6:$I$127,"STANDARD_AT_RELEASE")&gt;0,"STANDARD_AT_RELEASE",IF(COUNTIFS('51_版本配置事实'!$B$6:$B$127,"PC-N70-MAX-CAND",'51_版本配置事实'!$C$6:$C$127,$A12,'51_版本配置事实'!$I$6:$I$127,"OPTIONAL_AT_RELEASE")&gt;0,"OPTIONAL_AT_RELEASE",IF(COUNTIFS('51_版本配置事实'!$B$6:$B$127,"PC-N70-MAX-CAND",'51_版本配置事实'!$C$6:$C$127,$A12,'51_版本配置事实'!$I$6:$I$127,"SEPARATE_PURCHASE")&gt;0,"SEPARATE_PURCHASE",IF(COUNTIFS('51_版本配置事实'!$B$6:$B$127,"PC-N70-MAX-CAND",'51_版本配置事实'!$C$6:$C$127,$A12,'51_版本配置事实'!$I$6:$I$127,"EQUIPPED_STANDARD_UNCONFIRMED")&gt;0,"EQUIPPED_STANDARD_UNCONFIRMED",IF(COUNTIFS('51_版本配置事实'!$B$6:$B$127,"PC-N70-MAX-CAND",'51_版本配置事实'!$C$6:$C$127,$A12,'51_版本配置事实'!$I$6:$I$127,"SERIES_CAPABILITY")&gt;0,"SERIES_CAPABILITY",IF(COUNTIFS('51_版本配置事实'!$B$6:$B$127,"PC-N70-MAX-CAND",'51_版本配置事实'!$C$6:$C$127,$A12,'51_版本配置事实'!$I$6:$I$127,"NOT_DISCLOSED")&gt;0,"NOT_DISCLOSED","NOT_DISCLOSED")))))))</x:f>
        <x:v>NOT_DISCLOSED</x:v>
      </x:c>
      <x:c r="F12" s="19" t="str">
        <x:f>IF(COUNTIFS('51_版本配置事实'!$B$6:$B$127,"PC-N70-MAX-CAND",'51_版本配置事实'!$C$6:$C$127,$A12,'51_版本配置事实'!$J$6:$J$127,"STANDARD_CURRENT")&gt;0,"STANDARD_CURRENT","NOT_EVIDENCED")</x:f>
        <x:v>NOT_EVIDENCED</x:v>
      </x:c>
      <x:c r="G12" s="19" t="str">
        <x:f>IF(COUNTIFS('51_版本配置事实'!$B$6:$B$127,"PC-N90-MAX-CAND",'51_版本配置事实'!$C$6:$C$127,$A12,'51_版本配置事实'!$T$6:$T$127,"&lt;&gt;NONE")&gt;0,"CONFLICTED",IF(COUNTIFS('51_版本配置事实'!$B$6:$B$127,"PC-N90-MAX-CAND",'51_版本配置事实'!$C$6:$C$127,$A12,'51_版本配置事实'!$I$6:$I$127,"STANDARD_AT_RELEASE")&gt;0,"STANDARD_AT_RELEASE",IF(COUNTIFS('51_版本配置事实'!$B$6:$B$127,"PC-N90-MAX-CAND",'51_版本配置事实'!$C$6:$C$127,$A12,'51_版本配置事实'!$I$6:$I$127,"OPTIONAL_AT_RELEASE")&gt;0,"OPTIONAL_AT_RELEASE",IF(COUNTIFS('51_版本配置事实'!$B$6:$B$127,"PC-N90-MAX-CAND",'51_版本配置事实'!$C$6:$C$127,$A12,'51_版本配置事实'!$I$6:$I$127,"SEPARATE_PURCHASE")&gt;0,"SEPARATE_PURCHASE",IF(COUNTIFS('51_版本配置事实'!$B$6:$B$127,"PC-N90-MAX-CAND",'51_版本配置事实'!$C$6:$C$127,$A12,'51_版本配置事实'!$I$6:$I$127,"EQUIPPED_STANDARD_UNCONFIRMED")&gt;0,"EQUIPPED_STANDARD_UNCONFIRMED",IF(COUNTIFS('51_版本配置事实'!$B$6:$B$127,"PC-N90-MAX-CAND",'51_版本配置事实'!$C$6:$C$127,$A12,'51_版本配置事实'!$I$6:$I$127,"SERIES_CAPABILITY")&gt;0,"SERIES_CAPABILITY",IF(COUNTIFS('51_版本配置事实'!$B$6:$B$127,"PC-N90-MAX-CAND",'51_版本配置事实'!$C$6:$C$127,$A12,'51_版本配置事实'!$I$6:$I$127,"NOT_DISCLOSED")&gt;0,"NOT_DISCLOSED","NOT_DISCLOSED")))))))</x:f>
        <x:v>EQUIPPED_STANDARD_UNCONFIRMED</x:v>
      </x:c>
      <x:c r="H12" s="19" t="str">
        <x:f>IF(COUNTIFS('51_版本配置事实'!$B$6:$B$127,"PC-N90-MAX-CAND",'51_版本配置事实'!$C$6:$C$127,$A12,'51_版本配置事实'!$J$6:$J$127,"STANDARD_CURRENT")&gt;0,"STANDARD_CURRENT","NOT_EVIDENCED")</x:f>
        <x:v>NOT_EVIDENCED</x:v>
      </x:c>
      <x:c r="I12" s="19" t="str">
        <x:f>IF(COUNTIFS('51_版本配置事实'!$B$6:$B$127,"PC-N90-ROOF-CAND",'51_版本配置事实'!$C$6:$C$127,$A12,'51_版本配置事实'!$T$6:$T$127,"&lt;&gt;NONE")&gt;0,"CONFLICTED",IF(COUNTIFS('51_版本配置事实'!$B$6:$B$127,"PC-N90-ROOF-CAND",'51_版本配置事实'!$C$6:$C$127,$A12,'51_版本配置事实'!$I$6:$I$127,"STANDARD_AT_RELEASE")&gt;0,"STANDARD_AT_RELEASE",IF(COUNTIFS('51_版本配置事实'!$B$6:$B$127,"PC-N90-ROOF-CAND",'51_版本配置事实'!$C$6:$C$127,$A12,'51_版本配置事实'!$I$6:$I$127,"OPTIONAL_AT_RELEASE")&gt;0,"OPTIONAL_AT_RELEASE",IF(COUNTIFS('51_版本配置事实'!$B$6:$B$127,"PC-N90-ROOF-CAND",'51_版本配置事实'!$C$6:$C$127,$A12,'51_版本配置事实'!$I$6:$I$127,"SEPARATE_PURCHASE")&gt;0,"SEPARATE_PURCHASE",IF(COUNTIFS('51_版本配置事实'!$B$6:$B$127,"PC-N90-ROOF-CAND",'51_版本配置事实'!$C$6:$C$127,$A12,'51_版本配置事实'!$I$6:$I$127,"EQUIPPED_STANDARD_UNCONFIRMED")&gt;0,"EQUIPPED_STANDARD_UNCONFIRMED",IF(COUNTIFS('51_版本配置事实'!$B$6:$B$127,"PC-N90-ROOF-CAND",'51_版本配置事实'!$C$6:$C$127,$A12,'51_版本配置事实'!$I$6:$I$127,"SERIES_CAPABILITY")&gt;0,"SERIES_CAPABILITY",IF(COUNTIFS('51_版本配置事实'!$B$6:$B$127,"PC-N90-ROOF-CAND",'51_版本配置事实'!$C$6:$C$127,$A12,'51_版本配置事实'!$I$6:$I$127,"NOT_DISCLOSED")&gt;0,"NOT_DISCLOSED","NOT_DISCLOSED")))))))</x:f>
        <x:v>NOT_DISCLOSED</x:v>
      </x:c>
      <x:c r="J12" s="19" t="str">
        <x:f>IF(COUNTIFS('51_版本配置事实'!$B$6:$B$127,"PC-N90-ROOF-CAND",'51_版本配置事实'!$C$6:$C$127,$A12,'51_版本配置事实'!$J$6:$J$127,"STANDARD_CURRENT")&gt;0,"STANDARD_CURRENT","NOT_EVIDENCED")</x:f>
        <x:v>NOT_EVIDENCED</x:v>
      </x:c>
      <x:c r="K12" s="19" t="str">
        <x:f>IF(AND(E12=G12,E12&lt;&gt;"NOT_DISCLOSED",E12&lt;&gt;"CONFLICTED"),IF(COUNTIFS('50_发布会逐项主张'!$H$6:$H$137,$A12,'50_发布会逐项主张'!$O$6:$O$137,"ALL_PENGCHENG")&gt;0,"EXPLICIT_COMMON_ANNOUNCED_MAX","MATCHED_NOT_PROVED_COMMON"),"NOT_PROVED_COMMON")</x:f>
        <x:v>NOT_PROVED_COMMON</x:v>
      </x:c>
      <x:c r="L12" s="19" t="str">
        <x:f>IF(OR(C12="NOT_DISCLOSED",E12="NOT_DISCLOSED",C12="CONFLICTED",E12="CONFLICTED"),"UNRESOLVED",IF(C12=E12,"NO_CHANGE",IF(AND(C12="STANDARD_AT_RELEASE",E12="OPTIONAL_AT_RELEASE"),"STANDARD_TO_OPTIONAL",IF(AND(C12="OPTIONAL_AT_RELEASE",E12="STANDARD_AT_RELEASE"),"OPTIONAL_TO_STANDARD",IF(E12="STANDARD_AT_RELEASE","ADDED_STANDARD","REVIEW_CHANGE")))))</x:f>
        <x:v>UNRESOLVED</x:v>
      </x:c>
      <x:c r="M12" s="19" t="str">
        <x:f>IF(OR(E12="NOT_DISCLOSED",G12="NOT_DISCLOSED",E12="CONFLICTED",G12="CONFLICTED"),"UNRESOLVED",IF(E12=G12,"NO_CHANGE",IF(AND(E12="STANDARD_AT_RELEASE",G12="OPTIONAL_AT_RELEASE"),"STANDARD_TO_OPTIONAL",IF(AND(E12="OPTIONAL_AT_RELEASE",G12="STANDARD_AT_RELEASE"),"OPTIONAL_TO_STANDARD",IF(G12="STANDARD_AT_RELEASE","ADDED_STANDARD","REVIEW_CHANGE")))))</x:f>
        <x:v>UNRESOLVED</x:v>
      </x:c>
      <x:c r="N12" s="19" t="str">
        <x:f>IF(OR(G12="NOT_DISCLOSED",I12="NOT_DISCLOSED",G12="CONFLICTED",I12="CONFLICTED"),"UNRESOLVED",IF(G12=I12,"NO_CHANGE",IF(AND(G12="STANDARD_AT_RELEASE",I12="OPTIONAL_AT_RELEASE"),"STANDARD_TO_OPTIONAL",IF(AND(G12="OPTIONAL_AT_RELEASE",I12="STANDARD_AT_RELEASE"),"OPTIONAL_TO_STANDARD",IF(I12="STANDARD_AT_RELEASE","ADDED_STANDARD","REVIEW_CHANGE")))))</x:f>
        <x:v>UNRESOLVED</x:v>
      </x:c>
      <x:c r="O12" s="19" t="str">
        <x:v>ENERGY_SYSTEM</x:v>
      </x:c>
      <x:c r="P12" s="19" t="str">
        <x:v>DC_ENERGY_SYSTEM</x:v>
      </x:c>
      <x:c r="Q12" s="19" t="n">
        <x:f>COUNTIF('50_发布会逐项主张'!$H$6:$H$137,A12)</x:f>
        <x:v>2</x:v>
      </x:c>
      <x:c r="R12" s="19" t="str">
        <x:f>IF(COUNTIFS('50_发布会逐项主张'!$H$6:$H$137,A12,'50_发布会逐项主张'!$X$6:$X$137,"&lt;&gt;NONE")&gt;0,"CONFLICTED","NONE")</x:f>
        <x:v>NONE</x:v>
      </x:c>
    </x:row>
    <x:row r="13" ht="48" customHeight="1">
      <x:c r="A13" s="369" t="str">
        <x:v>battery_chemistry</x:v>
      </x:c>
      <x:c r="B13" s="369" t="str">
        <x:v>ENERGY</x:v>
      </x:c>
      <x:c r="C13" s="369" t="str">
        <x:f>IF(COUNTIFS('51_版本配置事实'!$B$6:$B$127,"PC-N70-BASE-CAND",'51_版本配置事实'!$C$6:$C$127,$A13,'51_版本配置事实'!$T$6:$T$127,"&lt;&gt;NONE")&gt;0,"CONFLICTED",IF(COUNTIFS('51_版本配置事实'!$B$6:$B$127,"PC-N70-BASE-CAND",'51_版本配置事实'!$C$6:$C$127,$A13,'51_版本配置事实'!$I$6:$I$127,"STANDARD_AT_RELEASE")&gt;0,"STANDARD_AT_RELEASE",IF(COUNTIFS('51_版本配置事实'!$B$6:$B$127,"PC-N70-BASE-CAND",'51_版本配置事实'!$C$6:$C$127,$A13,'51_版本配置事实'!$I$6:$I$127,"OPTIONAL_AT_RELEASE")&gt;0,"OPTIONAL_AT_RELEASE",IF(COUNTIFS('51_版本配置事实'!$B$6:$B$127,"PC-N70-BASE-CAND",'51_版本配置事实'!$C$6:$C$127,$A13,'51_版本配置事实'!$I$6:$I$127,"SEPARATE_PURCHASE")&gt;0,"SEPARATE_PURCHASE",IF(COUNTIFS('51_版本配置事实'!$B$6:$B$127,"PC-N70-BASE-CAND",'51_版本配置事实'!$C$6:$C$127,$A13,'51_版本配置事实'!$I$6:$I$127,"EQUIPPED_STANDARD_UNCONFIRMED")&gt;0,"EQUIPPED_STANDARD_UNCONFIRMED",IF(COUNTIFS('51_版本配置事实'!$B$6:$B$127,"PC-N70-BASE-CAND",'51_版本配置事实'!$C$6:$C$127,$A13,'51_版本配置事实'!$I$6:$I$127,"SERIES_CAPABILITY")&gt;0,"SERIES_CAPABILITY",IF(COUNTIFS('51_版本配置事实'!$B$6:$B$127,"PC-N70-BASE-CAND",'51_版本配置事实'!$C$6:$C$127,$A13,'51_版本配置事实'!$I$6:$I$127,"NOT_DISCLOSED")&gt;0,"NOT_DISCLOSED","NOT_DISCLOSED")))))))</x:f>
        <x:v>NOT_DISCLOSED</x:v>
      </x:c>
      <x:c r="D13" s="369" t="str">
        <x:f>IF(COUNTIFS('51_版本配置事实'!$B$6:$B$127,"PC-N70-BASE-CAND",'51_版本配置事实'!$C$6:$C$127,$A13,'51_版本配置事实'!$J$6:$J$127,"STANDARD_CURRENT")&gt;0,"STANDARD_CURRENT","NOT_EVIDENCED")</x:f>
        <x:v>NOT_EVIDENCED</x:v>
      </x:c>
      <x:c r="E13" s="369" t="str">
        <x:f>IF(COUNTIFS('51_版本配置事实'!$B$6:$B$127,"PC-N70-MAX-CAND",'51_版本配置事实'!$C$6:$C$127,$A13,'51_版本配置事实'!$T$6:$T$127,"&lt;&gt;NONE")&gt;0,"CONFLICTED",IF(COUNTIFS('51_版本配置事实'!$B$6:$B$127,"PC-N70-MAX-CAND",'51_版本配置事实'!$C$6:$C$127,$A13,'51_版本配置事实'!$I$6:$I$127,"STANDARD_AT_RELEASE")&gt;0,"STANDARD_AT_RELEASE",IF(COUNTIFS('51_版本配置事实'!$B$6:$B$127,"PC-N70-MAX-CAND",'51_版本配置事实'!$C$6:$C$127,$A13,'51_版本配置事实'!$I$6:$I$127,"OPTIONAL_AT_RELEASE")&gt;0,"OPTIONAL_AT_RELEASE",IF(COUNTIFS('51_版本配置事实'!$B$6:$B$127,"PC-N70-MAX-CAND",'51_版本配置事实'!$C$6:$C$127,$A13,'51_版本配置事实'!$I$6:$I$127,"SEPARATE_PURCHASE")&gt;0,"SEPARATE_PURCHASE",IF(COUNTIFS('51_版本配置事实'!$B$6:$B$127,"PC-N70-MAX-CAND",'51_版本配置事实'!$C$6:$C$127,$A13,'51_版本配置事实'!$I$6:$I$127,"EQUIPPED_STANDARD_UNCONFIRMED")&gt;0,"EQUIPPED_STANDARD_UNCONFIRMED",IF(COUNTIFS('51_版本配置事实'!$B$6:$B$127,"PC-N70-MAX-CAND",'51_版本配置事实'!$C$6:$C$127,$A13,'51_版本配置事实'!$I$6:$I$127,"SERIES_CAPABILITY")&gt;0,"SERIES_CAPABILITY",IF(COUNTIFS('51_版本配置事实'!$B$6:$B$127,"PC-N70-MAX-CAND",'51_版本配置事实'!$C$6:$C$127,$A13,'51_版本配置事实'!$I$6:$I$127,"NOT_DISCLOSED")&gt;0,"NOT_DISCLOSED","NOT_DISCLOSED")))))))</x:f>
        <x:v>NOT_DISCLOSED</x:v>
      </x:c>
      <x:c r="F13" s="369" t="str">
        <x:f>IF(COUNTIFS('51_版本配置事实'!$B$6:$B$127,"PC-N70-MAX-CAND",'51_版本配置事实'!$C$6:$C$127,$A13,'51_版本配置事实'!$J$6:$J$127,"STANDARD_CURRENT")&gt;0,"STANDARD_CURRENT","NOT_EVIDENCED")</x:f>
        <x:v>NOT_EVIDENCED</x:v>
      </x:c>
      <x:c r="G13" s="369" t="str">
        <x:f>IF(COUNTIFS('51_版本配置事实'!$B$6:$B$127,"PC-N90-MAX-CAND",'51_版本配置事实'!$C$6:$C$127,$A13,'51_版本配置事实'!$T$6:$T$127,"&lt;&gt;NONE")&gt;0,"CONFLICTED",IF(COUNTIFS('51_版本配置事实'!$B$6:$B$127,"PC-N90-MAX-CAND",'51_版本配置事实'!$C$6:$C$127,$A13,'51_版本配置事实'!$I$6:$I$127,"STANDARD_AT_RELEASE")&gt;0,"STANDARD_AT_RELEASE",IF(COUNTIFS('51_版本配置事实'!$B$6:$B$127,"PC-N90-MAX-CAND",'51_版本配置事实'!$C$6:$C$127,$A13,'51_版本配置事实'!$I$6:$I$127,"OPTIONAL_AT_RELEASE")&gt;0,"OPTIONAL_AT_RELEASE",IF(COUNTIFS('51_版本配置事实'!$B$6:$B$127,"PC-N90-MAX-CAND",'51_版本配置事实'!$C$6:$C$127,$A13,'51_版本配置事实'!$I$6:$I$127,"SEPARATE_PURCHASE")&gt;0,"SEPARATE_PURCHASE",IF(COUNTIFS('51_版本配置事实'!$B$6:$B$127,"PC-N90-MAX-CAND",'51_版本配置事实'!$C$6:$C$127,$A13,'51_版本配置事实'!$I$6:$I$127,"EQUIPPED_STANDARD_UNCONFIRMED")&gt;0,"EQUIPPED_STANDARD_UNCONFIRMED",IF(COUNTIFS('51_版本配置事实'!$B$6:$B$127,"PC-N90-MAX-CAND",'51_版本配置事实'!$C$6:$C$127,$A13,'51_版本配置事实'!$I$6:$I$127,"SERIES_CAPABILITY")&gt;0,"SERIES_CAPABILITY",IF(COUNTIFS('51_版本配置事实'!$B$6:$B$127,"PC-N90-MAX-CAND",'51_版本配置事实'!$C$6:$C$127,$A13,'51_版本配置事实'!$I$6:$I$127,"NOT_DISCLOSED")&gt;0,"NOT_DISCLOSED","NOT_DISCLOSED")))))))</x:f>
        <x:v>EQUIPPED_STANDARD_UNCONFIRMED</x:v>
      </x:c>
      <x:c r="H13" s="369" t="str">
        <x:f>IF(COUNTIFS('51_版本配置事实'!$B$6:$B$127,"PC-N90-MAX-CAND",'51_版本配置事实'!$C$6:$C$127,$A13,'51_版本配置事实'!$J$6:$J$127,"STANDARD_CURRENT")&gt;0,"STANDARD_CURRENT","NOT_EVIDENCED")</x:f>
        <x:v>NOT_EVIDENCED</x:v>
      </x:c>
      <x:c r="I13" s="369" t="str">
        <x:f>IF(COUNTIFS('51_版本配置事实'!$B$6:$B$127,"PC-N90-ROOF-CAND",'51_版本配置事实'!$C$6:$C$127,$A13,'51_版本配置事实'!$T$6:$T$127,"&lt;&gt;NONE")&gt;0,"CONFLICTED",IF(COUNTIFS('51_版本配置事实'!$B$6:$B$127,"PC-N90-ROOF-CAND",'51_版本配置事实'!$C$6:$C$127,$A13,'51_版本配置事实'!$I$6:$I$127,"STANDARD_AT_RELEASE")&gt;0,"STANDARD_AT_RELEASE",IF(COUNTIFS('51_版本配置事实'!$B$6:$B$127,"PC-N90-ROOF-CAND",'51_版本配置事实'!$C$6:$C$127,$A13,'51_版本配置事实'!$I$6:$I$127,"OPTIONAL_AT_RELEASE")&gt;0,"OPTIONAL_AT_RELEASE",IF(COUNTIFS('51_版本配置事实'!$B$6:$B$127,"PC-N90-ROOF-CAND",'51_版本配置事实'!$C$6:$C$127,$A13,'51_版本配置事实'!$I$6:$I$127,"SEPARATE_PURCHASE")&gt;0,"SEPARATE_PURCHASE",IF(COUNTIFS('51_版本配置事实'!$B$6:$B$127,"PC-N90-ROOF-CAND",'51_版本配置事实'!$C$6:$C$127,$A13,'51_版本配置事实'!$I$6:$I$127,"EQUIPPED_STANDARD_UNCONFIRMED")&gt;0,"EQUIPPED_STANDARD_UNCONFIRMED",IF(COUNTIFS('51_版本配置事实'!$B$6:$B$127,"PC-N90-ROOF-CAND",'51_版本配置事实'!$C$6:$C$127,$A13,'51_版本配置事实'!$I$6:$I$127,"SERIES_CAPABILITY")&gt;0,"SERIES_CAPABILITY",IF(COUNTIFS('51_版本配置事实'!$B$6:$B$127,"PC-N90-ROOF-CAND",'51_版本配置事实'!$C$6:$C$127,$A13,'51_版本配置事实'!$I$6:$I$127,"NOT_DISCLOSED")&gt;0,"NOT_DISCLOSED","NOT_DISCLOSED")))))))</x:f>
        <x:v>NOT_DISCLOSED</x:v>
      </x:c>
      <x:c r="J13" s="369" t="str">
        <x:f>IF(COUNTIFS('51_版本配置事实'!$B$6:$B$127,"PC-N90-ROOF-CAND",'51_版本配置事实'!$C$6:$C$127,$A13,'51_版本配置事实'!$J$6:$J$127,"STANDARD_CURRENT")&gt;0,"STANDARD_CURRENT","NOT_EVIDENCED")</x:f>
        <x:v>NOT_EVIDENCED</x:v>
      </x:c>
      <x:c r="K13" s="369" t="str">
        <x:f>IF(AND(E13=G13,E13&lt;&gt;"NOT_DISCLOSED",E13&lt;&gt;"CONFLICTED"),IF(COUNTIFS('50_发布会逐项主张'!$H$6:$H$137,$A13,'50_发布会逐项主张'!$O$6:$O$137,"ALL_PENGCHENG")&gt;0,"EXPLICIT_COMMON_ANNOUNCED_MAX","MATCHED_NOT_PROVED_COMMON"),"NOT_PROVED_COMMON")</x:f>
        <x:v>NOT_PROVED_COMMON</x:v>
      </x:c>
      <x:c r="L13" s="369" t="str">
        <x:f>IF(OR(C13="NOT_DISCLOSED",E13="NOT_DISCLOSED",C13="CONFLICTED",E13="CONFLICTED"),"UNRESOLVED",IF(C13=E13,"NO_CHANGE",IF(AND(C13="STANDARD_AT_RELEASE",E13="OPTIONAL_AT_RELEASE"),"STANDARD_TO_OPTIONAL",IF(AND(C13="OPTIONAL_AT_RELEASE",E13="STANDARD_AT_RELEASE"),"OPTIONAL_TO_STANDARD",IF(E13="STANDARD_AT_RELEASE","ADDED_STANDARD","REVIEW_CHANGE")))))</x:f>
        <x:v>UNRESOLVED</x:v>
      </x:c>
      <x:c r="M13" s="369" t="str">
        <x:f>IF(OR(E13="NOT_DISCLOSED",G13="NOT_DISCLOSED",E13="CONFLICTED",G13="CONFLICTED"),"UNRESOLVED",IF(E13=G13,"NO_CHANGE",IF(AND(E13="STANDARD_AT_RELEASE",G13="OPTIONAL_AT_RELEASE"),"STANDARD_TO_OPTIONAL",IF(AND(E13="OPTIONAL_AT_RELEASE",G13="STANDARD_AT_RELEASE"),"OPTIONAL_TO_STANDARD",IF(G13="STANDARD_AT_RELEASE","ADDED_STANDARD","REVIEW_CHANGE")))))</x:f>
        <x:v>UNRESOLVED</x:v>
      </x:c>
      <x:c r="N13" s="369" t="str">
        <x:f>IF(OR(G13="NOT_DISCLOSED",I13="NOT_DISCLOSED",G13="CONFLICTED",I13="CONFLICTED"),"UNRESOLVED",IF(G13=I13,"NO_CHANGE",IF(AND(G13="STANDARD_AT_RELEASE",I13="OPTIONAL_AT_RELEASE"),"STANDARD_TO_OPTIONAL",IF(AND(G13="OPTIONAL_AT_RELEASE",I13="STANDARD_AT_RELEASE"),"OPTIONAL_TO_STANDARD",IF(I13="STANDARD_AT_RELEASE","ADDED_STANDARD","REVIEW_CHANGE")))))</x:f>
        <x:v>UNRESOLVED</x:v>
      </x:c>
      <x:c r="O13" s="369" t="str">
        <x:v>ENERGY_SYSTEM</x:v>
      </x:c>
      <x:c r="P13" s="369" t="str">
        <x:v>DC_ENERGY_SYSTEM</x:v>
      </x:c>
      <x:c r="Q13" s="369" t="n">
        <x:f>COUNTIF('50_发布会逐项主张'!$H$6:$H$137,A13)</x:f>
        <x:v>1</x:v>
      </x:c>
      <x:c r="R13" s="369" t="str">
        <x:f>IF(COUNTIFS('50_发布会逐项主张'!$H$6:$H$137,A13,'50_发布会逐项主张'!$X$6:$X$137,"&lt;&gt;NONE")&gt;0,"CONFLICTED","NONE")</x:f>
        <x:v>NONE</x:v>
      </x:c>
    </x:row>
    <x:row r="14" ht="48" customHeight="1">
      <x:c r="A14" s="19" t="str">
        <x:v>battery_safety_layers</x:v>
      </x:c>
      <x:c r="B14" s="19" t="str">
        <x:v>SAFETY</x:v>
      </x:c>
      <x:c r="C14" s="19" t="str">
        <x:f>IF(COUNTIFS('51_版本配置事实'!$B$6:$B$127,"PC-N70-BASE-CAND",'51_版本配置事实'!$C$6:$C$127,$A14,'51_版本配置事实'!$T$6:$T$127,"&lt;&gt;NONE")&gt;0,"CONFLICTED",IF(COUNTIFS('51_版本配置事实'!$B$6:$B$127,"PC-N70-BASE-CAND",'51_版本配置事实'!$C$6:$C$127,$A14,'51_版本配置事实'!$I$6:$I$127,"STANDARD_AT_RELEASE")&gt;0,"STANDARD_AT_RELEASE",IF(COUNTIFS('51_版本配置事实'!$B$6:$B$127,"PC-N70-BASE-CAND",'51_版本配置事实'!$C$6:$C$127,$A14,'51_版本配置事实'!$I$6:$I$127,"OPTIONAL_AT_RELEASE")&gt;0,"OPTIONAL_AT_RELEASE",IF(COUNTIFS('51_版本配置事实'!$B$6:$B$127,"PC-N70-BASE-CAND",'51_版本配置事实'!$C$6:$C$127,$A14,'51_版本配置事实'!$I$6:$I$127,"SEPARATE_PURCHASE")&gt;0,"SEPARATE_PURCHASE",IF(COUNTIFS('51_版本配置事实'!$B$6:$B$127,"PC-N70-BASE-CAND",'51_版本配置事实'!$C$6:$C$127,$A14,'51_版本配置事实'!$I$6:$I$127,"EQUIPPED_STANDARD_UNCONFIRMED")&gt;0,"EQUIPPED_STANDARD_UNCONFIRMED",IF(COUNTIFS('51_版本配置事实'!$B$6:$B$127,"PC-N70-BASE-CAND",'51_版本配置事实'!$C$6:$C$127,$A14,'51_版本配置事实'!$I$6:$I$127,"SERIES_CAPABILITY")&gt;0,"SERIES_CAPABILITY",IF(COUNTIFS('51_版本配置事实'!$B$6:$B$127,"PC-N70-BASE-CAND",'51_版本配置事实'!$C$6:$C$127,$A14,'51_版本配置事实'!$I$6:$I$127,"NOT_DISCLOSED")&gt;0,"NOT_DISCLOSED","NOT_DISCLOSED")))))))</x:f>
        <x:v>NOT_DISCLOSED</x:v>
      </x:c>
      <x:c r="D14" s="19" t="str">
        <x:f>IF(COUNTIFS('51_版本配置事实'!$B$6:$B$127,"PC-N70-BASE-CAND",'51_版本配置事实'!$C$6:$C$127,$A14,'51_版本配置事实'!$J$6:$J$127,"STANDARD_CURRENT")&gt;0,"STANDARD_CURRENT","NOT_EVIDENCED")</x:f>
        <x:v>NOT_EVIDENCED</x:v>
      </x:c>
      <x:c r="E14" s="19" t="str">
        <x:f>IF(COUNTIFS('51_版本配置事实'!$B$6:$B$127,"PC-N70-MAX-CAND",'51_版本配置事实'!$C$6:$C$127,$A14,'51_版本配置事实'!$T$6:$T$127,"&lt;&gt;NONE")&gt;0,"CONFLICTED",IF(COUNTIFS('51_版本配置事实'!$B$6:$B$127,"PC-N70-MAX-CAND",'51_版本配置事实'!$C$6:$C$127,$A14,'51_版本配置事实'!$I$6:$I$127,"STANDARD_AT_RELEASE")&gt;0,"STANDARD_AT_RELEASE",IF(COUNTIFS('51_版本配置事实'!$B$6:$B$127,"PC-N70-MAX-CAND",'51_版本配置事实'!$C$6:$C$127,$A14,'51_版本配置事实'!$I$6:$I$127,"OPTIONAL_AT_RELEASE")&gt;0,"OPTIONAL_AT_RELEASE",IF(COUNTIFS('51_版本配置事实'!$B$6:$B$127,"PC-N70-MAX-CAND",'51_版本配置事实'!$C$6:$C$127,$A14,'51_版本配置事实'!$I$6:$I$127,"SEPARATE_PURCHASE")&gt;0,"SEPARATE_PURCHASE",IF(COUNTIFS('51_版本配置事实'!$B$6:$B$127,"PC-N70-MAX-CAND",'51_版本配置事实'!$C$6:$C$127,$A14,'51_版本配置事实'!$I$6:$I$127,"EQUIPPED_STANDARD_UNCONFIRMED")&gt;0,"EQUIPPED_STANDARD_UNCONFIRMED",IF(COUNTIFS('51_版本配置事实'!$B$6:$B$127,"PC-N70-MAX-CAND",'51_版本配置事实'!$C$6:$C$127,$A14,'51_版本配置事实'!$I$6:$I$127,"SERIES_CAPABILITY")&gt;0,"SERIES_CAPABILITY",IF(COUNTIFS('51_版本配置事实'!$B$6:$B$127,"PC-N70-MAX-CAND",'51_版本配置事实'!$C$6:$C$127,$A14,'51_版本配置事实'!$I$6:$I$127,"NOT_DISCLOSED")&gt;0,"NOT_DISCLOSED","NOT_DISCLOSED")))))))</x:f>
        <x:v>NOT_DISCLOSED</x:v>
      </x:c>
      <x:c r="F14" s="19" t="str">
        <x:f>IF(COUNTIFS('51_版本配置事实'!$B$6:$B$127,"PC-N70-MAX-CAND",'51_版本配置事实'!$C$6:$C$127,$A14,'51_版本配置事实'!$J$6:$J$127,"STANDARD_CURRENT")&gt;0,"STANDARD_CURRENT","NOT_EVIDENCED")</x:f>
        <x:v>NOT_EVIDENCED</x:v>
      </x:c>
      <x:c r="G14" s="19" t="str">
        <x:f>IF(COUNTIFS('51_版本配置事实'!$B$6:$B$127,"PC-N90-MAX-CAND",'51_版本配置事实'!$C$6:$C$127,$A14,'51_版本配置事实'!$T$6:$T$127,"&lt;&gt;NONE")&gt;0,"CONFLICTED",IF(COUNTIFS('51_版本配置事实'!$B$6:$B$127,"PC-N90-MAX-CAND",'51_版本配置事实'!$C$6:$C$127,$A14,'51_版本配置事实'!$I$6:$I$127,"STANDARD_AT_RELEASE")&gt;0,"STANDARD_AT_RELEASE",IF(COUNTIFS('51_版本配置事实'!$B$6:$B$127,"PC-N90-MAX-CAND",'51_版本配置事实'!$C$6:$C$127,$A14,'51_版本配置事实'!$I$6:$I$127,"OPTIONAL_AT_RELEASE")&gt;0,"OPTIONAL_AT_RELEASE",IF(COUNTIFS('51_版本配置事实'!$B$6:$B$127,"PC-N90-MAX-CAND",'51_版本配置事实'!$C$6:$C$127,$A14,'51_版本配置事实'!$I$6:$I$127,"SEPARATE_PURCHASE")&gt;0,"SEPARATE_PURCHASE",IF(COUNTIFS('51_版本配置事实'!$B$6:$B$127,"PC-N90-MAX-CAND",'51_版本配置事实'!$C$6:$C$127,$A14,'51_版本配置事实'!$I$6:$I$127,"EQUIPPED_STANDARD_UNCONFIRMED")&gt;0,"EQUIPPED_STANDARD_UNCONFIRMED",IF(COUNTIFS('51_版本配置事实'!$B$6:$B$127,"PC-N90-MAX-CAND",'51_版本配置事实'!$C$6:$C$127,$A14,'51_版本配置事实'!$I$6:$I$127,"SERIES_CAPABILITY")&gt;0,"SERIES_CAPABILITY",IF(COUNTIFS('51_版本配置事实'!$B$6:$B$127,"PC-N90-MAX-CAND",'51_版本配置事实'!$C$6:$C$127,$A14,'51_版本配置事实'!$I$6:$I$127,"NOT_DISCLOSED")&gt;0,"NOT_DISCLOSED","NOT_DISCLOSED")))))))</x:f>
        <x:v>EQUIPPED_STANDARD_UNCONFIRMED</x:v>
      </x:c>
      <x:c r="H14" s="19" t="str">
        <x:f>IF(COUNTIFS('51_版本配置事实'!$B$6:$B$127,"PC-N90-MAX-CAND",'51_版本配置事实'!$C$6:$C$127,$A14,'51_版本配置事实'!$J$6:$J$127,"STANDARD_CURRENT")&gt;0,"STANDARD_CURRENT","NOT_EVIDENCED")</x:f>
        <x:v>NOT_EVIDENCED</x:v>
      </x:c>
      <x:c r="I14" s="19" t="str">
        <x:f>IF(COUNTIFS('51_版本配置事实'!$B$6:$B$127,"PC-N90-ROOF-CAND",'51_版本配置事实'!$C$6:$C$127,$A14,'51_版本配置事实'!$T$6:$T$127,"&lt;&gt;NONE")&gt;0,"CONFLICTED",IF(COUNTIFS('51_版本配置事实'!$B$6:$B$127,"PC-N90-ROOF-CAND",'51_版本配置事实'!$C$6:$C$127,$A14,'51_版本配置事实'!$I$6:$I$127,"STANDARD_AT_RELEASE")&gt;0,"STANDARD_AT_RELEASE",IF(COUNTIFS('51_版本配置事实'!$B$6:$B$127,"PC-N90-ROOF-CAND",'51_版本配置事实'!$C$6:$C$127,$A14,'51_版本配置事实'!$I$6:$I$127,"OPTIONAL_AT_RELEASE")&gt;0,"OPTIONAL_AT_RELEASE",IF(COUNTIFS('51_版本配置事实'!$B$6:$B$127,"PC-N90-ROOF-CAND",'51_版本配置事实'!$C$6:$C$127,$A14,'51_版本配置事实'!$I$6:$I$127,"SEPARATE_PURCHASE")&gt;0,"SEPARATE_PURCHASE",IF(COUNTIFS('51_版本配置事实'!$B$6:$B$127,"PC-N90-ROOF-CAND",'51_版本配置事实'!$C$6:$C$127,$A14,'51_版本配置事实'!$I$6:$I$127,"EQUIPPED_STANDARD_UNCONFIRMED")&gt;0,"EQUIPPED_STANDARD_UNCONFIRMED",IF(COUNTIFS('51_版本配置事实'!$B$6:$B$127,"PC-N90-ROOF-CAND",'51_版本配置事实'!$C$6:$C$127,$A14,'51_版本配置事实'!$I$6:$I$127,"SERIES_CAPABILITY")&gt;0,"SERIES_CAPABILITY",IF(COUNTIFS('51_版本配置事实'!$B$6:$B$127,"PC-N90-ROOF-CAND",'51_版本配置事实'!$C$6:$C$127,$A14,'51_版本配置事实'!$I$6:$I$127,"NOT_DISCLOSED")&gt;0,"NOT_DISCLOSED","NOT_DISCLOSED")))))))</x:f>
        <x:v>NOT_DISCLOSED</x:v>
      </x:c>
      <x:c r="J14" s="19" t="str">
        <x:f>IF(COUNTIFS('51_版本配置事实'!$B$6:$B$127,"PC-N90-ROOF-CAND",'51_版本配置事实'!$C$6:$C$127,$A14,'51_版本配置事实'!$J$6:$J$127,"STANDARD_CURRENT")&gt;0,"STANDARD_CURRENT","NOT_EVIDENCED")</x:f>
        <x:v>NOT_EVIDENCED</x:v>
      </x:c>
      <x:c r="K14" s="19" t="str">
        <x:f>IF(AND(E14=G14,E14&lt;&gt;"NOT_DISCLOSED",E14&lt;&gt;"CONFLICTED"),IF(COUNTIFS('50_发布会逐项主张'!$H$6:$H$137,$A14,'50_发布会逐项主张'!$O$6:$O$137,"ALL_PENGCHENG")&gt;0,"EXPLICIT_COMMON_ANNOUNCED_MAX","MATCHED_NOT_PROVED_COMMON"),"NOT_PROVED_COMMON")</x:f>
        <x:v>NOT_PROVED_COMMON</x:v>
      </x:c>
      <x:c r="L14" s="19" t="str">
        <x:f>IF(OR(C14="NOT_DISCLOSED",E14="NOT_DISCLOSED",C14="CONFLICTED",E14="CONFLICTED"),"UNRESOLVED",IF(C14=E14,"NO_CHANGE",IF(AND(C14="STANDARD_AT_RELEASE",E14="OPTIONAL_AT_RELEASE"),"STANDARD_TO_OPTIONAL",IF(AND(C14="OPTIONAL_AT_RELEASE",E14="STANDARD_AT_RELEASE"),"OPTIONAL_TO_STANDARD",IF(E14="STANDARD_AT_RELEASE","ADDED_STANDARD","REVIEW_CHANGE")))))</x:f>
        <x:v>UNRESOLVED</x:v>
      </x:c>
      <x:c r="M14" s="19" t="str">
        <x:f>IF(OR(E14="NOT_DISCLOSED",G14="NOT_DISCLOSED",E14="CONFLICTED",G14="CONFLICTED"),"UNRESOLVED",IF(E14=G14,"NO_CHANGE",IF(AND(E14="STANDARD_AT_RELEASE",G14="OPTIONAL_AT_RELEASE"),"STANDARD_TO_OPTIONAL",IF(AND(E14="OPTIONAL_AT_RELEASE",G14="STANDARD_AT_RELEASE"),"OPTIONAL_TO_STANDARD",IF(G14="STANDARD_AT_RELEASE","ADDED_STANDARD","REVIEW_CHANGE")))))</x:f>
        <x:v>UNRESOLVED</x:v>
      </x:c>
      <x:c r="N14" s="19" t="str">
        <x:f>IF(OR(G14="NOT_DISCLOSED",I14="NOT_DISCLOSED",G14="CONFLICTED",I14="CONFLICTED"),"UNRESOLVED",IF(G14=I14,"NO_CHANGE",IF(AND(G14="STANDARD_AT_RELEASE",I14="OPTIONAL_AT_RELEASE"),"STANDARD_TO_OPTIONAL",IF(AND(G14="OPTIONAL_AT_RELEASE",I14="STANDARD_AT_RELEASE"),"OPTIONAL_TO_STANDARD",IF(I14="STANDARD_AT_RELEASE","ADDED_STANDARD","REVIEW_CHANGE")))))</x:f>
        <x:v>UNRESOLVED</x:v>
      </x:c>
      <x:c r="O14" s="19" t="str">
        <x:v>OTHER</x:v>
      </x:c>
      <x:c r="P14" s="19" t="str">
        <x:v>DC_SAFETY_battery_safety_layers</x:v>
      </x:c>
      <x:c r="Q14" s="19" t="n">
        <x:f>COUNTIF('50_发布会逐项主张'!$H$6:$H$137,A14)</x:f>
        <x:v>1</x:v>
      </x:c>
      <x:c r="R14" s="19" t="str">
        <x:f>IF(COUNTIFS('50_发布会逐项主张'!$H$6:$H$137,A14,'50_发布会逐项主张'!$X$6:$X$137,"&lt;&gt;NONE")&gt;0,"CONFLICTED","NONE")</x:f>
        <x:v>NONE</x:v>
      </x:c>
    </x:row>
    <x:row r="15" ht="48" customHeight="1">
      <x:c r="A15" s="369" t="str">
        <x:v>battery_thermal_propagation</x:v>
      </x:c>
      <x:c r="B15" s="369" t="str">
        <x:v>SAFETY</x:v>
      </x:c>
      <x:c r="C15" s="369" t="str">
        <x:f>IF(COUNTIFS('51_版本配置事实'!$B$6:$B$127,"PC-N70-BASE-CAND",'51_版本配置事实'!$C$6:$C$127,$A15,'51_版本配置事实'!$T$6:$T$127,"&lt;&gt;NONE")&gt;0,"CONFLICTED",IF(COUNTIFS('51_版本配置事实'!$B$6:$B$127,"PC-N70-BASE-CAND",'51_版本配置事实'!$C$6:$C$127,$A15,'51_版本配置事实'!$I$6:$I$127,"STANDARD_AT_RELEASE")&gt;0,"STANDARD_AT_RELEASE",IF(COUNTIFS('51_版本配置事实'!$B$6:$B$127,"PC-N70-BASE-CAND",'51_版本配置事实'!$C$6:$C$127,$A15,'51_版本配置事实'!$I$6:$I$127,"OPTIONAL_AT_RELEASE")&gt;0,"OPTIONAL_AT_RELEASE",IF(COUNTIFS('51_版本配置事实'!$B$6:$B$127,"PC-N70-BASE-CAND",'51_版本配置事实'!$C$6:$C$127,$A15,'51_版本配置事实'!$I$6:$I$127,"SEPARATE_PURCHASE")&gt;0,"SEPARATE_PURCHASE",IF(COUNTIFS('51_版本配置事实'!$B$6:$B$127,"PC-N70-BASE-CAND",'51_版本配置事实'!$C$6:$C$127,$A15,'51_版本配置事实'!$I$6:$I$127,"EQUIPPED_STANDARD_UNCONFIRMED")&gt;0,"EQUIPPED_STANDARD_UNCONFIRMED",IF(COUNTIFS('51_版本配置事实'!$B$6:$B$127,"PC-N70-BASE-CAND",'51_版本配置事实'!$C$6:$C$127,$A15,'51_版本配置事实'!$I$6:$I$127,"SERIES_CAPABILITY")&gt;0,"SERIES_CAPABILITY",IF(COUNTIFS('51_版本配置事实'!$B$6:$B$127,"PC-N70-BASE-CAND",'51_版本配置事实'!$C$6:$C$127,$A15,'51_版本配置事实'!$I$6:$I$127,"NOT_DISCLOSED")&gt;0,"NOT_DISCLOSED","NOT_DISCLOSED")))))))</x:f>
        <x:v>NOT_DISCLOSED</x:v>
      </x:c>
      <x:c r="D15" s="369" t="str">
        <x:f>IF(COUNTIFS('51_版本配置事实'!$B$6:$B$127,"PC-N70-BASE-CAND",'51_版本配置事实'!$C$6:$C$127,$A15,'51_版本配置事实'!$J$6:$J$127,"STANDARD_CURRENT")&gt;0,"STANDARD_CURRENT","NOT_EVIDENCED")</x:f>
        <x:v>NOT_EVIDENCED</x:v>
      </x:c>
      <x:c r="E15" s="369" t="str">
        <x:f>IF(COUNTIFS('51_版本配置事实'!$B$6:$B$127,"PC-N70-MAX-CAND",'51_版本配置事实'!$C$6:$C$127,$A15,'51_版本配置事实'!$T$6:$T$127,"&lt;&gt;NONE")&gt;0,"CONFLICTED",IF(COUNTIFS('51_版本配置事实'!$B$6:$B$127,"PC-N70-MAX-CAND",'51_版本配置事实'!$C$6:$C$127,$A15,'51_版本配置事实'!$I$6:$I$127,"STANDARD_AT_RELEASE")&gt;0,"STANDARD_AT_RELEASE",IF(COUNTIFS('51_版本配置事实'!$B$6:$B$127,"PC-N70-MAX-CAND",'51_版本配置事实'!$C$6:$C$127,$A15,'51_版本配置事实'!$I$6:$I$127,"OPTIONAL_AT_RELEASE")&gt;0,"OPTIONAL_AT_RELEASE",IF(COUNTIFS('51_版本配置事实'!$B$6:$B$127,"PC-N70-MAX-CAND",'51_版本配置事实'!$C$6:$C$127,$A15,'51_版本配置事实'!$I$6:$I$127,"SEPARATE_PURCHASE")&gt;0,"SEPARATE_PURCHASE",IF(COUNTIFS('51_版本配置事实'!$B$6:$B$127,"PC-N70-MAX-CAND",'51_版本配置事实'!$C$6:$C$127,$A15,'51_版本配置事实'!$I$6:$I$127,"EQUIPPED_STANDARD_UNCONFIRMED")&gt;0,"EQUIPPED_STANDARD_UNCONFIRMED",IF(COUNTIFS('51_版本配置事实'!$B$6:$B$127,"PC-N70-MAX-CAND",'51_版本配置事实'!$C$6:$C$127,$A15,'51_版本配置事实'!$I$6:$I$127,"SERIES_CAPABILITY")&gt;0,"SERIES_CAPABILITY",IF(COUNTIFS('51_版本配置事实'!$B$6:$B$127,"PC-N70-MAX-CAND",'51_版本配置事实'!$C$6:$C$127,$A15,'51_版本配置事实'!$I$6:$I$127,"NOT_DISCLOSED")&gt;0,"NOT_DISCLOSED","NOT_DISCLOSED")))))))</x:f>
        <x:v>NOT_DISCLOSED</x:v>
      </x:c>
      <x:c r="F15" s="369" t="str">
        <x:f>IF(COUNTIFS('51_版本配置事实'!$B$6:$B$127,"PC-N70-MAX-CAND",'51_版本配置事实'!$C$6:$C$127,$A15,'51_版本配置事实'!$J$6:$J$127,"STANDARD_CURRENT")&gt;0,"STANDARD_CURRENT","NOT_EVIDENCED")</x:f>
        <x:v>NOT_EVIDENCED</x:v>
      </x:c>
      <x:c r="G15" s="369" t="str">
        <x:f>IF(COUNTIFS('51_版本配置事实'!$B$6:$B$127,"PC-N90-MAX-CAND",'51_版本配置事实'!$C$6:$C$127,$A15,'51_版本配置事实'!$T$6:$T$127,"&lt;&gt;NONE")&gt;0,"CONFLICTED",IF(COUNTIFS('51_版本配置事实'!$B$6:$B$127,"PC-N90-MAX-CAND",'51_版本配置事实'!$C$6:$C$127,$A15,'51_版本配置事实'!$I$6:$I$127,"STANDARD_AT_RELEASE")&gt;0,"STANDARD_AT_RELEASE",IF(COUNTIFS('51_版本配置事实'!$B$6:$B$127,"PC-N90-MAX-CAND",'51_版本配置事实'!$C$6:$C$127,$A15,'51_版本配置事实'!$I$6:$I$127,"OPTIONAL_AT_RELEASE")&gt;0,"OPTIONAL_AT_RELEASE",IF(COUNTIFS('51_版本配置事实'!$B$6:$B$127,"PC-N90-MAX-CAND",'51_版本配置事实'!$C$6:$C$127,$A15,'51_版本配置事实'!$I$6:$I$127,"SEPARATE_PURCHASE")&gt;0,"SEPARATE_PURCHASE",IF(COUNTIFS('51_版本配置事实'!$B$6:$B$127,"PC-N90-MAX-CAND",'51_版本配置事实'!$C$6:$C$127,$A15,'51_版本配置事实'!$I$6:$I$127,"EQUIPPED_STANDARD_UNCONFIRMED")&gt;0,"EQUIPPED_STANDARD_UNCONFIRMED",IF(COUNTIFS('51_版本配置事实'!$B$6:$B$127,"PC-N90-MAX-CAND",'51_版本配置事实'!$C$6:$C$127,$A15,'51_版本配置事实'!$I$6:$I$127,"SERIES_CAPABILITY")&gt;0,"SERIES_CAPABILITY",IF(COUNTIFS('51_版本配置事实'!$B$6:$B$127,"PC-N90-MAX-CAND",'51_版本配置事实'!$C$6:$C$127,$A15,'51_版本配置事实'!$I$6:$I$127,"NOT_DISCLOSED")&gt;0,"NOT_DISCLOSED","NOT_DISCLOSED")))))))</x:f>
        <x:v>EQUIPPED_STANDARD_UNCONFIRMED</x:v>
      </x:c>
      <x:c r="H15" s="369" t="str">
        <x:f>IF(COUNTIFS('51_版本配置事实'!$B$6:$B$127,"PC-N90-MAX-CAND",'51_版本配置事实'!$C$6:$C$127,$A15,'51_版本配置事实'!$J$6:$J$127,"STANDARD_CURRENT")&gt;0,"STANDARD_CURRENT","NOT_EVIDENCED")</x:f>
        <x:v>NOT_EVIDENCED</x:v>
      </x:c>
      <x:c r="I15" s="369" t="str">
        <x:f>IF(COUNTIFS('51_版本配置事实'!$B$6:$B$127,"PC-N90-ROOF-CAND",'51_版本配置事实'!$C$6:$C$127,$A15,'51_版本配置事实'!$T$6:$T$127,"&lt;&gt;NONE")&gt;0,"CONFLICTED",IF(COUNTIFS('51_版本配置事实'!$B$6:$B$127,"PC-N90-ROOF-CAND",'51_版本配置事实'!$C$6:$C$127,$A15,'51_版本配置事实'!$I$6:$I$127,"STANDARD_AT_RELEASE")&gt;0,"STANDARD_AT_RELEASE",IF(COUNTIFS('51_版本配置事实'!$B$6:$B$127,"PC-N90-ROOF-CAND",'51_版本配置事实'!$C$6:$C$127,$A15,'51_版本配置事实'!$I$6:$I$127,"OPTIONAL_AT_RELEASE")&gt;0,"OPTIONAL_AT_RELEASE",IF(COUNTIFS('51_版本配置事实'!$B$6:$B$127,"PC-N90-ROOF-CAND",'51_版本配置事实'!$C$6:$C$127,$A15,'51_版本配置事实'!$I$6:$I$127,"SEPARATE_PURCHASE")&gt;0,"SEPARATE_PURCHASE",IF(COUNTIFS('51_版本配置事实'!$B$6:$B$127,"PC-N90-ROOF-CAND",'51_版本配置事实'!$C$6:$C$127,$A15,'51_版本配置事实'!$I$6:$I$127,"EQUIPPED_STANDARD_UNCONFIRMED")&gt;0,"EQUIPPED_STANDARD_UNCONFIRMED",IF(COUNTIFS('51_版本配置事实'!$B$6:$B$127,"PC-N90-ROOF-CAND",'51_版本配置事实'!$C$6:$C$127,$A15,'51_版本配置事实'!$I$6:$I$127,"SERIES_CAPABILITY")&gt;0,"SERIES_CAPABILITY",IF(COUNTIFS('51_版本配置事实'!$B$6:$B$127,"PC-N90-ROOF-CAND",'51_版本配置事实'!$C$6:$C$127,$A15,'51_版本配置事实'!$I$6:$I$127,"NOT_DISCLOSED")&gt;0,"NOT_DISCLOSED","NOT_DISCLOSED")))))))</x:f>
        <x:v>NOT_DISCLOSED</x:v>
      </x:c>
      <x:c r="J15" s="369" t="str">
        <x:f>IF(COUNTIFS('51_版本配置事实'!$B$6:$B$127,"PC-N90-ROOF-CAND",'51_版本配置事实'!$C$6:$C$127,$A15,'51_版本配置事实'!$J$6:$J$127,"STANDARD_CURRENT")&gt;0,"STANDARD_CURRENT","NOT_EVIDENCED")</x:f>
        <x:v>NOT_EVIDENCED</x:v>
      </x:c>
      <x:c r="K15" s="369" t="str">
        <x:f>IF(AND(E15=G15,E15&lt;&gt;"NOT_DISCLOSED",E15&lt;&gt;"CONFLICTED"),IF(COUNTIFS('50_发布会逐项主张'!$H$6:$H$137,$A15,'50_发布会逐项主张'!$O$6:$O$137,"ALL_PENGCHENG")&gt;0,"EXPLICIT_COMMON_ANNOUNCED_MAX","MATCHED_NOT_PROVED_COMMON"),"NOT_PROVED_COMMON")</x:f>
        <x:v>NOT_PROVED_COMMON</x:v>
      </x:c>
      <x:c r="L15" s="369" t="str">
        <x:f>IF(OR(C15="NOT_DISCLOSED",E15="NOT_DISCLOSED",C15="CONFLICTED",E15="CONFLICTED"),"UNRESOLVED",IF(C15=E15,"NO_CHANGE",IF(AND(C15="STANDARD_AT_RELEASE",E15="OPTIONAL_AT_RELEASE"),"STANDARD_TO_OPTIONAL",IF(AND(C15="OPTIONAL_AT_RELEASE",E15="STANDARD_AT_RELEASE"),"OPTIONAL_TO_STANDARD",IF(E15="STANDARD_AT_RELEASE","ADDED_STANDARD","REVIEW_CHANGE")))))</x:f>
        <x:v>UNRESOLVED</x:v>
      </x:c>
      <x:c r="M15" s="369" t="str">
        <x:f>IF(OR(E15="NOT_DISCLOSED",G15="NOT_DISCLOSED",E15="CONFLICTED",G15="CONFLICTED"),"UNRESOLVED",IF(E15=G15,"NO_CHANGE",IF(AND(E15="STANDARD_AT_RELEASE",G15="OPTIONAL_AT_RELEASE"),"STANDARD_TO_OPTIONAL",IF(AND(E15="OPTIONAL_AT_RELEASE",G15="STANDARD_AT_RELEASE"),"OPTIONAL_TO_STANDARD",IF(G15="STANDARD_AT_RELEASE","ADDED_STANDARD","REVIEW_CHANGE")))))</x:f>
        <x:v>UNRESOLVED</x:v>
      </x:c>
      <x:c r="N15" s="369" t="str">
        <x:f>IF(OR(G15="NOT_DISCLOSED",I15="NOT_DISCLOSED",G15="CONFLICTED",I15="CONFLICTED"),"UNRESOLVED",IF(G15=I15,"NO_CHANGE",IF(AND(G15="STANDARD_AT_RELEASE",I15="OPTIONAL_AT_RELEASE"),"STANDARD_TO_OPTIONAL",IF(AND(G15="OPTIONAL_AT_RELEASE",I15="STANDARD_AT_RELEASE"),"OPTIONAL_TO_STANDARD",IF(I15="STANDARD_AT_RELEASE","ADDED_STANDARD","REVIEW_CHANGE")))))</x:f>
        <x:v>UNRESOLVED</x:v>
      </x:c>
      <x:c r="O15" s="369" t="str">
        <x:v>OTHER</x:v>
      </x:c>
      <x:c r="P15" s="369" t="str">
        <x:v>DC_SAFETY_battery_thermal_propagation</x:v>
      </x:c>
      <x:c r="Q15" s="369" t="n">
        <x:f>COUNTIF('50_发布会逐项主张'!$H$6:$H$137,A15)</x:f>
        <x:v>1</x:v>
      </x:c>
      <x:c r="R15" s="369" t="str">
        <x:f>IF(COUNTIFS('50_发布会逐项主张'!$H$6:$H$137,A15,'50_发布会逐项主张'!$X$6:$X$137,"&lt;&gt;NONE")&gt;0,"CONFLICTED","NONE")</x:f>
        <x:v>NONE</x:v>
      </x:c>
    </x:row>
    <x:row r="16" ht="48" customHeight="1">
      <x:c r="A16" s="19" t="str">
        <x:v>battery_waterproof</x:v>
      </x:c>
      <x:c r="B16" s="19" t="str">
        <x:v>SAFETY</x:v>
      </x:c>
      <x:c r="C16" s="19" t="str">
        <x:f>IF(COUNTIFS('51_版本配置事实'!$B$6:$B$127,"PC-N70-BASE-CAND",'51_版本配置事实'!$C$6:$C$127,$A16,'51_版本配置事实'!$T$6:$T$127,"&lt;&gt;NONE")&gt;0,"CONFLICTED",IF(COUNTIFS('51_版本配置事实'!$B$6:$B$127,"PC-N70-BASE-CAND",'51_版本配置事实'!$C$6:$C$127,$A16,'51_版本配置事实'!$I$6:$I$127,"STANDARD_AT_RELEASE")&gt;0,"STANDARD_AT_RELEASE",IF(COUNTIFS('51_版本配置事实'!$B$6:$B$127,"PC-N70-BASE-CAND",'51_版本配置事实'!$C$6:$C$127,$A16,'51_版本配置事实'!$I$6:$I$127,"OPTIONAL_AT_RELEASE")&gt;0,"OPTIONAL_AT_RELEASE",IF(COUNTIFS('51_版本配置事实'!$B$6:$B$127,"PC-N70-BASE-CAND",'51_版本配置事实'!$C$6:$C$127,$A16,'51_版本配置事实'!$I$6:$I$127,"SEPARATE_PURCHASE")&gt;0,"SEPARATE_PURCHASE",IF(COUNTIFS('51_版本配置事实'!$B$6:$B$127,"PC-N70-BASE-CAND",'51_版本配置事实'!$C$6:$C$127,$A16,'51_版本配置事实'!$I$6:$I$127,"EQUIPPED_STANDARD_UNCONFIRMED")&gt;0,"EQUIPPED_STANDARD_UNCONFIRMED",IF(COUNTIFS('51_版本配置事实'!$B$6:$B$127,"PC-N70-BASE-CAND",'51_版本配置事实'!$C$6:$C$127,$A16,'51_版本配置事实'!$I$6:$I$127,"SERIES_CAPABILITY")&gt;0,"SERIES_CAPABILITY",IF(COUNTIFS('51_版本配置事实'!$B$6:$B$127,"PC-N70-BASE-CAND",'51_版本配置事实'!$C$6:$C$127,$A16,'51_版本配置事实'!$I$6:$I$127,"NOT_DISCLOSED")&gt;0,"NOT_DISCLOSED","NOT_DISCLOSED")))))))</x:f>
        <x:v>NOT_DISCLOSED</x:v>
      </x:c>
      <x:c r="D16" s="19" t="str">
        <x:f>IF(COUNTIFS('51_版本配置事实'!$B$6:$B$127,"PC-N70-BASE-CAND",'51_版本配置事实'!$C$6:$C$127,$A16,'51_版本配置事实'!$J$6:$J$127,"STANDARD_CURRENT")&gt;0,"STANDARD_CURRENT","NOT_EVIDENCED")</x:f>
        <x:v>NOT_EVIDENCED</x:v>
      </x:c>
      <x:c r="E16" s="19" t="str">
        <x:f>IF(COUNTIFS('51_版本配置事实'!$B$6:$B$127,"PC-N70-MAX-CAND",'51_版本配置事实'!$C$6:$C$127,$A16,'51_版本配置事实'!$T$6:$T$127,"&lt;&gt;NONE")&gt;0,"CONFLICTED",IF(COUNTIFS('51_版本配置事实'!$B$6:$B$127,"PC-N70-MAX-CAND",'51_版本配置事实'!$C$6:$C$127,$A16,'51_版本配置事实'!$I$6:$I$127,"STANDARD_AT_RELEASE")&gt;0,"STANDARD_AT_RELEASE",IF(COUNTIFS('51_版本配置事实'!$B$6:$B$127,"PC-N70-MAX-CAND",'51_版本配置事实'!$C$6:$C$127,$A16,'51_版本配置事实'!$I$6:$I$127,"OPTIONAL_AT_RELEASE")&gt;0,"OPTIONAL_AT_RELEASE",IF(COUNTIFS('51_版本配置事实'!$B$6:$B$127,"PC-N70-MAX-CAND",'51_版本配置事实'!$C$6:$C$127,$A16,'51_版本配置事实'!$I$6:$I$127,"SEPARATE_PURCHASE")&gt;0,"SEPARATE_PURCHASE",IF(COUNTIFS('51_版本配置事实'!$B$6:$B$127,"PC-N70-MAX-CAND",'51_版本配置事实'!$C$6:$C$127,$A16,'51_版本配置事实'!$I$6:$I$127,"EQUIPPED_STANDARD_UNCONFIRMED")&gt;0,"EQUIPPED_STANDARD_UNCONFIRMED",IF(COUNTIFS('51_版本配置事实'!$B$6:$B$127,"PC-N70-MAX-CAND",'51_版本配置事实'!$C$6:$C$127,$A16,'51_版本配置事实'!$I$6:$I$127,"SERIES_CAPABILITY")&gt;0,"SERIES_CAPABILITY",IF(COUNTIFS('51_版本配置事实'!$B$6:$B$127,"PC-N70-MAX-CAND",'51_版本配置事实'!$C$6:$C$127,$A16,'51_版本配置事实'!$I$6:$I$127,"NOT_DISCLOSED")&gt;0,"NOT_DISCLOSED","NOT_DISCLOSED")))))))</x:f>
        <x:v>STANDARD_AT_RELEASE</x:v>
      </x:c>
      <x:c r="F16" s="19" t="str">
        <x:f>IF(COUNTIFS('51_版本配置事实'!$B$6:$B$127,"PC-N70-MAX-CAND",'51_版本配置事实'!$C$6:$C$127,$A16,'51_版本配置事实'!$J$6:$J$127,"STANDARD_CURRENT")&gt;0,"STANDARD_CURRENT","NOT_EVIDENCED")</x:f>
        <x:v>NOT_EVIDENCED</x:v>
      </x:c>
      <x:c r="G16" s="19" t="str">
        <x:f>IF(COUNTIFS('51_版本配置事实'!$B$6:$B$127,"PC-N90-MAX-CAND",'51_版本配置事实'!$C$6:$C$127,$A16,'51_版本配置事实'!$T$6:$T$127,"&lt;&gt;NONE")&gt;0,"CONFLICTED",IF(COUNTIFS('51_版本配置事实'!$B$6:$B$127,"PC-N90-MAX-CAND",'51_版本配置事实'!$C$6:$C$127,$A16,'51_版本配置事实'!$I$6:$I$127,"STANDARD_AT_RELEASE")&gt;0,"STANDARD_AT_RELEASE",IF(COUNTIFS('51_版本配置事实'!$B$6:$B$127,"PC-N90-MAX-CAND",'51_版本配置事实'!$C$6:$C$127,$A16,'51_版本配置事实'!$I$6:$I$127,"OPTIONAL_AT_RELEASE")&gt;0,"OPTIONAL_AT_RELEASE",IF(COUNTIFS('51_版本配置事实'!$B$6:$B$127,"PC-N90-MAX-CAND",'51_版本配置事实'!$C$6:$C$127,$A16,'51_版本配置事实'!$I$6:$I$127,"SEPARATE_PURCHASE")&gt;0,"SEPARATE_PURCHASE",IF(COUNTIFS('51_版本配置事实'!$B$6:$B$127,"PC-N90-MAX-CAND",'51_版本配置事实'!$C$6:$C$127,$A16,'51_版本配置事实'!$I$6:$I$127,"EQUIPPED_STANDARD_UNCONFIRMED")&gt;0,"EQUIPPED_STANDARD_UNCONFIRMED",IF(COUNTIFS('51_版本配置事实'!$B$6:$B$127,"PC-N90-MAX-CAND",'51_版本配置事实'!$C$6:$C$127,$A16,'51_版本配置事实'!$I$6:$I$127,"SERIES_CAPABILITY")&gt;0,"SERIES_CAPABILITY",IF(COUNTIFS('51_版本配置事实'!$B$6:$B$127,"PC-N90-MAX-CAND",'51_版本配置事实'!$C$6:$C$127,$A16,'51_版本配置事实'!$I$6:$I$127,"NOT_DISCLOSED")&gt;0,"NOT_DISCLOSED","NOT_DISCLOSED")))))))</x:f>
        <x:v>NOT_DISCLOSED</x:v>
      </x:c>
      <x:c r="H16" s="19" t="str">
        <x:f>IF(COUNTIFS('51_版本配置事实'!$B$6:$B$127,"PC-N90-MAX-CAND",'51_版本配置事实'!$C$6:$C$127,$A16,'51_版本配置事实'!$J$6:$J$127,"STANDARD_CURRENT")&gt;0,"STANDARD_CURRENT","NOT_EVIDENCED")</x:f>
        <x:v>NOT_EVIDENCED</x:v>
      </x:c>
      <x:c r="I16" s="19" t="str">
        <x:f>IF(COUNTIFS('51_版本配置事实'!$B$6:$B$127,"PC-N90-ROOF-CAND",'51_版本配置事实'!$C$6:$C$127,$A16,'51_版本配置事实'!$T$6:$T$127,"&lt;&gt;NONE")&gt;0,"CONFLICTED",IF(COUNTIFS('51_版本配置事实'!$B$6:$B$127,"PC-N90-ROOF-CAND",'51_版本配置事实'!$C$6:$C$127,$A16,'51_版本配置事实'!$I$6:$I$127,"STANDARD_AT_RELEASE")&gt;0,"STANDARD_AT_RELEASE",IF(COUNTIFS('51_版本配置事实'!$B$6:$B$127,"PC-N90-ROOF-CAND",'51_版本配置事实'!$C$6:$C$127,$A16,'51_版本配置事实'!$I$6:$I$127,"OPTIONAL_AT_RELEASE")&gt;0,"OPTIONAL_AT_RELEASE",IF(COUNTIFS('51_版本配置事实'!$B$6:$B$127,"PC-N90-ROOF-CAND",'51_版本配置事实'!$C$6:$C$127,$A16,'51_版本配置事实'!$I$6:$I$127,"SEPARATE_PURCHASE")&gt;0,"SEPARATE_PURCHASE",IF(COUNTIFS('51_版本配置事实'!$B$6:$B$127,"PC-N90-ROOF-CAND",'51_版本配置事实'!$C$6:$C$127,$A16,'51_版本配置事实'!$I$6:$I$127,"EQUIPPED_STANDARD_UNCONFIRMED")&gt;0,"EQUIPPED_STANDARD_UNCONFIRMED",IF(COUNTIFS('51_版本配置事实'!$B$6:$B$127,"PC-N90-ROOF-CAND",'51_版本配置事实'!$C$6:$C$127,$A16,'51_版本配置事实'!$I$6:$I$127,"SERIES_CAPABILITY")&gt;0,"SERIES_CAPABILITY",IF(COUNTIFS('51_版本配置事实'!$B$6:$B$127,"PC-N90-ROOF-CAND",'51_版本配置事实'!$C$6:$C$127,$A16,'51_版本配置事实'!$I$6:$I$127,"NOT_DISCLOSED")&gt;0,"NOT_DISCLOSED","NOT_DISCLOSED")))))))</x:f>
        <x:v>NOT_DISCLOSED</x:v>
      </x:c>
      <x:c r="J16" s="19" t="str">
        <x:f>IF(COUNTIFS('51_版本配置事实'!$B$6:$B$127,"PC-N90-ROOF-CAND",'51_版本配置事实'!$C$6:$C$127,$A16,'51_版本配置事实'!$J$6:$J$127,"STANDARD_CURRENT")&gt;0,"STANDARD_CURRENT","NOT_EVIDENCED")</x:f>
        <x:v>NOT_EVIDENCED</x:v>
      </x:c>
      <x:c r="K16" s="19" t="str">
        <x:f>IF(AND(E16=G16,E16&lt;&gt;"NOT_DISCLOSED",E16&lt;&gt;"CONFLICTED"),IF(COUNTIFS('50_发布会逐项主张'!$H$6:$H$137,$A16,'50_发布会逐项主张'!$O$6:$O$137,"ALL_PENGCHENG")&gt;0,"EXPLICIT_COMMON_ANNOUNCED_MAX","MATCHED_NOT_PROVED_COMMON"),"NOT_PROVED_COMMON")</x:f>
        <x:v>NOT_PROVED_COMMON</x:v>
      </x:c>
      <x:c r="L16" s="19" t="str">
        <x:f>IF(OR(C16="NOT_DISCLOSED",E16="NOT_DISCLOSED",C16="CONFLICTED",E16="CONFLICTED"),"UNRESOLVED",IF(C16=E16,"NO_CHANGE",IF(AND(C16="STANDARD_AT_RELEASE",E16="OPTIONAL_AT_RELEASE"),"STANDARD_TO_OPTIONAL",IF(AND(C16="OPTIONAL_AT_RELEASE",E16="STANDARD_AT_RELEASE"),"OPTIONAL_TO_STANDARD",IF(E16="STANDARD_AT_RELEASE","ADDED_STANDARD","REVIEW_CHANGE")))))</x:f>
        <x:v>UNRESOLVED</x:v>
      </x:c>
      <x:c r="M16" s="19" t="str">
        <x:f>IF(OR(E16="NOT_DISCLOSED",G16="NOT_DISCLOSED",E16="CONFLICTED",G16="CONFLICTED"),"UNRESOLVED",IF(E16=G16,"NO_CHANGE",IF(AND(E16="STANDARD_AT_RELEASE",G16="OPTIONAL_AT_RELEASE"),"STANDARD_TO_OPTIONAL",IF(AND(E16="OPTIONAL_AT_RELEASE",G16="STANDARD_AT_RELEASE"),"OPTIONAL_TO_STANDARD",IF(G16="STANDARD_AT_RELEASE","ADDED_STANDARD","REVIEW_CHANGE")))))</x:f>
        <x:v>UNRESOLVED</x:v>
      </x:c>
      <x:c r="N16" s="19" t="str">
        <x:f>IF(OR(G16="NOT_DISCLOSED",I16="NOT_DISCLOSED",G16="CONFLICTED",I16="CONFLICTED"),"UNRESOLVED",IF(G16=I16,"NO_CHANGE",IF(AND(G16="STANDARD_AT_RELEASE",I16="OPTIONAL_AT_RELEASE"),"STANDARD_TO_OPTIONAL",IF(AND(G16="OPTIONAL_AT_RELEASE",I16="STANDARD_AT_RELEASE"),"OPTIONAL_TO_STANDARD",IF(I16="STANDARD_AT_RELEASE","ADDED_STANDARD","REVIEW_CHANGE")))))</x:f>
        <x:v>UNRESOLVED</x:v>
      </x:c>
      <x:c r="O16" s="19" t="str">
        <x:v>OTHER</x:v>
      </x:c>
      <x:c r="P16" s="19" t="str">
        <x:v>DC_SAFETY_battery_waterproof</x:v>
      </x:c>
      <x:c r="Q16" s="19" t="n">
        <x:f>COUNTIF('50_发布会逐项主张'!$H$6:$H$137,A16)</x:f>
        <x:v>1</x:v>
      </x:c>
      <x:c r="R16" s="19" t="str">
        <x:f>IF(COUNTIFS('50_发布会逐项主张'!$H$6:$H$137,A16,'50_发布会逐项主张'!$X$6:$X$137,"&lt;&gt;NONE")&gt;0,"CONFLICTED","NONE")</x:f>
        <x:v>NONE</x:v>
      </x:c>
    </x:row>
    <x:row r="17" ht="48" customHeight="1">
      <x:c r="A17" s="369" t="str">
        <x:v>blowout_stability_speed</x:v>
      </x:c>
      <x:c r="B17" s="369" t="str">
        <x:v>SAFETY</x:v>
      </x:c>
      <x:c r="C17" s="369" t="str">
        <x:f>IF(COUNTIFS('51_版本配置事实'!$B$6:$B$127,"PC-N70-BASE-CAND",'51_版本配置事实'!$C$6:$C$127,$A17,'51_版本配置事实'!$T$6:$T$127,"&lt;&gt;NONE")&gt;0,"CONFLICTED",IF(COUNTIFS('51_版本配置事实'!$B$6:$B$127,"PC-N70-BASE-CAND",'51_版本配置事实'!$C$6:$C$127,$A17,'51_版本配置事实'!$I$6:$I$127,"STANDARD_AT_RELEASE")&gt;0,"STANDARD_AT_RELEASE",IF(COUNTIFS('51_版本配置事实'!$B$6:$B$127,"PC-N70-BASE-CAND",'51_版本配置事实'!$C$6:$C$127,$A17,'51_版本配置事实'!$I$6:$I$127,"OPTIONAL_AT_RELEASE")&gt;0,"OPTIONAL_AT_RELEASE",IF(COUNTIFS('51_版本配置事实'!$B$6:$B$127,"PC-N70-BASE-CAND",'51_版本配置事实'!$C$6:$C$127,$A17,'51_版本配置事实'!$I$6:$I$127,"SEPARATE_PURCHASE")&gt;0,"SEPARATE_PURCHASE",IF(COUNTIFS('51_版本配置事实'!$B$6:$B$127,"PC-N70-BASE-CAND",'51_版本配置事实'!$C$6:$C$127,$A17,'51_版本配置事实'!$I$6:$I$127,"EQUIPPED_STANDARD_UNCONFIRMED")&gt;0,"EQUIPPED_STANDARD_UNCONFIRMED",IF(COUNTIFS('51_版本配置事实'!$B$6:$B$127,"PC-N70-BASE-CAND",'51_版本配置事实'!$C$6:$C$127,$A17,'51_版本配置事实'!$I$6:$I$127,"SERIES_CAPABILITY")&gt;0,"SERIES_CAPABILITY",IF(COUNTIFS('51_版本配置事实'!$B$6:$B$127,"PC-N70-BASE-CAND",'51_版本配置事实'!$C$6:$C$127,$A17,'51_版本配置事实'!$I$6:$I$127,"NOT_DISCLOSED")&gt;0,"NOT_DISCLOSED","NOT_DISCLOSED")))))))</x:f>
        <x:v>NOT_DISCLOSED</x:v>
      </x:c>
      <x:c r="D17" s="369" t="str">
        <x:f>IF(COUNTIFS('51_版本配置事实'!$B$6:$B$127,"PC-N70-BASE-CAND",'51_版本配置事实'!$C$6:$C$127,$A17,'51_版本配置事实'!$J$6:$J$127,"STANDARD_CURRENT")&gt;0,"STANDARD_CURRENT","NOT_EVIDENCED")</x:f>
        <x:v>NOT_EVIDENCED</x:v>
      </x:c>
      <x:c r="E17" s="369" t="str">
        <x:f>IF(COUNTIFS('51_版本配置事实'!$B$6:$B$127,"PC-N70-MAX-CAND",'51_版本配置事实'!$C$6:$C$127,$A17,'51_版本配置事实'!$T$6:$T$127,"&lt;&gt;NONE")&gt;0,"CONFLICTED",IF(COUNTIFS('51_版本配置事实'!$B$6:$B$127,"PC-N70-MAX-CAND",'51_版本配置事实'!$C$6:$C$127,$A17,'51_版本配置事实'!$I$6:$I$127,"STANDARD_AT_RELEASE")&gt;0,"STANDARD_AT_RELEASE",IF(COUNTIFS('51_版本配置事实'!$B$6:$B$127,"PC-N70-MAX-CAND",'51_版本配置事实'!$C$6:$C$127,$A17,'51_版本配置事实'!$I$6:$I$127,"OPTIONAL_AT_RELEASE")&gt;0,"OPTIONAL_AT_RELEASE",IF(COUNTIFS('51_版本配置事实'!$B$6:$B$127,"PC-N70-MAX-CAND",'51_版本配置事实'!$C$6:$C$127,$A17,'51_版本配置事实'!$I$6:$I$127,"SEPARATE_PURCHASE")&gt;0,"SEPARATE_PURCHASE",IF(COUNTIFS('51_版本配置事实'!$B$6:$B$127,"PC-N70-MAX-CAND",'51_版本配置事实'!$C$6:$C$127,$A17,'51_版本配置事实'!$I$6:$I$127,"EQUIPPED_STANDARD_UNCONFIRMED")&gt;0,"EQUIPPED_STANDARD_UNCONFIRMED",IF(COUNTIFS('51_版本配置事实'!$B$6:$B$127,"PC-N70-MAX-CAND",'51_版本配置事实'!$C$6:$C$127,$A17,'51_版本配置事实'!$I$6:$I$127,"SERIES_CAPABILITY")&gt;0,"SERIES_CAPABILITY",IF(COUNTIFS('51_版本配置事实'!$B$6:$B$127,"PC-N70-MAX-CAND",'51_版本配置事实'!$C$6:$C$127,$A17,'51_版本配置事实'!$I$6:$I$127,"NOT_DISCLOSED")&gt;0,"NOT_DISCLOSED","NOT_DISCLOSED")))))))</x:f>
        <x:v>NOT_DISCLOSED</x:v>
      </x:c>
      <x:c r="F17" s="369" t="str">
        <x:f>IF(COUNTIFS('51_版本配置事实'!$B$6:$B$127,"PC-N70-MAX-CAND",'51_版本配置事实'!$C$6:$C$127,$A17,'51_版本配置事实'!$J$6:$J$127,"STANDARD_CURRENT")&gt;0,"STANDARD_CURRENT","NOT_EVIDENCED")</x:f>
        <x:v>NOT_EVIDENCED</x:v>
      </x:c>
      <x:c r="G17" s="369" t="str">
        <x:f>IF(COUNTIFS('51_版本配置事实'!$B$6:$B$127,"PC-N90-MAX-CAND",'51_版本配置事实'!$C$6:$C$127,$A17,'51_版本配置事实'!$T$6:$T$127,"&lt;&gt;NONE")&gt;0,"CONFLICTED",IF(COUNTIFS('51_版本配置事实'!$B$6:$B$127,"PC-N90-MAX-CAND",'51_版本配置事实'!$C$6:$C$127,$A17,'51_版本配置事实'!$I$6:$I$127,"STANDARD_AT_RELEASE")&gt;0,"STANDARD_AT_RELEASE",IF(COUNTIFS('51_版本配置事实'!$B$6:$B$127,"PC-N90-MAX-CAND",'51_版本配置事实'!$C$6:$C$127,$A17,'51_版本配置事实'!$I$6:$I$127,"OPTIONAL_AT_RELEASE")&gt;0,"OPTIONAL_AT_RELEASE",IF(COUNTIFS('51_版本配置事实'!$B$6:$B$127,"PC-N90-MAX-CAND",'51_版本配置事实'!$C$6:$C$127,$A17,'51_版本配置事实'!$I$6:$I$127,"SEPARATE_PURCHASE")&gt;0,"SEPARATE_PURCHASE",IF(COUNTIFS('51_版本配置事实'!$B$6:$B$127,"PC-N90-MAX-CAND",'51_版本配置事实'!$C$6:$C$127,$A17,'51_版本配置事实'!$I$6:$I$127,"EQUIPPED_STANDARD_UNCONFIRMED")&gt;0,"EQUIPPED_STANDARD_UNCONFIRMED",IF(COUNTIFS('51_版本配置事实'!$B$6:$B$127,"PC-N90-MAX-CAND",'51_版本配置事实'!$C$6:$C$127,$A17,'51_版本配置事实'!$I$6:$I$127,"SERIES_CAPABILITY")&gt;0,"SERIES_CAPABILITY",IF(COUNTIFS('51_版本配置事实'!$B$6:$B$127,"PC-N90-MAX-CAND",'51_版本配置事实'!$C$6:$C$127,$A17,'51_版本配置事实'!$I$6:$I$127,"NOT_DISCLOSED")&gt;0,"NOT_DISCLOSED","NOT_DISCLOSED")))))))</x:f>
        <x:v>EQUIPPED_STANDARD_UNCONFIRMED</x:v>
      </x:c>
      <x:c r="H17" s="369" t="str">
        <x:f>IF(COUNTIFS('51_版本配置事实'!$B$6:$B$127,"PC-N90-MAX-CAND",'51_版本配置事实'!$C$6:$C$127,$A17,'51_版本配置事实'!$J$6:$J$127,"STANDARD_CURRENT")&gt;0,"STANDARD_CURRENT","NOT_EVIDENCED")</x:f>
        <x:v>NOT_EVIDENCED</x:v>
      </x:c>
      <x:c r="I17" s="369" t="str">
        <x:f>IF(COUNTIFS('51_版本配置事实'!$B$6:$B$127,"PC-N90-ROOF-CAND",'51_版本配置事实'!$C$6:$C$127,$A17,'51_版本配置事实'!$T$6:$T$127,"&lt;&gt;NONE")&gt;0,"CONFLICTED",IF(COUNTIFS('51_版本配置事实'!$B$6:$B$127,"PC-N90-ROOF-CAND",'51_版本配置事实'!$C$6:$C$127,$A17,'51_版本配置事实'!$I$6:$I$127,"STANDARD_AT_RELEASE")&gt;0,"STANDARD_AT_RELEASE",IF(COUNTIFS('51_版本配置事实'!$B$6:$B$127,"PC-N90-ROOF-CAND",'51_版本配置事实'!$C$6:$C$127,$A17,'51_版本配置事实'!$I$6:$I$127,"OPTIONAL_AT_RELEASE")&gt;0,"OPTIONAL_AT_RELEASE",IF(COUNTIFS('51_版本配置事实'!$B$6:$B$127,"PC-N90-ROOF-CAND",'51_版本配置事实'!$C$6:$C$127,$A17,'51_版本配置事实'!$I$6:$I$127,"SEPARATE_PURCHASE")&gt;0,"SEPARATE_PURCHASE",IF(COUNTIFS('51_版本配置事实'!$B$6:$B$127,"PC-N90-ROOF-CAND",'51_版本配置事实'!$C$6:$C$127,$A17,'51_版本配置事实'!$I$6:$I$127,"EQUIPPED_STANDARD_UNCONFIRMED")&gt;0,"EQUIPPED_STANDARD_UNCONFIRMED",IF(COUNTIFS('51_版本配置事实'!$B$6:$B$127,"PC-N90-ROOF-CAND",'51_版本配置事实'!$C$6:$C$127,$A17,'51_版本配置事实'!$I$6:$I$127,"SERIES_CAPABILITY")&gt;0,"SERIES_CAPABILITY",IF(COUNTIFS('51_版本配置事实'!$B$6:$B$127,"PC-N90-ROOF-CAND",'51_版本配置事实'!$C$6:$C$127,$A17,'51_版本配置事实'!$I$6:$I$127,"NOT_DISCLOSED")&gt;0,"NOT_DISCLOSED","NOT_DISCLOSED")))))))</x:f>
        <x:v>NOT_DISCLOSED</x:v>
      </x:c>
      <x:c r="J17" s="369" t="str">
        <x:f>IF(COUNTIFS('51_版本配置事实'!$B$6:$B$127,"PC-N90-ROOF-CAND",'51_版本配置事实'!$C$6:$C$127,$A17,'51_版本配置事实'!$J$6:$J$127,"STANDARD_CURRENT")&gt;0,"STANDARD_CURRENT","NOT_EVIDENCED")</x:f>
        <x:v>NOT_EVIDENCED</x:v>
      </x:c>
      <x:c r="K17" s="369" t="str">
        <x:f>IF(AND(E17=G17,E17&lt;&gt;"NOT_DISCLOSED",E17&lt;&gt;"CONFLICTED"),IF(COUNTIFS('50_发布会逐项主张'!$H$6:$H$137,$A17,'50_发布会逐项主张'!$O$6:$O$137,"ALL_PENGCHENG")&gt;0,"EXPLICIT_COMMON_ANNOUNCED_MAX","MATCHED_NOT_PROVED_COMMON"),"NOT_PROVED_COMMON")</x:f>
        <x:v>NOT_PROVED_COMMON</x:v>
      </x:c>
      <x:c r="L17" s="369" t="str">
        <x:f>IF(OR(C17="NOT_DISCLOSED",E17="NOT_DISCLOSED",C17="CONFLICTED",E17="CONFLICTED"),"UNRESOLVED",IF(C17=E17,"NO_CHANGE",IF(AND(C17="STANDARD_AT_RELEASE",E17="OPTIONAL_AT_RELEASE"),"STANDARD_TO_OPTIONAL",IF(AND(C17="OPTIONAL_AT_RELEASE",E17="STANDARD_AT_RELEASE"),"OPTIONAL_TO_STANDARD",IF(E17="STANDARD_AT_RELEASE","ADDED_STANDARD","REVIEW_CHANGE")))))</x:f>
        <x:v>UNRESOLVED</x:v>
      </x:c>
      <x:c r="M17" s="369" t="str">
        <x:f>IF(OR(E17="NOT_DISCLOSED",G17="NOT_DISCLOSED",E17="CONFLICTED",G17="CONFLICTED"),"UNRESOLVED",IF(E17=G17,"NO_CHANGE",IF(AND(E17="STANDARD_AT_RELEASE",G17="OPTIONAL_AT_RELEASE"),"STANDARD_TO_OPTIONAL",IF(AND(E17="OPTIONAL_AT_RELEASE",G17="STANDARD_AT_RELEASE"),"OPTIONAL_TO_STANDARD",IF(G17="STANDARD_AT_RELEASE","ADDED_STANDARD","REVIEW_CHANGE")))))</x:f>
        <x:v>UNRESOLVED</x:v>
      </x:c>
      <x:c r="N17" s="369" t="str">
        <x:f>IF(OR(G17="NOT_DISCLOSED",I17="NOT_DISCLOSED",G17="CONFLICTED",I17="CONFLICTED"),"UNRESOLVED",IF(G17=I17,"NO_CHANGE",IF(AND(G17="STANDARD_AT_RELEASE",I17="OPTIONAL_AT_RELEASE"),"STANDARD_TO_OPTIONAL",IF(AND(G17="OPTIONAL_AT_RELEASE",I17="STANDARD_AT_RELEASE"),"OPTIONAL_TO_STANDARD",IF(I17="STANDARD_AT_RELEASE","ADDED_STANDARD","REVIEW_CHANGE")))))</x:f>
        <x:v>UNRESOLVED</x:v>
      </x:c>
      <x:c r="O17" s="369" t="str">
        <x:v>OTHER</x:v>
      </x:c>
      <x:c r="P17" s="369" t="str">
        <x:v>DC_SAFETY_blowout_stability_speed</x:v>
      </x:c>
      <x:c r="Q17" s="369" t="n">
        <x:f>COUNTIF('50_发布会逐项主张'!$H$6:$H$137,A17)</x:f>
        <x:v>1</x:v>
      </x:c>
      <x:c r="R17" s="369" t="str">
        <x:f>IF(COUNTIFS('50_发布会逐项主张'!$H$6:$H$137,A17,'50_发布会逐项主张'!$X$6:$X$137,"&lt;&gt;NONE")&gt;0,"CONFLICTED","NONE")</x:f>
        <x:v>NONE</x:v>
      </x:c>
    </x:row>
    <x:row r="18" ht="48" customHeight="1">
      <x:c r="A18" s="19" t="str">
        <x:v>brake_control</x:v>
      </x:c>
      <x:c r="B18" s="19" t="str">
        <x:v>CHASSIS</x:v>
      </x:c>
      <x:c r="C18" s="19" t="str">
        <x:f>IF(COUNTIFS('51_版本配置事实'!$B$6:$B$127,"PC-N70-BASE-CAND",'51_版本配置事实'!$C$6:$C$127,$A18,'51_版本配置事实'!$T$6:$T$127,"&lt;&gt;NONE")&gt;0,"CONFLICTED",IF(COUNTIFS('51_版本配置事实'!$B$6:$B$127,"PC-N70-BASE-CAND",'51_版本配置事实'!$C$6:$C$127,$A18,'51_版本配置事实'!$I$6:$I$127,"STANDARD_AT_RELEASE")&gt;0,"STANDARD_AT_RELEASE",IF(COUNTIFS('51_版本配置事实'!$B$6:$B$127,"PC-N70-BASE-CAND",'51_版本配置事实'!$C$6:$C$127,$A18,'51_版本配置事实'!$I$6:$I$127,"OPTIONAL_AT_RELEASE")&gt;0,"OPTIONAL_AT_RELEASE",IF(COUNTIFS('51_版本配置事实'!$B$6:$B$127,"PC-N70-BASE-CAND",'51_版本配置事实'!$C$6:$C$127,$A18,'51_版本配置事实'!$I$6:$I$127,"SEPARATE_PURCHASE")&gt;0,"SEPARATE_PURCHASE",IF(COUNTIFS('51_版本配置事实'!$B$6:$B$127,"PC-N70-BASE-CAND",'51_版本配置事实'!$C$6:$C$127,$A18,'51_版本配置事实'!$I$6:$I$127,"EQUIPPED_STANDARD_UNCONFIRMED")&gt;0,"EQUIPPED_STANDARD_UNCONFIRMED",IF(COUNTIFS('51_版本配置事实'!$B$6:$B$127,"PC-N70-BASE-CAND",'51_版本配置事实'!$C$6:$C$127,$A18,'51_版本配置事实'!$I$6:$I$127,"SERIES_CAPABILITY")&gt;0,"SERIES_CAPABILITY",IF(COUNTIFS('51_版本配置事实'!$B$6:$B$127,"PC-N70-BASE-CAND",'51_版本配置事实'!$C$6:$C$127,$A18,'51_版本配置事实'!$I$6:$I$127,"NOT_DISCLOSED")&gt;0,"NOT_DISCLOSED","NOT_DISCLOSED")))))))</x:f>
        <x:v>NOT_DISCLOSED</x:v>
      </x:c>
      <x:c r="D18" s="19" t="str">
        <x:f>IF(COUNTIFS('51_版本配置事实'!$B$6:$B$127,"PC-N70-BASE-CAND",'51_版本配置事实'!$C$6:$C$127,$A18,'51_版本配置事实'!$J$6:$J$127,"STANDARD_CURRENT")&gt;0,"STANDARD_CURRENT","NOT_EVIDENCED")</x:f>
        <x:v>NOT_EVIDENCED</x:v>
      </x:c>
      <x:c r="E18" s="19" t="str">
        <x:f>IF(COUNTIFS('51_版本配置事实'!$B$6:$B$127,"PC-N70-MAX-CAND",'51_版本配置事实'!$C$6:$C$127,$A18,'51_版本配置事实'!$T$6:$T$127,"&lt;&gt;NONE")&gt;0,"CONFLICTED",IF(COUNTIFS('51_版本配置事实'!$B$6:$B$127,"PC-N70-MAX-CAND",'51_版本配置事实'!$C$6:$C$127,$A18,'51_版本配置事实'!$I$6:$I$127,"STANDARD_AT_RELEASE")&gt;0,"STANDARD_AT_RELEASE",IF(COUNTIFS('51_版本配置事实'!$B$6:$B$127,"PC-N70-MAX-CAND",'51_版本配置事实'!$C$6:$C$127,$A18,'51_版本配置事实'!$I$6:$I$127,"OPTIONAL_AT_RELEASE")&gt;0,"OPTIONAL_AT_RELEASE",IF(COUNTIFS('51_版本配置事实'!$B$6:$B$127,"PC-N70-MAX-CAND",'51_版本配置事实'!$C$6:$C$127,$A18,'51_版本配置事实'!$I$6:$I$127,"SEPARATE_PURCHASE")&gt;0,"SEPARATE_PURCHASE",IF(COUNTIFS('51_版本配置事实'!$B$6:$B$127,"PC-N70-MAX-CAND",'51_版本配置事实'!$C$6:$C$127,$A18,'51_版本配置事实'!$I$6:$I$127,"EQUIPPED_STANDARD_UNCONFIRMED")&gt;0,"EQUIPPED_STANDARD_UNCONFIRMED",IF(COUNTIFS('51_版本配置事实'!$B$6:$B$127,"PC-N70-MAX-CAND",'51_版本配置事实'!$C$6:$C$127,$A18,'51_版本配置事实'!$I$6:$I$127,"SERIES_CAPABILITY")&gt;0,"SERIES_CAPABILITY",IF(COUNTIFS('51_版本配置事实'!$B$6:$B$127,"PC-N70-MAX-CAND",'51_版本配置事实'!$C$6:$C$127,$A18,'51_版本配置事实'!$I$6:$I$127,"NOT_DISCLOSED")&gt;0,"NOT_DISCLOSED","NOT_DISCLOSED")))))))</x:f>
        <x:v>NOT_DISCLOSED</x:v>
      </x:c>
      <x:c r="F18" s="19" t="str">
        <x:f>IF(COUNTIFS('51_版本配置事实'!$B$6:$B$127,"PC-N70-MAX-CAND",'51_版本配置事实'!$C$6:$C$127,$A18,'51_版本配置事实'!$J$6:$J$127,"STANDARD_CURRENT")&gt;0,"STANDARD_CURRENT","NOT_EVIDENCED")</x:f>
        <x:v>NOT_EVIDENCED</x:v>
      </x:c>
      <x:c r="G18" s="19" t="str">
        <x:f>IF(COUNTIFS('51_版本配置事实'!$B$6:$B$127,"PC-N90-MAX-CAND",'51_版本配置事实'!$C$6:$C$127,$A18,'51_版本配置事实'!$T$6:$T$127,"&lt;&gt;NONE")&gt;0,"CONFLICTED",IF(COUNTIFS('51_版本配置事实'!$B$6:$B$127,"PC-N90-MAX-CAND",'51_版本配置事实'!$C$6:$C$127,$A18,'51_版本配置事实'!$I$6:$I$127,"STANDARD_AT_RELEASE")&gt;0,"STANDARD_AT_RELEASE",IF(COUNTIFS('51_版本配置事实'!$B$6:$B$127,"PC-N90-MAX-CAND",'51_版本配置事实'!$C$6:$C$127,$A18,'51_版本配置事实'!$I$6:$I$127,"OPTIONAL_AT_RELEASE")&gt;0,"OPTIONAL_AT_RELEASE",IF(COUNTIFS('51_版本配置事实'!$B$6:$B$127,"PC-N90-MAX-CAND",'51_版本配置事实'!$C$6:$C$127,$A18,'51_版本配置事实'!$I$6:$I$127,"SEPARATE_PURCHASE")&gt;0,"SEPARATE_PURCHASE",IF(COUNTIFS('51_版本配置事实'!$B$6:$B$127,"PC-N90-MAX-CAND",'51_版本配置事实'!$C$6:$C$127,$A18,'51_版本配置事实'!$I$6:$I$127,"EQUIPPED_STANDARD_UNCONFIRMED")&gt;0,"EQUIPPED_STANDARD_UNCONFIRMED",IF(COUNTIFS('51_版本配置事实'!$B$6:$B$127,"PC-N90-MAX-CAND",'51_版本配置事实'!$C$6:$C$127,$A18,'51_版本配置事实'!$I$6:$I$127,"SERIES_CAPABILITY")&gt;0,"SERIES_CAPABILITY",IF(COUNTIFS('51_版本配置事实'!$B$6:$B$127,"PC-N90-MAX-CAND",'51_版本配置事实'!$C$6:$C$127,$A18,'51_版本配置事实'!$I$6:$I$127,"NOT_DISCLOSED")&gt;0,"NOT_DISCLOSED","NOT_DISCLOSED")))))))</x:f>
        <x:v>EQUIPPED_STANDARD_UNCONFIRMED</x:v>
      </x:c>
      <x:c r="H18" s="19" t="str">
        <x:f>IF(COUNTIFS('51_版本配置事实'!$B$6:$B$127,"PC-N90-MAX-CAND",'51_版本配置事实'!$C$6:$C$127,$A18,'51_版本配置事实'!$J$6:$J$127,"STANDARD_CURRENT")&gt;0,"STANDARD_CURRENT","NOT_EVIDENCED")</x:f>
        <x:v>NOT_EVIDENCED</x:v>
      </x:c>
      <x:c r="I18" s="19" t="str">
        <x:f>IF(COUNTIFS('51_版本配置事实'!$B$6:$B$127,"PC-N90-ROOF-CAND",'51_版本配置事实'!$C$6:$C$127,$A18,'51_版本配置事实'!$T$6:$T$127,"&lt;&gt;NONE")&gt;0,"CONFLICTED",IF(COUNTIFS('51_版本配置事实'!$B$6:$B$127,"PC-N90-ROOF-CAND",'51_版本配置事实'!$C$6:$C$127,$A18,'51_版本配置事实'!$I$6:$I$127,"STANDARD_AT_RELEASE")&gt;0,"STANDARD_AT_RELEASE",IF(COUNTIFS('51_版本配置事实'!$B$6:$B$127,"PC-N90-ROOF-CAND",'51_版本配置事实'!$C$6:$C$127,$A18,'51_版本配置事实'!$I$6:$I$127,"OPTIONAL_AT_RELEASE")&gt;0,"OPTIONAL_AT_RELEASE",IF(COUNTIFS('51_版本配置事实'!$B$6:$B$127,"PC-N90-ROOF-CAND",'51_版本配置事实'!$C$6:$C$127,$A18,'51_版本配置事实'!$I$6:$I$127,"SEPARATE_PURCHASE")&gt;0,"SEPARATE_PURCHASE",IF(COUNTIFS('51_版本配置事实'!$B$6:$B$127,"PC-N90-ROOF-CAND",'51_版本配置事实'!$C$6:$C$127,$A18,'51_版本配置事实'!$I$6:$I$127,"EQUIPPED_STANDARD_UNCONFIRMED")&gt;0,"EQUIPPED_STANDARD_UNCONFIRMED",IF(COUNTIFS('51_版本配置事实'!$B$6:$B$127,"PC-N90-ROOF-CAND",'51_版本配置事实'!$C$6:$C$127,$A18,'51_版本配置事实'!$I$6:$I$127,"SERIES_CAPABILITY")&gt;0,"SERIES_CAPABILITY",IF(COUNTIFS('51_版本配置事实'!$B$6:$B$127,"PC-N90-ROOF-CAND",'51_版本配置事实'!$C$6:$C$127,$A18,'51_版本配置事实'!$I$6:$I$127,"NOT_DISCLOSED")&gt;0,"NOT_DISCLOSED","NOT_DISCLOSED")))))))</x:f>
        <x:v>NOT_DISCLOSED</x:v>
      </x:c>
      <x:c r="J18" s="19" t="str">
        <x:f>IF(COUNTIFS('51_版本配置事实'!$B$6:$B$127,"PC-N90-ROOF-CAND",'51_版本配置事实'!$C$6:$C$127,$A18,'51_版本配置事实'!$J$6:$J$127,"STANDARD_CURRENT")&gt;0,"STANDARD_CURRENT","NOT_EVIDENCED")</x:f>
        <x:v>NOT_EVIDENCED</x:v>
      </x:c>
      <x:c r="K18" s="19" t="str">
        <x:f>IF(AND(E18=G18,E18&lt;&gt;"NOT_DISCLOSED",E18&lt;&gt;"CONFLICTED"),IF(COUNTIFS('50_发布会逐项主张'!$H$6:$H$137,$A18,'50_发布会逐项主张'!$O$6:$O$137,"ALL_PENGCHENG")&gt;0,"EXPLICIT_COMMON_ANNOUNCED_MAX","MATCHED_NOT_PROVED_COMMON"),"NOT_PROVED_COMMON")</x:f>
        <x:v>NOT_PROVED_COMMON</x:v>
      </x:c>
      <x:c r="L18" s="19" t="str">
        <x:f>IF(OR(C18="NOT_DISCLOSED",E18="NOT_DISCLOSED",C18="CONFLICTED",E18="CONFLICTED"),"UNRESOLVED",IF(C18=E18,"NO_CHANGE",IF(AND(C18="STANDARD_AT_RELEASE",E18="OPTIONAL_AT_RELEASE"),"STANDARD_TO_OPTIONAL",IF(AND(C18="OPTIONAL_AT_RELEASE",E18="STANDARD_AT_RELEASE"),"OPTIONAL_TO_STANDARD",IF(E18="STANDARD_AT_RELEASE","ADDED_STANDARD","REVIEW_CHANGE")))))</x:f>
        <x:v>UNRESOLVED</x:v>
      </x:c>
      <x:c r="M18" s="19" t="str">
        <x:f>IF(OR(E18="NOT_DISCLOSED",G18="NOT_DISCLOSED",E18="CONFLICTED",G18="CONFLICTED"),"UNRESOLVED",IF(E18=G18,"NO_CHANGE",IF(AND(E18="STANDARD_AT_RELEASE",G18="OPTIONAL_AT_RELEASE"),"STANDARD_TO_OPTIONAL",IF(AND(E18="OPTIONAL_AT_RELEASE",G18="STANDARD_AT_RELEASE"),"OPTIONAL_TO_STANDARD",IF(G18="STANDARD_AT_RELEASE","ADDED_STANDARD","REVIEW_CHANGE")))))</x:f>
        <x:v>UNRESOLVED</x:v>
      </x:c>
      <x:c r="N18" s="19" t="str">
        <x:f>IF(OR(G18="NOT_DISCLOSED",I18="NOT_DISCLOSED",G18="CONFLICTED",I18="CONFLICTED"),"UNRESOLVED",IF(G18=I18,"NO_CHANGE",IF(AND(G18="STANDARD_AT_RELEASE",I18="OPTIONAL_AT_RELEASE"),"STANDARD_TO_OPTIONAL",IF(AND(G18="OPTIONAL_AT_RELEASE",I18="STANDARD_AT_RELEASE"),"OPTIONAL_TO_STANDARD",IF(I18="STANDARD_AT_RELEASE","ADDED_STANDARD","REVIEW_CHANGE")))))</x:f>
        <x:v>UNRESOLVED</x:v>
      </x:c>
      <x:c r="O18" s="19" t="str">
        <x:v>CHASSIS_HARDWARE</x:v>
      </x:c>
      <x:c r="P18" s="19" t="str">
        <x:v>DC_CHASSIS_brake_control</x:v>
      </x:c>
      <x:c r="Q18" s="19" t="n">
        <x:f>COUNTIF('50_发布会逐项主张'!$H$6:$H$137,A18)</x:f>
        <x:v>1</x:v>
      </x:c>
      <x:c r="R18" s="19" t="str">
        <x:f>IF(COUNTIFS('50_发布会逐项主张'!$H$6:$H$137,A18,'50_发布会逐项主张'!$X$6:$X$137,"&lt;&gt;NONE")&gt;0,"CONFLICTED","NONE")</x:f>
        <x:v>NONE</x:v>
      </x:c>
    </x:row>
    <x:row r="19" ht="48" customHeight="1">
      <x:c r="A19" s="369" t="str">
        <x:v>brake_hardware</x:v>
      </x:c>
      <x:c r="B19" s="369" t="str">
        <x:v>CHASSIS</x:v>
      </x:c>
      <x:c r="C19" s="369" t="str">
        <x:f>IF(COUNTIFS('51_版本配置事实'!$B$6:$B$127,"PC-N70-BASE-CAND",'51_版本配置事实'!$C$6:$C$127,$A19,'51_版本配置事实'!$T$6:$T$127,"&lt;&gt;NONE")&gt;0,"CONFLICTED",IF(COUNTIFS('51_版本配置事实'!$B$6:$B$127,"PC-N70-BASE-CAND",'51_版本配置事实'!$C$6:$C$127,$A19,'51_版本配置事实'!$I$6:$I$127,"STANDARD_AT_RELEASE")&gt;0,"STANDARD_AT_RELEASE",IF(COUNTIFS('51_版本配置事实'!$B$6:$B$127,"PC-N70-BASE-CAND",'51_版本配置事实'!$C$6:$C$127,$A19,'51_版本配置事实'!$I$6:$I$127,"OPTIONAL_AT_RELEASE")&gt;0,"OPTIONAL_AT_RELEASE",IF(COUNTIFS('51_版本配置事实'!$B$6:$B$127,"PC-N70-BASE-CAND",'51_版本配置事实'!$C$6:$C$127,$A19,'51_版本配置事实'!$I$6:$I$127,"SEPARATE_PURCHASE")&gt;0,"SEPARATE_PURCHASE",IF(COUNTIFS('51_版本配置事实'!$B$6:$B$127,"PC-N70-BASE-CAND",'51_版本配置事实'!$C$6:$C$127,$A19,'51_版本配置事实'!$I$6:$I$127,"EQUIPPED_STANDARD_UNCONFIRMED")&gt;0,"EQUIPPED_STANDARD_UNCONFIRMED",IF(COUNTIFS('51_版本配置事实'!$B$6:$B$127,"PC-N70-BASE-CAND",'51_版本配置事实'!$C$6:$C$127,$A19,'51_版本配置事实'!$I$6:$I$127,"SERIES_CAPABILITY")&gt;0,"SERIES_CAPABILITY",IF(COUNTIFS('51_版本配置事实'!$B$6:$B$127,"PC-N70-BASE-CAND",'51_版本配置事实'!$C$6:$C$127,$A19,'51_版本配置事实'!$I$6:$I$127,"NOT_DISCLOSED")&gt;0,"NOT_DISCLOSED","NOT_DISCLOSED")))))))</x:f>
        <x:v>NOT_DISCLOSED</x:v>
      </x:c>
      <x:c r="D19" s="369" t="str">
        <x:f>IF(COUNTIFS('51_版本配置事实'!$B$6:$B$127,"PC-N70-BASE-CAND",'51_版本配置事实'!$C$6:$C$127,$A19,'51_版本配置事实'!$J$6:$J$127,"STANDARD_CURRENT")&gt;0,"STANDARD_CURRENT","NOT_EVIDENCED")</x:f>
        <x:v>NOT_EVIDENCED</x:v>
      </x:c>
      <x:c r="E19" s="369" t="str">
        <x:f>IF(COUNTIFS('51_版本配置事实'!$B$6:$B$127,"PC-N70-MAX-CAND",'51_版本配置事实'!$C$6:$C$127,$A19,'51_版本配置事实'!$T$6:$T$127,"&lt;&gt;NONE")&gt;0,"CONFLICTED",IF(COUNTIFS('51_版本配置事实'!$B$6:$B$127,"PC-N70-MAX-CAND",'51_版本配置事实'!$C$6:$C$127,$A19,'51_版本配置事实'!$I$6:$I$127,"STANDARD_AT_RELEASE")&gt;0,"STANDARD_AT_RELEASE",IF(COUNTIFS('51_版本配置事实'!$B$6:$B$127,"PC-N70-MAX-CAND",'51_版本配置事实'!$C$6:$C$127,$A19,'51_版本配置事实'!$I$6:$I$127,"OPTIONAL_AT_RELEASE")&gt;0,"OPTIONAL_AT_RELEASE",IF(COUNTIFS('51_版本配置事实'!$B$6:$B$127,"PC-N70-MAX-CAND",'51_版本配置事实'!$C$6:$C$127,$A19,'51_版本配置事实'!$I$6:$I$127,"SEPARATE_PURCHASE")&gt;0,"SEPARATE_PURCHASE",IF(COUNTIFS('51_版本配置事实'!$B$6:$B$127,"PC-N70-MAX-CAND",'51_版本配置事实'!$C$6:$C$127,$A19,'51_版本配置事实'!$I$6:$I$127,"EQUIPPED_STANDARD_UNCONFIRMED")&gt;0,"EQUIPPED_STANDARD_UNCONFIRMED",IF(COUNTIFS('51_版本配置事实'!$B$6:$B$127,"PC-N70-MAX-CAND",'51_版本配置事实'!$C$6:$C$127,$A19,'51_版本配置事实'!$I$6:$I$127,"SERIES_CAPABILITY")&gt;0,"SERIES_CAPABILITY",IF(COUNTIFS('51_版本配置事实'!$B$6:$B$127,"PC-N70-MAX-CAND",'51_版本配置事实'!$C$6:$C$127,$A19,'51_版本配置事实'!$I$6:$I$127,"NOT_DISCLOSED")&gt;0,"NOT_DISCLOSED","NOT_DISCLOSED")))))))</x:f>
        <x:v>NOT_DISCLOSED</x:v>
      </x:c>
      <x:c r="F19" s="369" t="str">
        <x:f>IF(COUNTIFS('51_版本配置事实'!$B$6:$B$127,"PC-N70-MAX-CAND",'51_版本配置事实'!$C$6:$C$127,$A19,'51_版本配置事实'!$J$6:$J$127,"STANDARD_CURRENT")&gt;0,"STANDARD_CURRENT","NOT_EVIDENCED")</x:f>
        <x:v>NOT_EVIDENCED</x:v>
      </x:c>
      <x:c r="G19" s="369" t="str">
        <x:f>IF(COUNTIFS('51_版本配置事实'!$B$6:$B$127,"PC-N90-MAX-CAND",'51_版本配置事实'!$C$6:$C$127,$A19,'51_版本配置事实'!$T$6:$T$127,"&lt;&gt;NONE")&gt;0,"CONFLICTED",IF(COUNTIFS('51_版本配置事实'!$B$6:$B$127,"PC-N90-MAX-CAND",'51_版本配置事实'!$C$6:$C$127,$A19,'51_版本配置事实'!$I$6:$I$127,"STANDARD_AT_RELEASE")&gt;0,"STANDARD_AT_RELEASE",IF(COUNTIFS('51_版本配置事实'!$B$6:$B$127,"PC-N90-MAX-CAND",'51_版本配置事实'!$C$6:$C$127,$A19,'51_版本配置事实'!$I$6:$I$127,"OPTIONAL_AT_RELEASE")&gt;0,"OPTIONAL_AT_RELEASE",IF(COUNTIFS('51_版本配置事实'!$B$6:$B$127,"PC-N90-MAX-CAND",'51_版本配置事实'!$C$6:$C$127,$A19,'51_版本配置事实'!$I$6:$I$127,"SEPARATE_PURCHASE")&gt;0,"SEPARATE_PURCHASE",IF(COUNTIFS('51_版本配置事实'!$B$6:$B$127,"PC-N90-MAX-CAND",'51_版本配置事实'!$C$6:$C$127,$A19,'51_版本配置事实'!$I$6:$I$127,"EQUIPPED_STANDARD_UNCONFIRMED")&gt;0,"EQUIPPED_STANDARD_UNCONFIRMED",IF(COUNTIFS('51_版本配置事实'!$B$6:$B$127,"PC-N90-MAX-CAND",'51_版本配置事实'!$C$6:$C$127,$A19,'51_版本配置事实'!$I$6:$I$127,"SERIES_CAPABILITY")&gt;0,"SERIES_CAPABILITY",IF(COUNTIFS('51_版本配置事实'!$B$6:$B$127,"PC-N90-MAX-CAND",'51_版本配置事实'!$C$6:$C$127,$A19,'51_版本配置事实'!$I$6:$I$127,"NOT_DISCLOSED")&gt;0,"NOT_DISCLOSED","NOT_DISCLOSED")))))))</x:f>
        <x:v>NOT_DISCLOSED</x:v>
      </x:c>
      <x:c r="H19" s="369" t="str">
        <x:f>IF(COUNTIFS('51_版本配置事实'!$B$6:$B$127,"PC-N90-MAX-CAND",'51_版本配置事实'!$C$6:$C$127,$A19,'51_版本配置事实'!$J$6:$J$127,"STANDARD_CURRENT")&gt;0,"STANDARD_CURRENT","NOT_EVIDENCED")</x:f>
        <x:v>NOT_EVIDENCED</x:v>
      </x:c>
      <x:c r="I19" s="369" t="str">
        <x:f>IF(COUNTIFS('51_版本配置事实'!$B$6:$B$127,"PC-N90-ROOF-CAND",'51_版本配置事实'!$C$6:$C$127,$A19,'51_版本配置事实'!$T$6:$T$127,"&lt;&gt;NONE")&gt;0,"CONFLICTED",IF(COUNTIFS('51_版本配置事实'!$B$6:$B$127,"PC-N90-ROOF-CAND",'51_版本配置事实'!$C$6:$C$127,$A19,'51_版本配置事实'!$I$6:$I$127,"STANDARD_AT_RELEASE")&gt;0,"STANDARD_AT_RELEASE",IF(COUNTIFS('51_版本配置事实'!$B$6:$B$127,"PC-N90-ROOF-CAND",'51_版本配置事实'!$C$6:$C$127,$A19,'51_版本配置事实'!$I$6:$I$127,"OPTIONAL_AT_RELEASE")&gt;0,"OPTIONAL_AT_RELEASE",IF(COUNTIFS('51_版本配置事实'!$B$6:$B$127,"PC-N90-ROOF-CAND",'51_版本配置事实'!$C$6:$C$127,$A19,'51_版本配置事实'!$I$6:$I$127,"SEPARATE_PURCHASE")&gt;0,"SEPARATE_PURCHASE",IF(COUNTIFS('51_版本配置事实'!$B$6:$B$127,"PC-N90-ROOF-CAND",'51_版本配置事实'!$C$6:$C$127,$A19,'51_版本配置事实'!$I$6:$I$127,"EQUIPPED_STANDARD_UNCONFIRMED")&gt;0,"EQUIPPED_STANDARD_UNCONFIRMED",IF(COUNTIFS('51_版本配置事实'!$B$6:$B$127,"PC-N90-ROOF-CAND",'51_版本配置事实'!$C$6:$C$127,$A19,'51_版本配置事实'!$I$6:$I$127,"SERIES_CAPABILITY")&gt;0,"SERIES_CAPABILITY",IF(COUNTIFS('51_版本配置事实'!$B$6:$B$127,"PC-N90-ROOF-CAND",'51_版本配置事实'!$C$6:$C$127,$A19,'51_版本配置事实'!$I$6:$I$127,"NOT_DISCLOSED")&gt;0,"NOT_DISCLOSED","NOT_DISCLOSED")))))))</x:f>
        <x:v>NOT_DISCLOSED</x:v>
      </x:c>
      <x:c r="J19" s="369" t="str">
        <x:f>IF(COUNTIFS('51_版本配置事实'!$B$6:$B$127,"PC-N90-ROOF-CAND",'51_版本配置事实'!$C$6:$C$127,$A19,'51_版本配置事实'!$J$6:$J$127,"STANDARD_CURRENT")&gt;0,"STANDARD_CURRENT","NOT_EVIDENCED")</x:f>
        <x:v>NOT_EVIDENCED</x:v>
      </x:c>
      <x:c r="K19" s="369" t="str">
        <x:f>IF(AND(E19=G19,E19&lt;&gt;"NOT_DISCLOSED",E19&lt;&gt;"CONFLICTED"),IF(COUNTIFS('50_发布会逐项主张'!$H$6:$H$137,$A19,'50_发布会逐项主张'!$O$6:$O$137,"ALL_PENGCHENG")&gt;0,"EXPLICIT_COMMON_ANNOUNCED_MAX","MATCHED_NOT_PROVED_COMMON"),"NOT_PROVED_COMMON")</x:f>
        <x:v>NOT_PROVED_COMMON</x:v>
      </x:c>
      <x:c r="L19" s="369" t="str">
        <x:f>IF(OR(C19="NOT_DISCLOSED",E19="NOT_DISCLOSED",C19="CONFLICTED",E19="CONFLICTED"),"UNRESOLVED",IF(C19=E19,"NO_CHANGE",IF(AND(C19="STANDARD_AT_RELEASE",E19="OPTIONAL_AT_RELEASE"),"STANDARD_TO_OPTIONAL",IF(AND(C19="OPTIONAL_AT_RELEASE",E19="STANDARD_AT_RELEASE"),"OPTIONAL_TO_STANDARD",IF(E19="STANDARD_AT_RELEASE","ADDED_STANDARD","REVIEW_CHANGE")))))</x:f>
        <x:v>UNRESOLVED</x:v>
      </x:c>
      <x:c r="M19" s="369" t="str">
        <x:f>IF(OR(E19="NOT_DISCLOSED",G19="NOT_DISCLOSED",E19="CONFLICTED",G19="CONFLICTED"),"UNRESOLVED",IF(E19=G19,"NO_CHANGE",IF(AND(E19="STANDARD_AT_RELEASE",G19="OPTIONAL_AT_RELEASE"),"STANDARD_TO_OPTIONAL",IF(AND(E19="OPTIONAL_AT_RELEASE",G19="STANDARD_AT_RELEASE"),"OPTIONAL_TO_STANDARD",IF(G19="STANDARD_AT_RELEASE","ADDED_STANDARD","REVIEW_CHANGE")))))</x:f>
        <x:v>UNRESOLVED</x:v>
      </x:c>
      <x:c r="N19" s="369" t="str">
        <x:f>IF(OR(G19="NOT_DISCLOSED",I19="NOT_DISCLOSED",G19="CONFLICTED",I19="CONFLICTED"),"UNRESOLVED",IF(G19=I19,"NO_CHANGE",IF(AND(G19="STANDARD_AT_RELEASE",I19="OPTIONAL_AT_RELEASE"),"STANDARD_TO_OPTIONAL",IF(AND(G19="OPTIONAL_AT_RELEASE",I19="STANDARD_AT_RELEASE"),"OPTIONAL_TO_STANDARD",IF(I19="STANDARD_AT_RELEASE","ADDED_STANDARD","REVIEW_CHANGE")))))</x:f>
        <x:v>UNRESOLVED</x:v>
      </x:c>
      <x:c r="O19" s="369" t="str">
        <x:v>CHASSIS_HARDWARE</x:v>
      </x:c>
      <x:c r="P19" s="369" t="str">
        <x:v>DC_CHASSIS_brake_hardware</x:v>
      </x:c>
      <x:c r="Q19" s="369" t="n">
        <x:f>COUNTIF('50_发布会逐项主张'!$H$6:$H$137,A19)</x:f>
        <x:v>1</x:v>
      </x:c>
      <x:c r="R19" s="369" t="str">
        <x:f>IF(COUNTIFS('50_发布会逐项主张'!$H$6:$H$137,A19,'50_发布会逐项主张'!$X$6:$X$137,"&lt;&gt;NONE")&gt;0,"CONFLICTED","NONE")</x:f>
        <x:v>NONE</x:v>
      </x:c>
    </x:row>
    <x:row r="20" ht="48" customHeight="1">
      <x:c r="A20" s="19" t="str">
        <x:v>braking_100_0</x:v>
      </x:c>
      <x:c r="B20" s="19" t="str">
        <x:v>CHASSIS</x:v>
      </x:c>
      <x:c r="C20" s="19" t="str">
        <x:f>IF(COUNTIFS('51_版本配置事实'!$B$6:$B$127,"PC-N70-BASE-CAND",'51_版本配置事实'!$C$6:$C$127,$A20,'51_版本配置事实'!$T$6:$T$127,"&lt;&gt;NONE")&gt;0,"CONFLICTED",IF(COUNTIFS('51_版本配置事实'!$B$6:$B$127,"PC-N70-BASE-CAND",'51_版本配置事实'!$C$6:$C$127,$A20,'51_版本配置事实'!$I$6:$I$127,"STANDARD_AT_RELEASE")&gt;0,"STANDARD_AT_RELEASE",IF(COUNTIFS('51_版本配置事实'!$B$6:$B$127,"PC-N70-BASE-CAND",'51_版本配置事实'!$C$6:$C$127,$A20,'51_版本配置事实'!$I$6:$I$127,"OPTIONAL_AT_RELEASE")&gt;0,"OPTIONAL_AT_RELEASE",IF(COUNTIFS('51_版本配置事实'!$B$6:$B$127,"PC-N70-BASE-CAND",'51_版本配置事实'!$C$6:$C$127,$A20,'51_版本配置事实'!$I$6:$I$127,"SEPARATE_PURCHASE")&gt;0,"SEPARATE_PURCHASE",IF(COUNTIFS('51_版本配置事实'!$B$6:$B$127,"PC-N70-BASE-CAND",'51_版本配置事实'!$C$6:$C$127,$A20,'51_版本配置事实'!$I$6:$I$127,"EQUIPPED_STANDARD_UNCONFIRMED")&gt;0,"EQUIPPED_STANDARD_UNCONFIRMED",IF(COUNTIFS('51_版本配置事实'!$B$6:$B$127,"PC-N70-BASE-CAND",'51_版本配置事实'!$C$6:$C$127,$A20,'51_版本配置事实'!$I$6:$I$127,"SERIES_CAPABILITY")&gt;0,"SERIES_CAPABILITY",IF(COUNTIFS('51_版本配置事实'!$B$6:$B$127,"PC-N70-BASE-CAND",'51_版本配置事实'!$C$6:$C$127,$A20,'51_版本配置事实'!$I$6:$I$127,"NOT_DISCLOSED")&gt;0,"NOT_DISCLOSED","NOT_DISCLOSED")))))))</x:f>
        <x:v>NOT_DISCLOSED</x:v>
      </x:c>
      <x:c r="D20" s="19" t="str">
        <x:f>IF(COUNTIFS('51_版本配置事实'!$B$6:$B$127,"PC-N70-BASE-CAND",'51_版本配置事实'!$C$6:$C$127,$A20,'51_版本配置事实'!$J$6:$J$127,"STANDARD_CURRENT")&gt;0,"STANDARD_CURRENT","NOT_EVIDENCED")</x:f>
        <x:v>NOT_EVIDENCED</x:v>
      </x:c>
      <x:c r="E20" s="19" t="str">
        <x:f>IF(COUNTIFS('51_版本配置事实'!$B$6:$B$127,"PC-N70-MAX-CAND",'51_版本配置事实'!$C$6:$C$127,$A20,'51_版本配置事实'!$T$6:$T$127,"&lt;&gt;NONE")&gt;0,"CONFLICTED",IF(COUNTIFS('51_版本配置事实'!$B$6:$B$127,"PC-N70-MAX-CAND",'51_版本配置事实'!$C$6:$C$127,$A20,'51_版本配置事实'!$I$6:$I$127,"STANDARD_AT_RELEASE")&gt;0,"STANDARD_AT_RELEASE",IF(COUNTIFS('51_版本配置事实'!$B$6:$B$127,"PC-N70-MAX-CAND",'51_版本配置事实'!$C$6:$C$127,$A20,'51_版本配置事实'!$I$6:$I$127,"OPTIONAL_AT_RELEASE")&gt;0,"OPTIONAL_AT_RELEASE",IF(COUNTIFS('51_版本配置事实'!$B$6:$B$127,"PC-N70-MAX-CAND",'51_版本配置事实'!$C$6:$C$127,$A20,'51_版本配置事实'!$I$6:$I$127,"SEPARATE_PURCHASE")&gt;0,"SEPARATE_PURCHASE",IF(COUNTIFS('51_版本配置事实'!$B$6:$B$127,"PC-N70-MAX-CAND",'51_版本配置事实'!$C$6:$C$127,$A20,'51_版本配置事实'!$I$6:$I$127,"EQUIPPED_STANDARD_UNCONFIRMED")&gt;0,"EQUIPPED_STANDARD_UNCONFIRMED",IF(COUNTIFS('51_版本配置事实'!$B$6:$B$127,"PC-N70-MAX-CAND",'51_版本配置事实'!$C$6:$C$127,$A20,'51_版本配置事实'!$I$6:$I$127,"SERIES_CAPABILITY")&gt;0,"SERIES_CAPABILITY",IF(COUNTIFS('51_版本配置事实'!$B$6:$B$127,"PC-N70-MAX-CAND",'51_版本配置事实'!$C$6:$C$127,$A20,'51_版本配置事实'!$I$6:$I$127,"NOT_DISCLOSED")&gt;0,"NOT_DISCLOSED","NOT_DISCLOSED")))))))</x:f>
        <x:v>NOT_DISCLOSED</x:v>
      </x:c>
      <x:c r="F20" s="19" t="str">
        <x:f>IF(COUNTIFS('51_版本配置事实'!$B$6:$B$127,"PC-N70-MAX-CAND",'51_版本配置事实'!$C$6:$C$127,$A20,'51_版本配置事实'!$J$6:$J$127,"STANDARD_CURRENT")&gt;0,"STANDARD_CURRENT","NOT_EVIDENCED")</x:f>
        <x:v>NOT_EVIDENCED</x:v>
      </x:c>
      <x:c r="G20" s="19" t="str">
        <x:f>IF(COUNTIFS('51_版本配置事实'!$B$6:$B$127,"PC-N90-MAX-CAND",'51_版本配置事实'!$C$6:$C$127,$A20,'51_版本配置事实'!$T$6:$T$127,"&lt;&gt;NONE")&gt;0,"CONFLICTED",IF(COUNTIFS('51_版本配置事实'!$B$6:$B$127,"PC-N90-MAX-CAND",'51_版本配置事实'!$C$6:$C$127,$A20,'51_版本配置事实'!$I$6:$I$127,"STANDARD_AT_RELEASE")&gt;0,"STANDARD_AT_RELEASE",IF(COUNTIFS('51_版本配置事实'!$B$6:$B$127,"PC-N90-MAX-CAND",'51_版本配置事实'!$C$6:$C$127,$A20,'51_版本配置事实'!$I$6:$I$127,"OPTIONAL_AT_RELEASE")&gt;0,"OPTIONAL_AT_RELEASE",IF(COUNTIFS('51_版本配置事实'!$B$6:$B$127,"PC-N90-MAX-CAND",'51_版本配置事实'!$C$6:$C$127,$A20,'51_版本配置事实'!$I$6:$I$127,"SEPARATE_PURCHASE")&gt;0,"SEPARATE_PURCHASE",IF(COUNTIFS('51_版本配置事实'!$B$6:$B$127,"PC-N90-MAX-CAND",'51_版本配置事实'!$C$6:$C$127,$A20,'51_版本配置事实'!$I$6:$I$127,"EQUIPPED_STANDARD_UNCONFIRMED")&gt;0,"EQUIPPED_STANDARD_UNCONFIRMED",IF(COUNTIFS('51_版本配置事实'!$B$6:$B$127,"PC-N90-MAX-CAND",'51_版本配置事实'!$C$6:$C$127,$A20,'51_版本配置事实'!$I$6:$I$127,"SERIES_CAPABILITY")&gt;0,"SERIES_CAPABILITY",IF(COUNTIFS('51_版本配置事实'!$B$6:$B$127,"PC-N90-MAX-CAND",'51_版本配置事实'!$C$6:$C$127,$A20,'51_版本配置事实'!$I$6:$I$127,"NOT_DISCLOSED")&gt;0,"NOT_DISCLOSED","NOT_DISCLOSED")))))))</x:f>
        <x:v>EQUIPPED_STANDARD_UNCONFIRMED</x:v>
      </x:c>
      <x:c r="H20" s="19" t="str">
        <x:f>IF(COUNTIFS('51_版本配置事实'!$B$6:$B$127,"PC-N90-MAX-CAND",'51_版本配置事实'!$C$6:$C$127,$A20,'51_版本配置事实'!$J$6:$J$127,"STANDARD_CURRENT")&gt;0,"STANDARD_CURRENT","NOT_EVIDENCED")</x:f>
        <x:v>NOT_EVIDENCED</x:v>
      </x:c>
      <x:c r="I20" s="19" t="str">
        <x:f>IF(COUNTIFS('51_版本配置事实'!$B$6:$B$127,"PC-N90-ROOF-CAND",'51_版本配置事实'!$C$6:$C$127,$A20,'51_版本配置事实'!$T$6:$T$127,"&lt;&gt;NONE")&gt;0,"CONFLICTED",IF(COUNTIFS('51_版本配置事实'!$B$6:$B$127,"PC-N90-ROOF-CAND",'51_版本配置事实'!$C$6:$C$127,$A20,'51_版本配置事实'!$I$6:$I$127,"STANDARD_AT_RELEASE")&gt;0,"STANDARD_AT_RELEASE",IF(COUNTIFS('51_版本配置事实'!$B$6:$B$127,"PC-N90-ROOF-CAND",'51_版本配置事实'!$C$6:$C$127,$A20,'51_版本配置事实'!$I$6:$I$127,"OPTIONAL_AT_RELEASE")&gt;0,"OPTIONAL_AT_RELEASE",IF(COUNTIFS('51_版本配置事实'!$B$6:$B$127,"PC-N90-ROOF-CAND",'51_版本配置事实'!$C$6:$C$127,$A20,'51_版本配置事实'!$I$6:$I$127,"SEPARATE_PURCHASE")&gt;0,"SEPARATE_PURCHASE",IF(COUNTIFS('51_版本配置事实'!$B$6:$B$127,"PC-N90-ROOF-CAND",'51_版本配置事实'!$C$6:$C$127,$A20,'51_版本配置事实'!$I$6:$I$127,"EQUIPPED_STANDARD_UNCONFIRMED")&gt;0,"EQUIPPED_STANDARD_UNCONFIRMED",IF(COUNTIFS('51_版本配置事实'!$B$6:$B$127,"PC-N90-ROOF-CAND",'51_版本配置事实'!$C$6:$C$127,$A20,'51_版本配置事实'!$I$6:$I$127,"SERIES_CAPABILITY")&gt;0,"SERIES_CAPABILITY",IF(COUNTIFS('51_版本配置事实'!$B$6:$B$127,"PC-N90-ROOF-CAND",'51_版本配置事实'!$C$6:$C$127,$A20,'51_版本配置事实'!$I$6:$I$127,"NOT_DISCLOSED")&gt;0,"NOT_DISCLOSED","NOT_DISCLOSED")))))))</x:f>
        <x:v>NOT_DISCLOSED</x:v>
      </x:c>
      <x:c r="J20" s="19" t="str">
        <x:f>IF(COUNTIFS('51_版本配置事实'!$B$6:$B$127,"PC-N90-ROOF-CAND",'51_版本配置事实'!$C$6:$C$127,$A20,'51_版本配置事实'!$J$6:$J$127,"STANDARD_CURRENT")&gt;0,"STANDARD_CURRENT","NOT_EVIDENCED")</x:f>
        <x:v>NOT_EVIDENCED</x:v>
      </x:c>
      <x:c r="K20" s="19" t="str">
        <x:f>IF(AND(E20=G20,E20&lt;&gt;"NOT_DISCLOSED",E20&lt;&gt;"CONFLICTED"),IF(COUNTIFS('50_发布会逐项主张'!$H$6:$H$137,$A20,'50_发布会逐项主张'!$O$6:$O$137,"ALL_PENGCHENG")&gt;0,"EXPLICIT_COMMON_ANNOUNCED_MAX","MATCHED_NOT_PROVED_COMMON"),"NOT_PROVED_COMMON")</x:f>
        <x:v>NOT_PROVED_COMMON</x:v>
      </x:c>
      <x:c r="L20" s="19" t="str">
        <x:f>IF(OR(C20="NOT_DISCLOSED",E20="NOT_DISCLOSED",C20="CONFLICTED",E20="CONFLICTED"),"UNRESOLVED",IF(C20=E20,"NO_CHANGE",IF(AND(C20="STANDARD_AT_RELEASE",E20="OPTIONAL_AT_RELEASE"),"STANDARD_TO_OPTIONAL",IF(AND(C20="OPTIONAL_AT_RELEASE",E20="STANDARD_AT_RELEASE"),"OPTIONAL_TO_STANDARD",IF(E20="STANDARD_AT_RELEASE","ADDED_STANDARD","REVIEW_CHANGE")))))</x:f>
        <x:v>UNRESOLVED</x:v>
      </x:c>
      <x:c r="M20" s="19" t="str">
        <x:f>IF(OR(E20="NOT_DISCLOSED",G20="NOT_DISCLOSED",E20="CONFLICTED",G20="CONFLICTED"),"UNRESOLVED",IF(E20=G20,"NO_CHANGE",IF(AND(E20="STANDARD_AT_RELEASE",G20="OPTIONAL_AT_RELEASE"),"STANDARD_TO_OPTIONAL",IF(AND(E20="OPTIONAL_AT_RELEASE",G20="STANDARD_AT_RELEASE"),"OPTIONAL_TO_STANDARD",IF(G20="STANDARD_AT_RELEASE","ADDED_STANDARD","REVIEW_CHANGE")))))</x:f>
        <x:v>UNRESOLVED</x:v>
      </x:c>
      <x:c r="N20" s="19" t="str">
        <x:f>IF(OR(G20="NOT_DISCLOSED",I20="NOT_DISCLOSED",G20="CONFLICTED",I20="CONFLICTED"),"UNRESOLVED",IF(G20=I20,"NO_CHANGE",IF(AND(G20="STANDARD_AT_RELEASE",I20="OPTIONAL_AT_RELEASE"),"STANDARD_TO_OPTIONAL",IF(AND(G20="OPTIONAL_AT_RELEASE",I20="STANDARD_AT_RELEASE"),"OPTIONAL_TO_STANDARD",IF(I20="STANDARD_AT_RELEASE","ADDED_STANDARD","REVIEW_CHANGE")))))</x:f>
        <x:v>UNRESOLVED</x:v>
      </x:c>
      <x:c r="O20" s="19" t="str">
        <x:v>CHASSIS_HARDWARE</x:v>
      </x:c>
      <x:c r="P20" s="19" t="str">
        <x:v>DC_CHASSIS_braking_100_0</x:v>
      </x:c>
      <x:c r="Q20" s="19" t="n">
        <x:f>COUNTIF('50_发布会逐项主张'!$H$6:$H$137,A20)</x:f>
        <x:v>1</x:v>
      </x:c>
      <x:c r="R20" s="19" t="str">
        <x:f>IF(COUNTIFS('50_发布会逐项主张'!$H$6:$H$137,A20,'50_发布会逐项主张'!$X$6:$X$137,"&lt;&gt;NONE")&gt;0,"CONFLICTED","NONE")</x:f>
        <x:v>NONE</x:v>
      </x:c>
    </x:row>
    <x:row r="21" ht="48" customHeight="1">
      <x:c r="A21" s="369" t="str">
        <x:v>cabin_220v</x:v>
      </x:c>
      <x:c r="B21" s="369" t="str">
        <x:v>CABIN</x:v>
      </x:c>
      <x:c r="C21" s="369" t="str">
        <x:f>IF(COUNTIFS('51_版本配置事实'!$B$6:$B$127,"PC-N70-BASE-CAND",'51_版本配置事实'!$C$6:$C$127,$A21,'51_版本配置事实'!$T$6:$T$127,"&lt;&gt;NONE")&gt;0,"CONFLICTED",IF(COUNTIFS('51_版本配置事实'!$B$6:$B$127,"PC-N70-BASE-CAND",'51_版本配置事实'!$C$6:$C$127,$A21,'51_版本配置事实'!$I$6:$I$127,"STANDARD_AT_RELEASE")&gt;0,"STANDARD_AT_RELEASE",IF(COUNTIFS('51_版本配置事实'!$B$6:$B$127,"PC-N70-BASE-CAND",'51_版本配置事实'!$C$6:$C$127,$A21,'51_版本配置事实'!$I$6:$I$127,"OPTIONAL_AT_RELEASE")&gt;0,"OPTIONAL_AT_RELEASE",IF(COUNTIFS('51_版本配置事实'!$B$6:$B$127,"PC-N70-BASE-CAND",'51_版本配置事实'!$C$6:$C$127,$A21,'51_版本配置事实'!$I$6:$I$127,"SEPARATE_PURCHASE")&gt;0,"SEPARATE_PURCHASE",IF(COUNTIFS('51_版本配置事实'!$B$6:$B$127,"PC-N70-BASE-CAND",'51_版本配置事实'!$C$6:$C$127,$A21,'51_版本配置事实'!$I$6:$I$127,"EQUIPPED_STANDARD_UNCONFIRMED")&gt;0,"EQUIPPED_STANDARD_UNCONFIRMED",IF(COUNTIFS('51_版本配置事实'!$B$6:$B$127,"PC-N70-BASE-CAND",'51_版本配置事实'!$C$6:$C$127,$A21,'51_版本配置事实'!$I$6:$I$127,"SERIES_CAPABILITY")&gt;0,"SERIES_CAPABILITY",IF(COUNTIFS('51_版本配置事实'!$B$6:$B$127,"PC-N70-BASE-CAND",'51_版本配置事实'!$C$6:$C$127,$A21,'51_版本配置事实'!$I$6:$I$127,"NOT_DISCLOSED")&gt;0,"NOT_DISCLOSED","NOT_DISCLOSED")))))))</x:f>
        <x:v>NOT_DISCLOSED</x:v>
      </x:c>
      <x:c r="D21" s="369" t="str">
        <x:f>IF(COUNTIFS('51_版本配置事实'!$B$6:$B$127,"PC-N70-BASE-CAND",'51_版本配置事实'!$C$6:$C$127,$A21,'51_版本配置事实'!$J$6:$J$127,"STANDARD_CURRENT")&gt;0,"STANDARD_CURRENT","NOT_EVIDENCED")</x:f>
        <x:v>NOT_EVIDENCED</x:v>
      </x:c>
      <x:c r="E21" s="369" t="str">
        <x:f>IF(COUNTIFS('51_版本配置事实'!$B$6:$B$127,"PC-N70-MAX-CAND",'51_版本配置事实'!$C$6:$C$127,$A21,'51_版本配置事实'!$T$6:$T$127,"&lt;&gt;NONE")&gt;0,"CONFLICTED",IF(COUNTIFS('51_版本配置事实'!$B$6:$B$127,"PC-N70-MAX-CAND",'51_版本配置事实'!$C$6:$C$127,$A21,'51_版本配置事实'!$I$6:$I$127,"STANDARD_AT_RELEASE")&gt;0,"STANDARD_AT_RELEASE",IF(COUNTIFS('51_版本配置事实'!$B$6:$B$127,"PC-N70-MAX-CAND",'51_版本配置事实'!$C$6:$C$127,$A21,'51_版本配置事实'!$I$6:$I$127,"OPTIONAL_AT_RELEASE")&gt;0,"OPTIONAL_AT_RELEASE",IF(COUNTIFS('51_版本配置事实'!$B$6:$B$127,"PC-N70-MAX-CAND",'51_版本配置事实'!$C$6:$C$127,$A21,'51_版本配置事实'!$I$6:$I$127,"SEPARATE_PURCHASE")&gt;0,"SEPARATE_PURCHASE",IF(COUNTIFS('51_版本配置事实'!$B$6:$B$127,"PC-N70-MAX-CAND",'51_版本配置事实'!$C$6:$C$127,$A21,'51_版本配置事实'!$I$6:$I$127,"EQUIPPED_STANDARD_UNCONFIRMED")&gt;0,"EQUIPPED_STANDARD_UNCONFIRMED",IF(COUNTIFS('51_版本配置事实'!$B$6:$B$127,"PC-N70-MAX-CAND",'51_版本配置事实'!$C$6:$C$127,$A21,'51_版本配置事实'!$I$6:$I$127,"SERIES_CAPABILITY")&gt;0,"SERIES_CAPABILITY",IF(COUNTIFS('51_版本配置事实'!$B$6:$B$127,"PC-N70-MAX-CAND",'51_版本配置事实'!$C$6:$C$127,$A21,'51_版本配置事实'!$I$6:$I$127,"NOT_DISCLOSED")&gt;0,"NOT_DISCLOSED","NOT_DISCLOSED")))))))</x:f>
        <x:v>NOT_DISCLOSED</x:v>
      </x:c>
      <x:c r="F21" s="369" t="str">
        <x:f>IF(COUNTIFS('51_版本配置事实'!$B$6:$B$127,"PC-N70-MAX-CAND",'51_版本配置事实'!$C$6:$C$127,$A21,'51_版本配置事实'!$J$6:$J$127,"STANDARD_CURRENT")&gt;0,"STANDARD_CURRENT","NOT_EVIDENCED")</x:f>
        <x:v>NOT_EVIDENCED</x:v>
      </x:c>
      <x:c r="G21" s="369" t="str">
        <x:f>IF(COUNTIFS('51_版本配置事实'!$B$6:$B$127,"PC-N90-MAX-CAND",'51_版本配置事实'!$C$6:$C$127,$A21,'51_版本配置事实'!$T$6:$T$127,"&lt;&gt;NONE")&gt;0,"CONFLICTED",IF(COUNTIFS('51_版本配置事实'!$B$6:$B$127,"PC-N90-MAX-CAND",'51_版本配置事实'!$C$6:$C$127,$A21,'51_版本配置事实'!$I$6:$I$127,"STANDARD_AT_RELEASE")&gt;0,"STANDARD_AT_RELEASE",IF(COUNTIFS('51_版本配置事实'!$B$6:$B$127,"PC-N90-MAX-CAND",'51_版本配置事实'!$C$6:$C$127,$A21,'51_版本配置事实'!$I$6:$I$127,"OPTIONAL_AT_RELEASE")&gt;0,"OPTIONAL_AT_RELEASE",IF(COUNTIFS('51_版本配置事实'!$B$6:$B$127,"PC-N90-MAX-CAND",'51_版本配置事实'!$C$6:$C$127,$A21,'51_版本配置事实'!$I$6:$I$127,"SEPARATE_PURCHASE")&gt;0,"SEPARATE_PURCHASE",IF(COUNTIFS('51_版本配置事实'!$B$6:$B$127,"PC-N90-MAX-CAND",'51_版本配置事实'!$C$6:$C$127,$A21,'51_版本配置事实'!$I$6:$I$127,"EQUIPPED_STANDARD_UNCONFIRMED")&gt;0,"EQUIPPED_STANDARD_UNCONFIRMED",IF(COUNTIFS('51_版本配置事实'!$B$6:$B$127,"PC-N90-MAX-CAND",'51_版本配置事实'!$C$6:$C$127,$A21,'51_版本配置事实'!$I$6:$I$127,"SERIES_CAPABILITY")&gt;0,"SERIES_CAPABILITY",IF(COUNTIFS('51_版本配置事实'!$B$6:$B$127,"PC-N90-MAX-CAND",'51_版本配置事实'!$C$6:$C$127,$A21,'51_版本配置事实'!$I$6:$I$127,"NOT_DISCLOSED")&gt;0,"NOT_DISCLOSED","NOT_DISCLOSED")))))))</x:f>
        <x:v>EQUIPPED_STANDARD_UNCONFIRMED</x:v>
      </x:c>
      <x:c r="H21" s="369" t="str">
        <x:f>IF(COUNTIFS('51_版本配置事实'!$B$6:$B$127,"PC-N90-MAX-CAND",'51_版本配置事实'!$C$6:$C$127,$A21,'51_版本配置事实'!$J$6:$J$127,"STANDARD_CURRENT")&gt;0,"STANDARD_CURRENT","NOT_EVIDENCED")</x:f>
        <x:v>NOT_EVIDENCED</x:v>
      </x:c>
      <x:c r="I21" s="369" t="str">
        <x:f>IF(COUNTIFS('51_版本配置事实'!$B$6:$B$127,"PC-N90-ROOF-CAND",'51_版本配置事实'!$C$6:$C$127,$A21,'51_版本配置事实'!$T$6:$T$127,"&lt;&gt;NONE")&gt;0,"CONFLICTED",IF(COUNTIFS('51_版本配置事实'!$B$6:$B$127,"PC-N90-ROOF-CAND",'51_版本配置事实'!$C$6:$C$127,$A21,'51_版本配置事实'!$I$6:$I$127,"STANDARD_AT_RELEASE")&gt;0,"STANDARD_AT_RELEASE",IF(COUNTIFS('51_版本配置事实'!$B$6:$B$127,"PC-N90-ROOF-CAND",'51_版本配置事实'!$C$6:$C$127,$A21,'51_版本配置事实'!$I$6:$I$127,"OPTIONAL_AT_RELEASE")&gt;0,"OPTIONAL_AT_RELEASE",IF(COUNTIFS('51_版本配置事实'!$B$6:$B$127,"PC-N90-ROOF-CAND",'51_版本配置事实'!$C$6:$C$127,$A21,'51_版本配置事实'!$I$6:$I$127,"SEPARATE_PURCHASE")&gt;0,"SEPARATE_PURCHASE",IF(COUNTIFS('51_版本配置事实'!$B$6:$B$127,"PC-N90-ROOF-CAND",'51_版本配置事实'!$C$6:$C$127,$A21,'51_版本配置事实'!$I$6:$I$127,"EQUIPPED_STANDARD_UNCONFIRMED")&gt;0,"EQUIPPED_STANDARD_UNCONFIRMED",IF(COUNTIFS('51_版本配置事实'!$B$6:$B$127,"PC-N90-ROOF-CAND",'51_版本配置事实'!$C$6:$C$127,$A21,'51_版本配置事实'!$I$6:$I$127,"SERIES_CAPABILITY")&gt;0,"SERIES_CAPABILITY",IF(COUNTIFS('51_版本配置事实'!$B$6:$B$127,"PC-N90-ROOF-CAND",'51_版本配置事实'!$C$6:$C$127,$A21,'51_版本配置事实'!$I$6:$I$127,"NOT_DISCLOSED")&gt;0,"NOT_DISCLOSED","NOT_DISCLOSED")))))))</x:f>
        <x:v>NOT_DISCLOSED</x:v>
      </x:c>
      <x:c r="J21" s="369" t="str">
        <x:f>IF(COUNTIFS('51_版本配置事实'!$B$6:$B$127,"PC-N90-ROOF-CAND",'51_版本配置事实'!$C$6:$C$127,$A21,'51_版本配置事实'!$J$6:$J$127,"STANDARD_CURRENT")&gt;0,"STANDARD_CURRENT","NOT_EVIDENCED")</x:f>
        <x:v>NOT_EVIDENCED</x:v>
      </x:c>
      <x:c r="K21" s="369" t="str">
        <x:f>IF(AND(E21=G21,E21&lt;&gt;"NOT_DISCLOSED",E21&lt;&gt;"CONFLICTED"),IF(COUNTIFS('50_发布会逐项主张'!$H$6:$H$137,$A21,'50_发布会逐项主张'!$O$6:$O$137,"ALL_PENGCHENG")&gt;0,"EXPLICIT_COMMON_ANNOUNCED_MAX","MATCHED_NOT_PROVED_COMMON"),"NOT_PROVED_COMMON")</x:f>
        <x:v>NOT_PROVED_COMMON</x:v>
      </x:c>
      <x:c r="L21" s="369" t="str">
        <x:f>IF(OR(C21="NOT_DISCLOSED",E21="NOT_DISCLOSED",C21="CONFLICTED",E21="CONFLICTED"),"UNRESOLVED",IF(C21=E21,"NO_CHANGE",IF(AND(C21="STANDARD_AT_RELEASE",E21="OPTIONAL_AT_RELEASE"),"STANDARD_TO_OPTIONAL",IF(AND(C21="OPTIONAL_AT_RELEASE",E21="STANDARD_AT_RELEASE"),"OPTIONAL_TO_STANDARD",IF(E21="STANDARD_AT_RELEASE","ADDED_STANDARD","REVIEW_CHANGE")))))</x:f>
        <x:v>UNRESOLVED</x:v>
      </x:c>
      <x:c r="M21" s="369" t="str">
        <x:f>IF(OR(E21="NOT_DISCLOSED",G21="NOT_DISCLOSED",E21="CONFLICTED",G21="CONFLICTED"),"UNRESOLVED",IF(E21=G21,"NO_CHANGE",IF(AND(E21="STANDARD_AT_RELEASE",G21="OPTIONAL_AT_RELEASE"),"STANDARD_TO_OPTIONAL",IF(AND(E21="OPTIONAL_AT_RELEASE",G21="STANDARD_AT_RELEASE"),"OPTIONAL_TO_STANDARD",IF(G21="STANDARD_AT_RELEASE","ADDED_STANDARD","REVIEW_CHANGE")))))</x:f>
        <x:v>UNRESOLVED</x:v>
      </x:c>
      <x:c r="N21" s="369" t="str">
        <x:f>IF(OR(G21="NOT_DISCLOSED",I21="NOT_DISCLOSED",G21="CONFLICTED",I21="CONFLICTED"),"UNRESOLVED",IF(G21=I21,"NO_CHANGE",IF(AND(G21="STANDARD_AT_RELEASE",I21="OPTIONAL_AT_RELEASE"),"STANDARD_TO_OPTIONAL",IF(AND(G21="OPTIONAL_AT_RELEASE",I21="STANDARD_AT_RELEASE"),"OPTIONAL_TO_STANDARD",IF(I21="STANDARD_AT_RELEASE","ADDED_STANDARD","REVIEW_CHANGE")))))</x:f>
        <x:v>UNRESOLVED</x:v>
      </x:c>
      <x:c r="O21" s="369" t="str">
        <x:v>CABIN_COMFORT</x:v>
      </x:c>
      <x:c r="P21" s="369" t="str">
        <x:v>DC_CABIN_cabin_220v</x:v>
      </x:c>
      <x:c r="Q21" s="369" t="n">
        <x:f>COUNTIF('50_发布会逐项主张'!$H$6:$H$137,A21)</x:f>
        <x:v>1</x:v>
      </x:c>
      <x:c r="R21" s="369" t="str">
        <x:f>IF(COUNTIFS('50_发布会逐项主张'!$H$6:$H$137,A21,'50_发布会逐项主张'!$X$6:$X$137,"&lt;&gt;NONE")&gt;0,"CONFLICTED","NONE")</x:f>
        <x:v>NONE</x:v>
      </x:c>
    </x:row>
    <x:row r="22" ht="48" customHeight="1">
      <x:c r="A22" s="19" t="str">
        <x:v>cabin_length</x:v>
      </x:c>
      <x:c r="B22" s="19" t="str">
        <x:v>BODY_SPACE</x:v>
      </x:c>
      <x:c r="C22" s="19" t="str">
        <x:f>IF(COUNTIFS('51_版本配置事实'!$B$6:$B$127,"PC-N70-BASE-CAND",'51_版本配置事实'!$C$6:$C$127,$A22,'51_版本配置事实'!$T$6:$T$127,"&lt;&gt;NONE")&gt;0,"CONFLICTED",IF(COUNTIFS('51_版本配置事实'!$B$6:$B$127,"PC-N70-BASE-CAND",'51_版本配置事实'!$C$6:$C$127,$A22,'51_版本配置事实'!$I$6:$I$127,"STANDARD_AT_RELEASE")&gt;0,"STANDARD_AT_RELEASE",IF(COUNTIFS('51_版本配置事实'!$B$6:$B$127,"PC-N70-BASE-CAND",'51_版本配置事实'!$C$6:$C$127,$A22,'51_版本配置事实'!$I$6:$I$127,"OPTIONAL_AT_RELEASE")&gt;0,"OPTIONAL_AT_RELEASE",IF(COUNTIFS('51_版本配置事实'!$B$6:$B$127,"PC-N70-BASE-CAND",'51_版本配置事实'!$C$6:$C$127,$A22,'51_版本配置事实'!$I$6:$I$127,"SEPARATE_PURCHASE")&gt;0,"SEPARATE_PURCHASE",IF(COUNTIFS('51_版本配置事实'!$B$6:$B$127,"PC-N70-BASE-CAND",'51_版本配置事实'!$C$6:$C$127,$A22,'51_版本配置事实'!$I$6:$I$127,"EQUIPPED_STANDARD_UNCONFIRMED")&gt;0,"EQUIPPED_STANDARD_UNCONFIRMED",IF(COUNTIFS('51_版本配置事实'!$B$6:$B$127,"PC-N70-BASE-CAND",'51_版本配置事实'!$C$6:$C$127,$A22,'51_版本配置事实'!$I$6:$I$127,"SERIES_CAPABILITY")&gt;0,"SERIES_CAPABILITY",IF(COUNTIFS('51_版本配置事实'!$B$6:$B$127,"PC-N70-BASE-CAND",'51_版本配置事实'!$C$6:$C$127,$A22,'51_版本配置事实'!$I$6:$I$127,"NOT_DISCLOSED")&gt;0,"NOT_DISCLOSED","NOT_DISCLOSED")))))))</x:f>
        <x:v>NOT_DISCLOSED</x:v>
      </x:c>
      <x:c r="D22" s="19" t="str">
        <x:f>IF(COUNTIFS('51_版本配置事实'!$B$6:$B$127,"PC-N70-BASE-CAND",'51_版本配置事实'!$C$6:$C$127,$A22,'51_版本配置事实'!$J$6:$J$127,"STANDARD_CURRENT")&gt;0,"STANDARD_CURRENT","NOT_EVIDENCED")</x:f>
        <x:v>NOT_EVIDENCED</x:v>
      </x:c>
      <x:c r="E22" s="19" t="str">
        <x:f>IF(COUNTIFS('51_版本配置事实'!$B$6:$B$127,"PC-N70-MAX-CAND",'51_版本配置事实'!$C$6:$C$127,$A22,'51_版本配置事实'!$T$6:$T$127,"&lt;&gt;NONE")&gt;0,"CONFLICTED",IF(COUNTIFS('51_版本配置事实'!$B$6:$B$127,"PC-N70-MAX-CAND",'51_版本配置事实'!$C$6:$C$127,$A22,'51_版本配置事实'!$I$6:$I$127,"STANDARD_AT_RELEASE")&gt;0,"STANDARD_AT_RELEASE",IF(COUNTIFS('51_版本配置事实'!$B$6:$B$127,"PC-N70-MAX-CAND",'51_版本配置事实'!$C$6:$C$127,$A22,'51_版本配置事实'!$I$6:$I$127,"OPTIONAL_AT_RELEASE")&gt;0,"OPTIONAL_AT_RELEASE",IF(COUNTIFS('51_版本配置事实'!$B$6:$B$127,"PC-N70-MAX-CAND",'51_版本配置事实'!$C$6:$C$127,$A22,'51_版本配置事实'!$I$6:$I$127,"SEPARATE_PURCHASE")&gt;0,"SEPARATE_PURCHASE",IF(COUNTIFS('51_版本配置事实'!$B$6:$B$127,"PC-N70-MAX-CAND",'51_版本配置事实'!$C$6:$C$127,$A22,'51_版本配置事实'!$I$6:$I$127,"EQUIPPED_STANDARD_UNCONFIRMED")&gt;0,"EQUIPPED_STANDARD_UNCONFIRMED",IF(COUNTIFS('51_版本配置事实'!$B$6:$B$127,"PC-N70-MAX-CAND",'51_版本配置事实'!$C$6:$C$127,$A22,'51_版本配置事实'!$I$6:$I$127,"SERIES_CAPABILITY")&gt;0,"SERIES_CAPABILITY",IF(COUNTIFS('51_版本配置事实'!$B$6:$B$127,"PC-N70-MAX-CAND",'51_版本配置事实'!$C$6:$C$127,$A22,'51_版本配置事实'!$I$6:$I$127,"NOT_DISCLOSED")&gt;0,"NOT_DISCLOSED","NOT_DISCLOSED")))))))</x:f>
        <x:v>NOT_DISCLOSED</x:v>
      </x:c>
      <x:c r="F22" s="19" t="str">
        <x:f>IF(COUNTIFS('51_版本配置事实'!$B$6:$B$127,"PC-N70-MAX-CAND",'51_版本配置事实'!$C$6:$C$127,$A22,'51_版本配置事实'!$J$6:$J$127,"STANDARD_CURRENT")&gt;0,"STANDARD_CURRENT","NOT_EVIDENCED")</x:f>
        <x:v>NOT_EVIDENCED</x:v>
      </x:c>
      <x:c r="G22" s="19" t="str">
        <x:f>IF(COUNTIFS('51_版本配置事实'!$B$6:$B$127,"PC-N90-MAX-CAND",'51_版本配置事实'!$C$6:$C$127,$A22,'51_版本配置事实'!$T$6:$T$127,"&lt;&gt;NONE")&gt;0,"CONFLICTED",IF(COUNTIFS('51_版本配置事实'!$B$6:$B$127,"PC-N90-MAX-CAND",'51_版本配置事实'!$C$6:$C$127,$A22,'51_版本配置事实'!$I$6:$I$127,"STANDARD_AT_RELEASE")&gt;0,"STANDARD_AT_RELEASE",IF(COUNTIFS('51_版本配置事实'!$B$6:$B$127,"PC-N90-MAX-CAND",'51_版本配置事实'!$C$6:$C$127,$A22,'51_版本配置事实'!$I$6:$I$127,"OPTIONAL_AT_RELEASE")&gt;0,"OPTIONAL_AT_RELEASE",IF(COUNTIFS('51_版本配置事实'!$B$6:$B$127,"PC-N90-MAX-CAND",'51_版本配置事实'!$C$6:$C$127,$A22,'51_版本配置事实'!$I$6:$I$127,"SEPARATE_PURCHASE")&gt;0,"SEPARATE_PURCHASE",IF(COUNTIFS('51_版本配置事实'!$B$6:$B$127,"PC-N90-MAX-CAND",'51_版本配置事实'!$C$6:$C$127,$A22,'51_版本配置事实'!$I$6:$I$127,"EQUIPPED_STANDARD_UNCONFIRMED")&gt;0,"EQUIPPED_STANDARD_UNCONFIRMED",IF(COUNTIFS('51_版本配置事实'!$B$6:$B$127,"PC-N90-MAX-CAND",'51_版本配置事实'!$C$6:$C$127,$A22,'51_版本配置事实'!$I$6:$I$127,"SERIES_CAPABILITY")&gt;0,"SERIES_CAPABILITY",IF(COUNTIFS('51_版本配置事实'!$B$6:$B$127,"PC-N90-MAX-CAND",'51_版本配置事实'!$C$6:$C$127,$A22,'51_版本配置事实'!$I$6:$I$127,"NOT_DISCLOSED")&gt;0,"NOT_DISCLOSED","NOT_DISCLOSED")))))))</x:f>
        <x:v>EQUIPPED_STANDARD_UNCONFIRMED</x:v>
      </x:c>
      <x:c r="H22" s="19" t="str">
        <x:f>IF(COUNTIFS('51_版本配置事实'!$B$6:$B$127,"PC-N90-MAX-CAND",'51_版本配置事实'!$C$6:$C$127,$A22,'51_版本配置事实'!$J$6:$J$127,"STANDARD_CURRENT")&gt;0,"STANDARD_CURRENT","NOT_EVIDENCED")</x:f>
        <x:v>NOT_EVIDENCED</x:v>
      </x:c>
      <x:c r="I22" s="19" t="str">
        <x:f>IF(COUNTIFS('51_版本配置事实'!$B$6:$B$127,"PC-N90-ROOF-CAND",'51_版本配置事实'!$C$6:$C$127,$A22,'51_版本配置事实'!$T$6:$T$127,"&lt;&gt;NONE")&gt;0,"CONFLICTED",IF(COUNTIFS('51_版本配置事实'!$B$6:$B$127,"PC-N90-ROOF-CAND",'51_版本配置事实'!$C$6:$C$127,$A22,'51_版本配置事实'!$I$6:$I$127,"STANDARD_AT_RELEASE")&gt;0,"STANDARD_AT_RELEASE",IF(COUNTIFS('51_版本配置事实'!$B$6:$B$127,"PC-N90-ROOF-CAND",'51_版本配置事实'!$C$6:$C$127,$A22,'51_版本配置事实'!$I$6:$I$127,"OPTIONAL_AT_RELEASE")&gt;0,"OPTIONAL_AT_RELEASE",IF(COUNTIFS('51_版本配置事实'!$B$6:$B$127,"PC-N90-ROOF-CAND",'51_版本配置事实'!$C$6:$C$127,$A22,'51_版本配置事实'!$I$6:$I$127,"SEPARATE_PURCHASE")&gt;0,"SEPARATE_PURCHASE",IF(COUNTIFS('51_版本配置事实'!$B$6:$B$127,"PC-N90-ROOF-CAND",'51_版本配置事实'!$C$6:$C$127,$A22,'51_版本配置事实'!$I$6:$I$127,"EQUIPPED_STANDARD_UNCONFIRMED")&gt;0,"EQUIPPED_STANDARD_UNCONFIRMED",IF(COUNTIFS('51_版本配置事实'!$B$6:$B$127,"PC-N90-ROOF-CAND",'51_版本配置事实'!$C$6:$C$127,$A22,'51_版本配置事实'!$I$6:$I$127,"SERIES_CAPABILITY")&gt;0,"SERIES_CAPABILITY",IF(COUNTIFS('51_版本配置事实'!$B$6:$B$127,"PC-N90-ROOF-CAND",'51_版本配置事实'!$C$6:$C$127,$A22,'51_版本配置事实'!$I$6:$I$127,"NOT_DISCLOSED")&gt;0,"NOT_DISCLOSED","NOT_DISCLOSED")))))))</x:f>
        <x:v>NOT_DISCLOSED</x:v>
      </x:c>
      <x:c r="J22" s="19" t="str">
        <x:f>IF(COUNTIFS('51_版本配置事实'!$B$6:$B$127,"PC-N90-ROOF-CAND",'51_版本配置事实'!$C$6:$C$127,$A22,'51_版本配置事实'!$J$6:$J$127,"STANDARD_CURRENT")&gt;0,"STANDARD_CURRENT","NOT_EVIDENCED")</x:f>
        <x:v>NOT_EVIDENCED</x:v>
      </x:c>
      <x:c r="K22" s="19" t="str">
        <x:f>IF(AND(E22=G22,E22&lt;&gt;"NOT_DISCLOSED",E22&lt;&gt;"CONFLICTED"),IF(COUNTIFS('50_发布会逐项主张'!$H$6:$H$137,$A22,'50_发布会逐项主张'!$O$6:$O$137,"ALL_PENGCHENG")&gt;0,"EXPLICIT_COMMON_ANNOUNCED_MAX","MATCHED_NOT_PROVED_COMMON"),"NOT_PROVED_COMMON")</x:f>
        <x:v>NOT_PROVED_COMMON</x:v>
      </x:c>
      <x:c r="L22" s="19" t="str">
        <x:f>IF(OR(C22="NOT_DISCLOSED",E22="NOT_DISCLOSED",C22="CONFLICTED",E22="CONFLICTED"),"UNRESOLVED",IF(C22=E22,"NO_CHANGE",IF(AND(C22="STANDARD_AT_RELEASE",E22="OPTIONAL_AT_RELEASE"),"STANDARD_TO_OPTIONAL",IF(AND(C22="OPTIONAL_AT_RELEASE",E22="STANDARD_AT_RELEASE"),"OPTIONAL_TO_STANDARD",IF(E22="STANDARD_AT_RELEASE","ADDED_STANDARD","REVIEW_CHANGE")))))</x:f>
        <x:v>UNRESOLVED</x:v>
      </x:c>
      <x:c r="M22" s="19" t="str">
        <x:f>IF(OR(E22="NOT_DISCLOSED",G22="NOT_DISCLOSED",E22="CONFLICTED",G22="CONFLICTED"),"UNRESOLVED",IF(E22=G22,"NO_CHANGE",IF(AND(E22="STANDARD_AT_RELEASE",G22="OPTIONAL_AT_RELEASE"),"STANDARD_TO_OPTIONAL",IF(AND(E22="OPTIONAL_AT_RELEASE",G22="STANDARD_AT_RELEASE"),"OPTIONAL_TO_STANDARD",IF(G22="STANDARD_AT_RELEASE","ADDED_STANDARD","REVIEW_CHANGE")))))</x:f>
        <x:v>UNRESOLVED</x:v>
      </x:c>
      <x:c r="N22" s="19" t="str">
        <x:f>IF(OR(G22="NOT_DISCLOSED",I22="NOT_DISCLOSED",G22="CONFLICTED",I22="CONFLICTED"),"UNRESOLVED",IF(G22=I22,"NO_CHANGE",IF(AND(G22="STANDARD_AT_RELEASE",I22="OPTIONAL_AT_RELEASE"),"STANDARD_TO_OPTIONAL",IF(AND(G22="OPTIONAL_AT_RELEASE",I22="STANDARD_AT_RELEASE"),"OPTIONAL_TO_STANDARD",IF(I22="STANDARD_AT_RELEASE","ADDED_STANDARD","REVIEW_CHANGE")))))</x:f>
        <x:v>UNRESOLVED</x:v>
      </x:c>
      <x:c r="O22" s="19" t="str">
        <x:v>BODY_SPACE_SAFETY</x:v>
      </x:c>
      <x:c r="P22" s="19" t="str">
        <x:v>DC_BODY_SPACE_cabin_length</x:v>
      </x:c>
      <x:c r="Q22" s="19" t="n">
        <x:f>COUNTIF('50_发布会逐项主张'!$H$6:$H$137,A22)</x:f>
        <x:v>1</x:v>
      </x:c>
      <x:c r="R22" s="19" t="str">
        <x:f>IF(COUNTIFS('50_发布会逐项主张'!$H$6:$H$137,A22,'50_发布会逐项主张'!$X$6:$X$137,"&lt;&gt;NONE")&gt;0,"CONFLICTED","NONE")</x:f>
        <x:v>NONE</x:v>
      </x:c>
    </x:row>
    <x:row r="23" ht="48" customHeight="1">
      <x:c r="A23" s="369" t="str">
        <x:v>center_aisle_width</x:v>
      </x:c>
      <x:c r="B23" s="369" t="str">
        <x:v>BODY_SPACE</x:v>
      </x:c>
      <x:c r="C23" s="369" t="str">
        <x:f>IF(COUNTIFS('51_版本配置事实'!$B$6:$B$127,"PC-N70-BASE-CAND",'51_版本配置事实'!$C$6:$C$127,$A23,'51_版本配置事实'!$T$6:$T$127,"&lt;&gt;NONE")&gt;0,"CONFLICTED",IF(COUNTIFS('51_版本配置事实'!$B$6:$B$127,"PC-N70-BASE-CAND",'51_版本配置事实'!$C$6:$C$127,$A23,'51_版本配置事实'!$I$6:$I$127,"STANDARD_AT_RELEASE")&gt;0,"STANDARD_AT_RELEASE",IF(COUNTIFS('51_版本配置事实'!$B$6:$B$127,"PC-N70-BASE-CAND",'51_版本配置事实'!$C$6:$C$127,$A23,'51_版本配置事实'!$I$6:$I$127,"OPTIONAL_AT_RELEASE")&gt;0,"OPTIONAL_AT_RELEASE",IF(COUNTIFS('51_版本配置事实'!$B$6:$B$127,"PC-N70-BASE-CAND",'51_版本配置事实'!$C$6:$C$127,$A23,'51_版本配置事实'!$I$6:$I$127,"SEPARATE_PURCHASE")&gt;0,"SEPARATE_PURCHASE",IF(COUNTIFS('51_版本配置事实'!$B$6:$B$127,"PC-N70-BASE-CAND",'51_版本配置事实'!$C$6:$C$127,$A23,'51_版本配置事实'!$I$6:$I$127,"EQUIPPED_STANDARD_UNCONFIRMED")&gt;0,"EQUIPPED_STANDARD_UNCONFIRMED",IF(COUNTIFS('51_版本配置事实'!$B$6:$B$127,"PC-N70-BASE-CAND",'51_版本配置事实'!$C$6:$C$127,$A23,'51_版本配置事实'!$I$6:$I$127,"SERIES_CAPABILITY")&gt;0,"SERIES_CAPABILITY",IF(COUNTIFS('51_版本配置事实'!$B$6:$B$127,"PC-N70-BASE-CAND",'51_版本配置事实'!$C$6:$C$127,$A23,'51_版本配置事实'!$I$6:$I$127,"NOT_DISCLOSED")&gt;0,"NOT_DISCLOSED","NOT_DISCLOSED")))))))</x:f>
        <x:v>NOT_DISCLOSED</x:v>
      </x:c>
      <x:c r="D23" s="369" t="str">
        <x:f>IF(COUNTIFS('51_版本配置事实'!$B$6:$B$127,"PC-N70-BASE-CAND",'51_版本配置事实'!$C$6:$C$127,$A23,'51_版本配置事实'!$J$6:$J$127,"STANDARD_CURRENT")&gt;0,"STANDARD_CURRENT","NOT_EVIDENCED")</x:f>
        <x:v>NOT_EVIDENCED</x:v>
      </x:c>
      <x:c r="E23" s="369" t="str">
        <x:f>IF(COUNTIFS('51_版本配置事实'!$B$6:$B$127,"PC-N70-MAX-CAND",'51_版本配置事实'!$C$6:$C$127,$A23,'51_版本配置事实'!$T$6:$T$127,"&lt;&gt;NONE")&gt;0,"CONFLICTED",IF(COUNTIFS('51_版本配置事实'!$B$6:$B$127,"PC-N70-MAX-CAND",'51_版本配置事实'!$C$6:$C$127,$A23,'51_版本配置事实'!$I$6:$I$127,"STANDARD_AT_RELEASE")&gt;0,"STANDARD_AT_RELEASE",IF(COUNTIFS('51_版本配置事实'!$B$6:$B$127,"PC-N70-MAX-CAND",'51_版本配置事实'!$C$6:$C$127,$A23,'51_版本配置事实'!$I$6:$I$127,"OPTIONAL_AT_RELEASE")&gt;0,"OPTIONAL_AT_RELEASE",IF(COUNTIFS('51_版本配置事实'!$B$6:$B$127,"PC-N70-MAX-CAND",'51_版本配置事实'!$C$6:$C$127,$A23,'51_版本配置事实'!$I$6:$I$127,"SEPARATE_PURCHASE")&gt;0,"SEPARATE_PURCHASE",IF(COUNTIFS('51_版本配置事实'!$B$6:$B$127,"PC-N70-MAX-CAND",'51_版本配置事实'!$C$6:$C$127,$A23,'51_版本配置事实'!$I$6:$I$127,"EQUIPPED_STANDARD_UNCONFIRMED")&gt;0,"EQUIPPED_STANDARD_UNCONFIRMED",IF(COUNTIFS('51_版本配置事实'!$B$6:$B$127,"PC-N70-MAX-CAND",'51_版本配置事实'!$C$6:$C$127,$A23,'51_版本配置事实'!$I$6:$I$127,"SERIES_CAPABILITY")&gt;0,"SERIES_CAPABILITY",IF(COUNTIFS('51_版本配置事实'!$B$6:$B$127,"PC-N70-MAX-CAND",'51_版本配置事实'!$C$6:$C$127,$A23,'51_版本配置事实'!$I$6:$I$127,"NOT_DISCLOSED")&gt;0,"NOT_DISCLOSED","NOT_DISCLOSED")))))))</x:f>
        <x:v>NOT_DISCLOSED</x:v>
      </x:c>
      <x:c r="F23" s="369" t="str">
        <x:f>IF(COUNTIFS('51_版本配置事实'!$B$6:$B$127,"PC-N70-MAX-CAND",'51_版本配置事实'!$C$6:$C$127,$A23,'51_版本配置事实'!$J$6:$J$127,"STANDARD_CURRENT")&gt;0,"STANDARD_CURRENT","NOT_EVIDENCED")</x:f>
        <x:v>NOT_EVIDENCED</x:v>
      </x:c>
      <x:c r="G23" s="369" t="str">
        <x:f>IF(COUNTIFS('51_版本配置事实'!$B$6:$B$127,"PC-N90-MAX-CAND",'51_版本配置事实'!$C$6:$C$127,$A23,'51_版本配置事实'!$T$6:$T$127,"&lt;&gt;NONE")&gt;0,"CONFLICTED",IF(COUNTIFS('51_版本配置事实'!$B$6:$B$127,"PC-N90-MAX-CAND",'51_版本配置事实'!$C$6:$C$127,$A23,'51_版本配置事实'!$I$6:$I$127,"STANDARD_AT_RELEASE")&gt;0,"STANDARD_AT_RELEASE",IF(COUNTIFS('51_版本配置事实'!$B$6:$B$127,"PC-N90-MAX-CAND",'51_版本配置事实'!$C$6:$C$127,$A23,'51_版本配置事实'!$I$6:$I$127,"OPTIONAL_AT_RELEASE")&gt;0,"OPTIONAL_AT_RELEASE",IF(COUNTIFS('51_版本配置事实'!$B$6:$B$127,"PC-N90-MAX-CAND",'51_版本配置事实'!$C$6:$C$127,$A23,'51_版本配置事实'!$I$6:$I$127,"SEPARATE_PURCHASE")&gt;0,"SEPARATE_PURCHASE",IF(COUNTIFS('51_版本配置事实'!$B$6:$B$127,"PC-N90-MAX-CAND",'51_版本配置事实'!$C$6:$C$127,$A23,'51_版本配置事实'!$I$6:$I$127,"EQUIPPED_STANDARD_UNCONFIRMED")&gt;0,"EQUIPPED_STANDARD_UNCONFIRMED",IF(COUNTIFS('51_版本配置事实'!$B$6:$B$127,"PC-N90-MAX-CAND",'51_版本配置事实'!$C$6:$C$127,$A23,'51_版本配置事实'!$I$6:$I$127,"SERIES_CAPABILITY")&gt;0,"SERIES_CAPABILITY",IF(COUNTIFS('51_版本配置事实'!$B$6:$B$127,"PC-N90-MAX-CAND",'51_版本配置事实'!$C$6:$C$127,$A23,'51_版本配置事实'!$I$6:$I$127,"NOT_DISCLOSED")&gt;0,"NOT_DISCLOSED","NOT_DISCLOSED")))))))</x:f>
        <x:v>EQUIPPED_STANDARD_UNCONFIRMED</x:v>
      </x:c>
      <x:c r="H23" s="369" t="str">
        <x:f>IF(COUNTIFS('51_版本配置事实'!$B$6:$B$127,"PC-N90-MAX-CAND",'51_版本配置事实'!$C$6:$C$127,$A23,'51_版本配置事实'!$J$6:$J$127,"STANDARD_CURRENT")&gt;0,"STANDARD_CURRENT","NOT_EVIDENCED")</x:f>
        <x:v>NOT_EVIDENCED</x:v>
      </x:c>
      <x:c r="I23" s="369" t="str">
        <x:f>IF(COUNTIFS('51_版本配置事实'!$B$6:$B$127,"PC-N90-ROOF-CAND",'51_版本配置事实'!$C$6:$C$127,$A23,'51_版本配置事实'!$T$6:$T$127,"&lt;&gt;NONE")&gt;0,"CONFLICTED",IF(COUNTIFS('51_版本配置事实'!$B$6:$B$127,"PC-N90-ROOF-CAND",'51_版本配置事实'!$C$6:$C$127,$A23,'51_版本配置事实'!$I$6:$I$127,"STANDARD_AT_RELEASE")&gt;0,"STANDARD_AT_RELEASE",IF(COUNTIFS('51_版本配置事实'!$B$6:$B$127,"PC-N90-ROOF-CAND",'51_版本配置事实'!$C$6:$C$127,$A23,'51_版本配置事实'!$I$6:$I$127,"OPTIONAL_AT_RELEASE")&gt;0,"OPTIONAL_AT_RELEASE",IF(COUNTIFS('51_版本配置事实'!$B$6:$B$127,"PC-N90-ROOF-CAND",'51_版本配置事实'!$C$6:$C$127,$A23,'51_版本配置事实'!$I$6:$I$127,"SEPARATE_PURCHASE")&gt;0,"SEPARATE_PURCHASE",IF(COUNTIFS('51_版本配置事实'!$B$6:$B$127,"PC-N90-ROOF-CAND",'51_版本配置事实'!$C$6:$C$127,$A23,'51_版本配置事实'!$I$6:$I$127,"EQUIPPED_STANDARD_UNCONFIRMED")&gt;0,"EQUIPPED_STANDARD_UNCONFIRMED",IF(COUNTIFS('51_版本配置事实'!$B$6:$B$127,"PC-N90-ROOF-CAND",'51_版本配置事实'!$C$6:$C$127,$A23,'51_版本配置事实'!$I$6:$I$127,"SERIES_CAPABILITY")&gt;0,"SERIES_CAPABILITY",IF(COUNTIFS('51_版本配置事实'!$B$6:$B$127,"PC-N90-ROOF-CAND",'51_版本配置事实'!$C$6:$C$127,$A23,'51_版本配置事实'!$I$6:$I$127,"NOT_DISCLOSED")&gt;0,"NOT_DISCLOSED","NOT_DISCLOSED")))))))</x:f>
        <x:v>NOT_DISCLOSED</x:v>
      </x:c>
      <x:c r="J23" s="369" t="str">
        <x:f>IF(COUNTIFS('51_版本配置事实'!$B$6:$B$127,"PC-N90-ROOF-CAND",'51_版本配置事实'!$C$6:$C$127,$A23,'51_版本配置事实'!$J$6:$J$127,"STANDARD_CURRENT")&gt;0,"STANDARD_CURRENT","NOT_EVIDENCED")</x:f>
        <x:v>NOT_EVIDENCED</x:v>
      </x:c>
      <x:c r="K23" s="369" t="str">
        <x:f>IF(AND(E23=G23,E23&lt;&gt;"NOT_DISCLOSED",E23&lt;&gt;"CONFLICTED"),IF(COUNTIFS('50_发布会逐项主张'!$H$6:$H$137,$A23,'50_发布会逐项主张'!$O$6:$O$137,"ALL_PENGCHENG")&gt;0,"EXPLICIT_COMMON_ANNOUNCED_MAX","MATCHED_NOT_PROVED_COMMON"),"NOT_PROVED_COMMON")</x:f>
        <x:v>NOT_PROVED_COMMON</x:v>
      </x:c>
      <x:c r="L23" s="369" t="str">
        <x:f>IF(OR(C23="NOT_DISCLOSED",E23="NOT_DISCLOSED",C23="CONFLICTED",E23="CONFLICTED"),"UNRESOLVED",IF(C23=E23,"NO_CHANGE",IF(AND(C23="STANDARD_AT_RELEASE",E23="OPTIONAL_AT_RELEASE"),"STANDARD_TO_OPTIONAL",IF(AND(C23="OPTIONAL_AT_RELEASE",E23="STANDARD_AT_RELEASE"),"OPTIONAL_TO_STANDARD",IF(E23="STANDARD_AT_RELEASE","ADDED_STANDARD","REVIEW_CHANGE")))))</x:f>
        <x:v>UNRESOLVED</x:v>
      </x:c>
      <x:c r="M23" s="369" t="str">
        <x:f>IF(OR(E23="NOT_DISCLOSED",G23="NOT_DISCLOSED",E23="CONFLICTED",G23="CONFLICTED"),"UNRESOLVED",IF(E23=G23,"NO_CHANGE",IF(AND(E23="STANDARD_AT_RELEASE",G23="OPTIONAL_AT_RELEASE"),"STANDARD_TO_OPTIONAL",IF(AND(E23="OPTIONAL_AT_RELEASE",G23="STANDARD_AT_RELEASE"),"OPTIONAL_TO_STANDARD",IF(G23="STANDARD_AT_RELEASE","ADDED_STANDARD","REVIEW_CHANGE")))))</x:f>
        <x:v>UNRESOLVED</x:v>
      </x:c>
      <x:c r="N23" s="369" t="str">
        <x:f>IF(OR(G23="NOT_DISCLOSED",I23="NOT_DISCLOSED",G23="CONFLICTED",I23="CONFLICTED"),"UNRESOLVED",IF(G23=I23,"NO_CHANGE",IF(AND(G23="STANDARD_AT_RELEASE",I23="OPTIONAL_AT_RELEASE"),"STANDARD_TO_OPTIONAL",IF(AND(G23="OPTIONAL_AT_RELEASE",I23="STANDARD_AT_RELEASE"),"OPTIONAL_TO_STANDARD",IF(I23="STANDARD_AT_RELEASE","ADDED_STANDARD","REVIEW_CHANGE")))))</x:f>
        <x:v>UNRESOLVED</x:v>
      </x:c>
      <x:c r="O23" s="369" t="str">
        <x:v>BODY_SPACE_SAFETY</x:v>
      </x:c>
      <x:c r="P23" s="369" t="str">
        <x:v>DC_BODY_SPACE_center_aisle_width</x:v>
      </x:c>
      <x:c r="Q23" s="369" t="n">
        <x:f>COUNTIF('50_发布会逐项主张'!$H$6:$H$137,A23)</x:f>
        <x:v>1</x:v>
      </x:c>
      <x:c r="R23" s="369" t="str">
        <x:f>IF(COUNTIFS('50_发布会逐项主张'!$H$6:$H$137,A23,'50_发布会逐项主张'!$X$6:$X$137,"&lt;&gt;NONE")&gt;0,"CONFLICTED","NONE")</x:f>
        <x:v>NONE</x:v>
      </x:c>
    </x:row>
    <x:row r="24" ht="48" customHeight="1">
      <x:c r="A24" s="19" t="str">
        <x:v>charge_sustaining_fuel</x:v>
      </x:c>
      <x:c r="B24" s="19" t="str">
        <x:v>ENERGY</x:v>
      </x:c>
      <x:c r="C24" s="19" t="str">
        <x:f>IF(COUNTIFS('51_版本配置事实'!$B$6:$B$127,"PC-N70-BASE-CAND",'51_版本配置事实'!$C$6:$C$127,$A24,'51_版本配置事实'!$T$6:$T$127,"&lt;&gt;NONE")&gt;0,"CONFLICTED",IF(COUNTIFS('51_版本配置事实'!$B$6:$B$127,"PC-N70-BASE-CAND",'51_版本配置事实'!$C$6:$C$127,$A24,'51_版本配置事实'!$I$6:$I$127,"STANDARD_AT_RELEASE")&gt;0,"STANDARD_AT_RELEASE",IF(COUNTIFS('51_版本配置事实'!$B$6:$B$127,"PC-N70-BASE-CAND",'51_版本配置事实'!$C$6:$C$127,$A24,'51_版本配置事实'!$I$6:$I$127,"OPTIONAL_AT_RELEASE")&gt;0,"OPTIONAL_AT_RELEASE",IF(COUNTIFS('51_版本配置事实'!$B$6:$B$127,"PC-N70-BASE-CAND",'51_版本配置事实'!$C$6:$C$127,$A24,'51_版本配置事实'!$I$6:$I$127,"SEPARATE_PURCHASE")&gt;0,"SEPARATE_PURCHASE",IF(COUNTIFS('51_版本配置事实'!$B$6:$B$127,"PC-N70-BASE-CAND",'51_版本配置事实'!$C$6:$C$127,$A24,'51_版本配置事实'!$I$6:$I$127,"EQUIPPED_STANDARD_UNCONFIRMED")&gt;0,"EQUIPPED_STANDARD_UNCONFIRMED",IF(COUNTIFS('51_版本配置事实'!$B$6:$B$127,"PC-N70-BASE-CAND",'51_版本配置事实'!$C$6:$C$127,$A24,'51_版本配置事实'!$I$6:$I$127,"SERIES_CAPABILITY")&gt;0,"SERIES_CAPABILITY",IF(COUNTIFS('51_版本配置事实'!$B$6:$B$127,"PC-N70-BASE-CAND",'51_版本配置事实'!$C$6:$C$127,$A24,'51_版本配置事实'!$I$6:$I$127,"NOT_DISCLOSED")&gt;0,"NOT_DISCLOSED","NOT_DISCLOSED")))))))</x:f>
        <x:v>NOT_DISCLOSED</x:v>
      </x:c>
      <x:c r="D24" s="19" t="str">
        <x:f>IF(COUNTIFS('51_版本配置事实'!$B$6:$B$127,"PC-N70-BASE-CAND",'51_版本配置事实'!$C$6:$C$127,$A24,'51_版本配置事实'!$J$6:$J$127,"STANDARD_CURRENT")&gt;0,"STANDARD_CURRENT","NOT_EVIDENCED")</x:f>
        <x:v>NOT_EVIDENCED</x:v>
      </x:c>
      <x:c r="E24" s="19" t="str">
        <x:f>IF(COUNTIFS('51_版本配置事实'!$B$6:$B$127,"PC-N70-MAX-CAND",'51_版本配置事实'!$C$6:$C$127,$A24,'51_版本配置事实'!$T$6:$T$127,"&lt;&gt;NONE")&gt;0,"CONFLICTED",IF(COUNTIFS('51_版本配置事实'!$B$6:$B$127,"PC-N70-MAX-CAND",'51_版本配置事实'!$C$6:$C$127,$A24,'51_版本配置事实'!$I$6:$I$127,"STANDARD_AT_RELEASE")&gt;0,"STANDARD_AT_RELEASE",IF(COUNTIFS('51_版本配置事实'!$B$6:$B$127,"PC-N70-MAX-CAND",'51_版本配置事实'!$C$6:$C$127,$A24,'51_版本配置事实'!$I$6:$I$127,"OPTIONAL_AT_RELEASE")&gt;0,"OPTIONAL_AT_RELEASE",IF(COUNTIFS('51_版本配置事实'!$B$6:$B$127,"PC-N70-MAX-CAND",'51_版本配置事实'!$C$6:$C$127,$A24,'51_版本配置事实'!$I$6:$I$127,"SEPARATE_PURCHASE")&gt;0,"SEPARATE_PURCHASE",IF(COUNTIFS('51_版本配置事实'!$B$6:$B$127,"PC-N70-MAX-CAND",'51_版本配置事实'!$C$6:$C$127,$A24,'51_版本配置事实'!$I$6:$I$127,"EQUIPPED_STANDARD_UNCONFIRMED")&gt;0,"EQUIPPED_STANDARD_UNCONFIRMED",IF(COUNTIFS('51_版本配置事实'!$B$6:$B$127,"PC-N70-MAX-CAND",'51_版本配置事实'!$C$6:$C$127,$A24,'51_版本配置事实'!$I$6:$I$127,"SERIES_CAPABILITY")&gt;0,"SERIES_CAPABILITY",IF(COUNTIFS('51_版本配置事实'!$B$6:$B$127,"PC-N70-MAX-CAND",'51_版本配置事实'!$C$6:$C$127,$A24,'51_版本配置事实'!$I$6:$I$127,"NOT_DISCLOSED")&gt;0,"NOT_DISCLOSED","NOT_DISCLOSED")))))))</x:f>
        <x:v>EQUIPPED_STANDARD_UNCONFIRMED</x:v>
      </x:c>
      <x:c r="F24" s="19" t="str">
        <x:f>IF(COUNTIFS('51_版本配置事实'!$B$6:$B$127,"PC-N70-MAX-CAND",'51_版本配置事实'!$C$6:$C$127,$A24,'51_版本配置事实'!$J$6:$J$127,"STANDARD_CURRENT")&gt;0,"STANDARD_CURRENT","NOT_EVIDENCED")</x:f>
        <x:v>NOT_EVIDENCED</x:v>
      </x:c>
      <x:c r="G24" s="19" t="str">
        <x:f>IF(COUNTIFS('51_版本配置事实'!$B$6:$B$127,"PC-N90-MAX-CAND",'51_版本配置事实'!$C$6:$C$127,$A24,'51_版本配置事实'!$T$6:$T$127,"&lt;&gt;NONE")&gt;0,"CONFLICTED",IF(COUNTIFS('51_版本配置事实'!$B$6:$B$127,"PC-N90-MAX-CAND",'51_版本配置事实'!$C$6:$C$127,$A24,'51_版本配置事实'!$I$6:$I$127,"STANDARD_AT_RELEASE")&gt;0,"STANDARD_AT_RELEASE",IF(COUNTIFS('51_版本配置事实'!$B$6:$B$127,"PC-N90-MAX-CAND",'51_版本配置事实'!$C$6:$C$127,$A24,'51_版本配置事实'!$I$6:$I$127,"OPTIONAL_AT_RELEASE")&gt;0,"OPTIONAL_AT_RELEASE",IF(COUNTIFS('51_版本配置事实'!$B$6:$B$127,"PC-N90-MAX-CAND",'51_版本配置事实'!$C$6:$C$127,$A24,'51_版本配置事实'!$I$6:$I$127,"SEPARATE_PURCHASE")&gt;0,"SEPARATE_PURCHASE",IF(COUNTIFS('51_版本配置事实'!$B$6:$B$127,"PC-N90-MAX-CAND",'51_版本配置事实'!$C$6:$C$127,$A24,'51_版本配置事实'!$I$6:$I$127,"EQUIPPED_STANDARD_UNCONFIRMED")&gt;0,"EQUIPPED_STANDARD_UNCONFIRMED",IF(COUNTIFS('51_版本配置事实'!$B$6:$B$127,"PC-N90-MAX-CAND",'51_版本配置事实'!$C$6:$C$127,$A24,'51_版本配置事实'!$I$6:$I$127,"SERIES_CAPABILITY")&gt;0,"SERIES_CAPABILITY",IF(COUNTIFS('51_版本配置事实'!$B$6:$B$127,"PC-N90-MAX-CAND",'51_版本配置事实'!$C$6:$C$127,$A24,'51_版本配置事实'!$I$6:$I$127,"NOT_DISCLOSED")&gt;0,"NOT_DISCLOSED","NOT_DISCLOSED")))))))</x:f>
        <x:v>EQUIPPED_STANDARD_UNCONFIRMED</x:v>
      </x:c>
      <x:c r="H24" s="19" t="str">
        <x:f>IF(COUNTIFS('51_版本配置事实'!$B$6:$B$127,"PC-N90-MAX-CAND",'51_版本配置事实'!$C$6:$C$127,$A24,'51_版本配置事实'!$J$6:$J$127,"STANDARD_CURRENT")&gt;0,"STANDARD_CURRENT","NOT_EVIDENCED")</x:f>
        <x:v>NOT_EVIDENCED</x:v>
      </x:c>
      <x:c r="I24" s="19" t="str">
        <x:f>IF(COUNTIFS('51_版本配置事实'!$B$6:$B$127,"PC-N90-ROOF-CAND",'51_版本配置事实'!$C$6:$C$127,$A24,'51_版本配置事实'!$T$6:$T$127,"&lt;&gt;NONE")&gt;0,"CONFLICTED",IF(COUNTIFS('51_版本配置事实'!$B$6:$B$127,"PC-N90-ROOF-CAND",'51_版本配置事实'!$C$6:$C$127,$A24,'51_版本配置事实'!$I$6:$I$127,"STANDARD_AT_RELEASE")&gt;0,"STANDARD_AT_RELEASE",IF(COUNTIFS('51_版本配置事实'!$B$6:$B$127,"PC-N90-ROOF-CAND",'51_版本配置事实'!$C$6:$C$127,$A24,'51_版本配置事实'!$I$6:$I$127,"OPTIONAL_AT_RELEASE")&gt;0,"OPTIONAL_AT_RELEASE",IF(COUNTIFS('51_版本配置事实'!$B$6:$B$127,"PC-N90-ROOF-CAND",'51_版本配置事实'!$C$6:$C$127,$A24,'51_版本配置事实'!$I$6:$I$127,"SEPARATE_PURCHASE")&gt;0,"SEPARATE_PURCHASE",IF(COUNTIFS('51_版本配置事实'!$B$6:$B$127,"PC-N90-ROOF-CAND",'51_版本配置事实'!$C$6:$C$127,$A24,'51_版本配置事实'!$I$6:$I$127,"EQUIPPED_STANDARD_UNCONFIRMED")&gt;0,"EQUIPPED_STANDARD_UNCONFIRMED",IF(COUNTIFS('51_版本配置事实'!$B$6:$B$127,"PC-N90-ROOF-CAND",'51_版本配置事实'!$C$6:$C$127,$A24,'51_版本配置事实'!$I$6:$I$127,"SERIES_CAPABILITY")&gt;0,"SERIES_CAPABILITY",IF(COUNTIFS('51_版本配置事实'!$B$6:$B$127,"PC-N90-ROOF-CAND",'51_版本配置事实'!$C$6:$C$127,$A24,'51_版本配置事实'!$I$6:$I$127,"NOT_DISCLOSED")&gt;0,"NOT_DISCLOSED","NOT_DISCLOSED")))))))</x:f>
        <x:v>NOT_DISCLOSED</x:v>
      </x:c>
      <x:c r="J24" s="19" t="str">
        <x:f>IF(COUNTIFS('51_版本配置事实'!$B$6:$B$127,"PC-N90-ROOF-CAND",'51_版本配置事实'!$C$6:$C$127,$A24,'51_版本配置事实'!$J$6:$J$127,"STANDARD_CURRENT")&gt;0,"STANDARD_CURRENT","NOT_EVIDENCED")</x:f>
        <x:v>NOT_EVIDENCED</x:v>
      </x:c>
      <x:c r="K24" s="19" t="str">
        <x:f>IF(AND(E24=G24,E24&lt;&gt;"NOT_DISCLOSED",E24&lt;&gt;"CONFLICTED"),IF(COUNTIFS('50_发布会逐项主张'!$H$6:$H$137,$A24,'50_发布会逐项主张'!$O$6:$O$137,"ALL_PENGCHENG")&gt;0,"EXPLICIT_COMMON_ANNOUNCED_MAX","MATCHED_NOT_PROVED_COMMON"),"NOT_PROVED_COMMON")</x:f>
        <x:v>MATCHED_NOT_PROVED_COMMON</x:v>
      </x:c>
      <x:c r="L24" s="19" t="str">
        <x:f>IF(OR(C24="NOT_DISCLOSED",E24="NOT_DISCLOSED",C24="CONFLICTED",E24="CONFLICTED"),"UNRESOLVED",IF(C24=E24,"NO_CHANGE",IF(AND(C24="STANDARD_AT_RELEASE",E24="OPTIONAL_AT_RELEASE"),"STANDARD_TO_OPTIONAL",IF(AND(C24="OPTIONAL_AT_RELEASE",E24="STANDARD_AT_RELEASE"),"OPTIONAL_TO_STANDARD",IF(E24="STANDARD_AT_RELEASE","ADDED_STANDARD","REVIEW_CHANGE")))))</x:f>
        <x:v>UNRESOLVED</x:v>
      </x:c>
      <x:c r="M24" s="19" t="str">
        <x:f>IF(OR(E24="NOT_DISCLOSED",G24="NOT_DISCLOSED",E24="CONFLICTED",G24="CONFLICTED"),"UNRESOLVED",IF(E24=G24,"NO_CHANGE",IF(AND(E24="STANDARD_AT_RELEASE",G24="OPTIONAL_AT_RELEASE"),"STANDARD_TO_OPTIONAL",IF(AND(E24="OPTIONAL_AT_RELEASE",G24="STANDARD_AT_RELEASE"),"OPTIONAL_TO_STANDARD",IF(G24="STANDARD_AT_RELEASE","ADDED_STANDARD","REVIEW_CHANGE")))))</x:f>
        <x:v>NO_CHANGE</x:v>
      </x:c>
      <x:c r="N24" s="19" t="str">
        <x:f>IF(OR(G24="NOT_DISCLOSED",I24="NOT_DISCLOSED",G24="CONFLICTED",I24="CONFLICTED"),"UNRESOLVED",IF(G24=I24,"NO_CHANGE",IF(AND(G24="STANDARD_AT_RELEASE",I24="OPTIONAL_AT_RELEASE"),"STANDARD_TO_OPTIONAL",IF(AND(G24="OPTIONAL_AT_RELEASE",I24="STANDARD_AT_RELEASE"),"OPTIONAL_TO_STANDARD",IF(I24="STANDARD_AT_RELEASE","ADDED_STANDARD","REVIEW_CHANGE")))))</x:f>
        <x:v>UNRESOLVED</x:v>
      </x:c>
      <x:c r="O24" s="19" t="str">
        <x:v>ENERGY_SYSTEM</x:v>
      </x:c>
      <x:c r="P24" s="19" t="str">
        <x:v>DC_ENERGY_SYSTEM</x:v>
      </x:c>
      <x:c r="Q24" s="19" t="n">
        <x:f>COUNTIF('50_发布会逐项主张'!$H$6:$H$137,A24)</x:f>
        <x:v>2</x:v>
      </x:c>
      <x:c r="R24" s="19" t="str">
        <x:f>IF(COUNTIFS('50_发布会逐项主张'!$H$6:$H$137,A24,'50_发布会逐项主张'!$X$6:$X$137,"&lt;&gt;NONE")&gt;0,"CONFLICTED","NONE")</x:f>
        <x:v>NONE</x:v>
      </x:c>
    </x:row>
    <x:row r="25" ht="48" customHeight="1">
      <x:c r="A25" s="369" t="str">
        <x:v>cltc_combined_range</x:v>
      </x:c>
      <x:c r="B25" s="369" t="str">
        <x:v>ENERGY</x:v>
      </x:c>
      <x:c r="C25" s="369" t="str">
        <x:f>IF(COUNTIFS('51_版本配置事实'!$B$6:$B$127,"PC-N70-BASE-CAND",'51_版本配置事实'!$C$6:$C$127,$A25,'51_版本配置事实'!$T$6:$T$127,"&lt;&gt;NONE")&gt;0,"CONFLICTED",IF(COUNTIFS('51_版本配置事实'!$B$6:$B$127,"PC-N70-BASE-CAND",'51_版本配置事实'!$C$6:$C$127,$A25,'51_版本配置事实'!$I$6:$I$127,"STANDARD_AT_RELEASE")&gt;0,"STANDARD_AT_RELEASE",IF(COUNTIFS('51_版本配置事实'!$B$6:$B$127,"PC-N70-BASE-CAND",'51_版本配置事实'!$C$6:$C$127,$A25,'51_版本配置事实'!$I$6:$I$127,"OPTIONAL_AT_RELEASE")&gt;0,"OPTIONAL_AT_RELEASE",IF(COUNTIFS('51_版本配置事实'!$B$6:$B$127,"PC-N70-BASE-CAND",'51_版本配置事实'!$C$6:$C$127,$A25,'51_版本配置事实'!$I$6:$I$127,"SEPARATE_PURCHASE")&gt;0,"SEPARATE_PURCHASE",IF(COUNTIFS('51_版本配置事实'!$B$6:$B$127,"PC-N70-BASE-CAND",'51_版本配置事实'!$C$6:$C$127,$A25,'51_版本配置事实'!$I$6:$I$127,"EQUIPPED_STANDARD_UNCONFIRMED")&gt;0,"EQUIPPED_STANDARD_UNCONFIRMED",IF(COUNTIFS('51_版本配置事实'!$B$6:$B$127,"PC-N70-BASE-CAND",'51_版本配置事实'!$C$6:$C$127,$A25,'51_版本配置事实'!$I$6:$I$127,"SERIES_CAPABILITY")&gt;0,"SERIES_CAPABILITY",IF(COUNTIFS('51_版本配置事实'!$B$6:$B$127,"PC-N70-BASE-CAND",'51_版本配置事实'!$C$6:$C$127,$A25,'51_版本配置事实'!$I$6:$I$127,"NOT_DISCLOSED")&gt;0,"NOT_DISCLOSED","NOT_DISCLOSED")))))))</x:f>
        <x:v>NOT_DISCLOSED</x:v>
      </x:c>
      <x:c r="D25" s="369" t="str">
        <x:f>IF(COUNTIFS('51_版本配置事实'!$B$6:$B$127,"PC-N70-BASE-CAND",'51_版本配置事实'!$C$6:$C$127,$A25,'51_版本配置事实'!$J$6:$J$127,"STANDARD_CURRENT")&gt;0,"STANDARD_CURRENT","NOT_EVIDENCED")</x:f>
        <x:v>NOT_EVIDENCED</x:v>
      </x:c>
      <x:c r="E25" s="369" t="str">
        <x:f>IF(COUNTIFS('51_版本配置事实'!$B$6:$B$127,"PC-N70-MAX-CAND",'51_版本配置事实'!$C$6:$C$127,$A25,'51_版本配置事实'!$T$6:$T$127,"&lt;&gt;NONE")&gt;0,"CONFLICTED",IF(COUNTIFS('51_版本配置事实'!$B$6:$B$127,"PC-N70-MAX-CAND",'51_版本配置事实'!$C$6:$C$127,$A25,'51_版本配置事实'!$I$6:$I$127,"STANDARD_AT_RELEASE")&gt;0,"STANDARD_AT_RELEASE",IF(COUNTIFS('51_版本配置事实'!$B$6:$B$127,"PC-N70-MAX-CAND",'51_版本配置事实'!$C$6:$C$127,$A25,'51_版本配置事实'!$I$6:$I$127,"OPTIONAL_AT_RELEASE")&gt;0,"OPTIONAL_AT_RELEASE",IF(COUNTIFS('51_版本配置事实'!$B$6:$B$127,"PC-N70-MAX-CAND",'51_版本配置事实'!$C$6:$C$127,$A25,'51_版本配置事实'!$I$6:$I$127,"SEPARATE_PURCHASE")&gt;0,"SEPARATE_PURCHASE",IF(COUNTIFS('51_版本配置事实'!$B$6:$B$127,"PC-N70-MAX-CAND",'51_版本配置事实'!$C$6:$C$127,$A25,'51_版本配置事实'!$I$6:$I$127,"EQUIPPED_STANDARD_UNCONFIRMED")&gt;0,"EQUIPPED_STANDARD_UNCONFIRMED",IF(COUNTIFS('51_版本配置事实'!$B$6:$B$127,"PC-N70-MAX-CAND",'51_版本配置事实'!$C$6:$C$127,$A25,'51_版本配置事实'!$I$6:$I$127,"SERIES_CAPABILITY")&gt;0,"SERIES_CAPABILITY",IF(COUNTIFS('51_版本配置事实'!$B$6:$B$127,"PC-N70-MAX-CAND",'51_版本配置事实'!$C$6:$C$127,$A25,'51_版本配置事实'!$I$6:$I$127,"NOT_DISCLOSED")&gt;0,"NOT_DISCLOSED","NOT_DISCLOSED")))))))</x:f>
        <x:v>EQUIPPED_STANDARD_UNCONFIRMED</x:v>
      </x:c>
      <x:c r="F25" s="369" t="str">
        <x:f>IF(COUNTIFS('51_版本配置事实'!$B$6:$B$127,"PC-N70-MAX-CAND",'51_版本配置事实'!$C$6:$C$127,$A25,'51_版本配置事实'!$J$6:$J$127,"STANDARD_CURRENT")&gt;0,"STANDARD_CURRENT","NOT_EVIDENCED")</x:f>
        <x:v>NOT_EVIDENCED</x:v>
      </x:c>
      <x:c r="G25" s="369" t="str">
        <x:f>IF(COUNTIFS('51_版本配置事实'!$B$6:$B$127,"PC-N90-MAX-CAND",'51_版本配置事实'!$C$6:$C$127,$A25,'51_版本配置事实'!$T$6:$T$127,"&lt;&gt;NONE")&gt;0,"CONFLICTED",IF(COUNTIFS('51_版本配置事实'!$B$6:$B$127,"PC-N90-MAX-CAND",'51_版本配置事实'!$C$6:$C$127,$A25,'51_版本配置事实'!$I$6:$I$127,"STANDARD_AT_RELEASE")&gt;0,"STANDARD_AT_RELEASE",IF(COUNTIFS('51_版本配置事实'!$B$6:$B$127,"PC-N90-MAX-CAND",'51_版本配置事实'!$C$6:$C$127,$A25,'51_版本配置事实'!$I$6:$I$127,"OPTIONAL_AT_RELEASE")&gt;0,"OPTIONAL_AT_RELEASE",IF(COUNTIFS('51_版本配置事实'!$B$6:$B$127,"PC-N90-MAX-CAND",'51_版本配置事实'!$C$6:$C$127,$A25,'51_版本配置事实'!$I$6:$I$127,"SEPARATE_PURCHASE")&gt;0,"SEPARATE_PURCHASE",IF(COUNTIFS('51_版本配置事实'!$B$6:$B$127,"PC-N90-MAX-CAND",'51_版本配置事实'!$C$6:$C$127,$A25,'51_版本配置事实'!$I$6:$I$127,"EQUIPPED_STANDARD_UNCONFIRMED")&gt;0,"EQUIPPED_STANDARD_UNCONFIRMED",IF(COUNTIFS('51_版本配置事实'!$B$6:$B$127,"PC-N90-MAX-CAND",'51_版本配置事实'!$C$6:$C$127,$A25,'51_版本配置事实'!$I$6:$I$127,"SERIES_CAPABILITY")&gt;0,"SERIES_CAPABILITY",IF(COUNTIFS('51_版本配置事实'!$B$6:$B$127,"PC-N90-MAX-CAND",'51_版本配置事实'!$C$6:$C$127,$A25,'51_版本配置事实'!$I$6:$I$127,"NOT_DISCLOSED")&gt;0,"NOT_DISCLOSED","NOT_DISCLOSED")))))))</x:f>
        <x:v>EQUIPPED_STANDARD_UNCONFIRMED</x:v>
      </x:c>
      <x:c r="H25" s="369" t="str">
        <x:f>IF(COUNTIFS('51_版本配置事实'!$B$6:$B$127,"PC-N90-MAX-CAND",'51_版本配置事实'!$C$6:$C$127,$A25,'51_版本配置事实'!$J$6:$J$127,"STANDARD_CURRENT")&gt;0,"STANDARD_CURRENT","NOT_EVIDENCED")</x:f>
        <x:v>NOT_EVIDENCED</x:v>
      </x:c>
      <x:c r="I25" s="369" t="str">
        <x:f>IF(COUNTIFS('51_版本配置事实'!$B$6:$B$127,"PC-N90-ROOF-CAND",'51_版本配置事实'!$C$6:$C$127,$A25,'51_版本配置事实'!$T$6:$T$127,"&lt;&gt;NONE")&gt;0,"CONFLICTED",IF(COUNTIFS('51_版本配置事实'!$B$6:$B$127,"PC-N90-ROOF-CAND",'51_版本配置事实'!$C$6:$C$127,$A25,'51_版本配置事实'!$I$6:$I$127,"STANDARD_AT_RELEASE")&gt;0,"STANDARD_AT_RELEASE",IF(COUNTIFS('51_版本配置事实'!$B$6:$B$127,"PC-N90-ROOF-CAND",'51_版本配置事实'!$C$6:$C$127,$A25,'51_版本配置事实'!$I$6:$I$127,"OPTIONAL_AT_RELEASE")&gt;0,"OPTIONAL_AT_RELEASE",IF(COUNTIFS('51_版本配置事实'!$B$6:$B$127,"PC-N90-ROOF-CAND",'51_版本配置事实'!$C$6:$C$127,$A25,'51_版本配置事实'!$I$6:$I$127,"SEPARATE_PURCHASE")&gt;0,"SEPARATE_PURCHASE",IF(COUNTIFS('51_版本配置事实'!$B$6:$B$127,"PC-N90-ROOF-CAND",'51_版本配置事实'!$C$6:$C$127,$A25,'51_版本配置事实'!$I$6:$I$127,"EQUIPPED_STANDARD_UNCONFIRMED")&gt;0,"EQUIPPED_STANDARD_UNCONFIRMED",IF(COUNTIFS('51_版本配置事实'!$B$6:$B$127,"PC-N90-ROOF-CAND",'51_版本配置事实'!$C$6:$C$127,$A25,'51_版本配置事实'!$I$6:$I$127,"SERIES_CAPABILITY")&gt;0,"SERIES_CAPABILITY",IF(COUNTIFS('51_版本配置事实'!$B$6:$B$127,"PC-N90-ROOF-CAND",'51_版本配置事实'!$C$6:$C$127,$A25,'51_版本配置事实'!$I$6:$I$127,"NOT_DISCLOSED")&gt;0,"NOT_DISCLOSED","NOT_DISCLOSED")))))))</x:f>
        <x:v>NOT_DISCLOSED</x:v>
      </x:c>
      <x:c r="J25" s="369" t="str">
        <x:f>IF(COUNTIFS('51_版本配置事实'!$B$6:$B$127,"PC-N90-ROOF-CAND",'51_版本配置事实'!$C$6:$C$127,$A25,'51_版本配置事实'!$J$6:$J$127,"STANDARD_CURRENT")&gt;0,"STANDARD_CURRENT","NOT_EVIDENCED")</x:f>
        <x:v>NOT_EVIDENCED</x:v>
      </x:c>
      <x:c r="K25" s="369" t="str">
        <x:f>IF(AND(E25=G25,E25&lt;&gt;"NOT_DISCLOSED",E25&lt;&gt;"CONFLICTED"),IF(COUNTIFS('50_发布会逐项主张'!$H$6:$H$137,$A25,'50_发布会逐项主张'!$O$6:$O$137,"ALL_PENGCHENG")&gt;0,"EXPLICIT_COMMON_ANNOUNCED_MAX","MATCHED_NOT_PROVED_COMMON"),"NOT_PROVED_COMMON")</x:f>
        <x:v>MATCHED_NOT_PROVED_COMMON</x:v>
      </x:c>
      <x:c r="L25" s="369" t="str">
        <x:f>IF(OR(C25="NOT_DISCLOSED",E25="NOT_DISCLOSED",C25="CONFLICTED",E25="CONFLICTED"),"UNRESOLVED",IF(C25=E25,"NO_CHANGE",IF(AND(C25="STANDARD_AT_RELEASE",E25="OPTIONAL_AT_RELEASE"),"STANDARD_TO_OPTIONAL",IF(AND(C25="OPTIONAL_AT_RELEASE",E25="STANDARD_AT_RELEASE"),"OPTIONAL_TO_STANDARD",IF(E25="STANDARD_AT_RELEASE","ADDED_STANDARD","REVIEW_CHANGE")))))</x:f>
        <x:v>UNRESOLVED</x:v>
      </x:c>
      <x:c r="M25" s="369" t="str">
        <x:f>IF(OR(E25="NOT_DISCLOSED",G25="NOT_DISCLOSED",E25="CONFLICTED",G25="CONFLICTED"),"UNRESOLVED",IF(E25=G25,"NO_CHANGE",IF(AND(E25="STANDARD_AT_RELEASE",G25="OPTIONAL_AT_RELEASE"),"STANDARD_TO_OPTIONAL",IF(AND(E25="OPTIONAL_AT_RELEASE",G25="STANDARD_AT_RELEASE"),"OPTIONAL_TO_STANDARD",IF(G25="STANDARD_AT_RELEASE","ADDED_STANDARD","REVIEW_CHANGE")))))</x:f>
        <x:v>NO_CHANGE</x:v>
      </x:c>
      <x:c r="N25" s="369" t="str">
        <x:f>IF(OR(G25="NOT_DISCLOSED",I25="NOT_DISCLOSED",G25="CONFLICTED",I25="CONFLICTED"),"UNRESOLVED",IF(G25=I25,"NO_CHANGE",IF(AND(G25="STANDARD_AT_RELEASE",I25="OPTIONAL_AT_RELEASE"),"STANDARD_TO_OPTIONAL",IF(AND(G25="OPTIONAL_AT_RELEASE",I25="STANDARD_AT_RELEASE"),"OPTIONAL_TO_STANDARD",IF(I25="STANDARD_AT_RELEASE","ADDED_STANDARD","REVIEW_CHANGE")))))</x:f>
        <x:v>UNRESOLVED</x:v>
      </x:c>
      <x:c r="O25" s="369" t="str">
        <x:v>ENERGY_SYSTEM</x:v>
      </x:c>
      <x:c r="P25" s="369" t="str">
        <x:v>DC_ENERGY_SYSTEM</x:v>
      </x:c>
      <x:c r="Q25" s="369" t="n">
        <x:f>COUNTIF('50_发布会逐项主张'!$H$6:$H$137,A25)</x:f>
        <x:v>2</x:v>
      </x:c>
      <x:c r="R25" s="369" t="str">
        <x:f>IF(COUNTIFS('50_发布会逐项主张'!$H$6:$H$137,A25,'50_发布会逐项主张'!$X$6:$X$137,"&lt;&gt;NONE")&gt;0,"CONFLICTED","NONE")</x:f>
        <x:v>NONE</x:v>
      </x:c>
    </x:row>
    <x:row r="26" ht="48" customHeight="1">
      <x:c r="A26" s="19" t="str">
        <x:v>cltc_energy_consumption_min</x:v>
      </x:c>
      <x:c r="B26" s="19" t="str">
        <x:v>ENERGY</x:v>
      </x:c>
      <x:c r="C26" s="19" t="str">
        <x:f>IF(COUNTIFS('51_版本配置事实'!$B$6:$B$127,"PC-N70-BASE-CAND",'51_版本配置事实'!$C$6:$C$127,$A26,'51_版本配置事实'!$T$6:$T$127,"&lt;&gt;NONE")&gt;0,"CONFLICTED",IF(COUNTIFS('51_版本配置事实'!$B$6:$B$127,"PC-N70-BASE-CAND",'51_版本配置事实'!$C$6:$C$127,$A26,'51_版本配置事实'!$I$6:$I$127,"STANDARD_AT_RELEASE")&gt;0,"STANDARD_AT_RELEASE",IF(COUNTIFS('51_版本配置事实'!$B$6:$B$127,"PC-N70-BASE-CAND",'51_版本配置事实'!$C$6:$C$127,$A26,'51_版本配置事实'!$I$6:$I$127,"OPTIONAL_AT_RELEASE")&gt;0,"OPTIONAL_AT_RELEASE",IF(COUNTIFS('51_版本配置事实'!$B$6:$B$127,"PC-N70-BASE-CAND",'51_版本配置事实'!$C$6:$C$127,$A26,'51_版本配置事实'!$I$6:$I$127,"SEPARATE_PURCHASE")&gt;0,"SEPARATE_PURCHASE",IF(COUNTIFS('51_版本配置事实'!$B$6:$B$127,"PC-N70-BASE-CAND",'51_版本配置事实'!$C$6:$C$127,$A26,'51_版本配置事实'!$I$6:$I$127,"EQUIPPED_STANDARD_UNCONFIRMED")&gt;0,"EQUIPPED_STANDARD_UNCONFIRMED",IF(COUNTIFS('51_版本配置事实'!$B$6:$B$127,"PC-N70-BASE-CAND",'51_版本配置事实'!$C$6:$C$127,$A26,'51_版本配置事实'!$I$6:$I$127,"SERIES_CAPABILITY")&gt;0,"SERIES_CAPABILITY",IF(COUNTIFS('51_版本配置事实'!$B$6:$B$127,"PC-N70-BASE-CAND",'51_版本配置事实'!$C$6:$C$127,$A26,'51_版本配置事实'!$I$6:$I$127,"NOT_DISCLOSED")&gt;0,"NOT_DISCLOSED","NOT_DISCLOSED")))))))</x:f>
        <x:v>NOT_DISCLOSED</x:v>
      </x:c>
      <x:c r="D26" s="19" t="str">
        <x:f>IF(COUNTIFS('51_版本配置事实'!$B$6:$B$127,"PC-N70-BASE-CAND",'51_版本配置事实'!$C$6:$C$127,$A26,'51_版本配置事实'!$J$6:$J$127,"STANDARD_CURRENT")&gt;0,"STANDARD_CURRENT","NOT_EVIDENCED")</x:f>
        <x:v>NOT_EVIDENCED</x:v>
      </x:c>
      <x:c r="E26" s="19" t="str">
        <x:f>IF(COUNTIFS('51_版本配置事实'!$B$6:$B$127,"PC-N70-MAX-CAND",'51_版本配置事实'!$C$6:$C$127,$A26,'51_版本配置事实'!$T$6:$T$127,"&lt;&gt;NONE")&gt;0,"CONFLICTED",IF(COUNTIFS('51_版本配置事实'!$B$6:$B$127,"PC-N70-MAX-CAND",'51_版本配置事实'!$C$6:$C$127,$A26,'51_版本配置事实'!$I$6:$I$127,"STANDARD_AT_RELEASE")&gt;0,"STANDARD_AT_RELEASE",IF(COUNTIFS('51_版本配置事实'!$B$6:$B$127,"PC-N70-MAX-CAND",'51_版本配置事实'!$C$6:$C$127,$A26,'51_版本配置事实'!$I$6:$I$127,"OPTIONAL_AT_RELEASE")&gt;0,"OPTIONAL_AT_RELEASE",IF(COUNTIFS('51_版本配置事实'!$B$6:$B$127,"PC-N70-MAX-CAND",'51_版本配置事实'!$C$6:$C$127,$A26,'51_版本配置事实'!$I$6:$I$127,"SEPARATE_PURCHASE")&gt;0,"SEPARATE_PURCHASE",IF(COUNTIFS('51_版本配置事实'!$B$6:$B$127,"PC-N70-MAX-CAND",'51_版本配置事实'!$C$6:$C$127,$A26,'51_版本配置事实'!$I$6:$I$127,"EQUIPPED_STANDARD_UNCONFIRMED")&gt;0,"EQUIPPED_STANDARD_UNCONFIRMED",IF(COUNTIFS('51_版本配置事实'!$B$6:$B$127,"PC-N70-MAX-CAND",'51_版本配置事实'!$C$6:$C$127,$A26,'51_版本配置事实'!$I$6:$I$127,"SERIES_CAPABILITY")&gt;0,"SERIES_CAPABILITY",IF(COUNTIFS('51_版本配置事实'!$B$6:$B$127,"PC-N70-MAX-CAND",'51_版本配置事实'!$C$6:$C$127,$A26,'51_版本配置事实'!$I$6:$I$127,"NOT_DISCLOSED")&gt;0,"NOT_DISCLOSED","NOT_DISCLOSED")))))))</x:f>
        <x:v>EQUIPPED_STANDARD_UNCONFIRMED</x:v>
      </x:c>
      <x:c r="F26" s="19" t="str">
        <x:f>IF(COUNTIFS('51_版本配置事实'!$B$6:$B$127,"PC-N70-MAX-CAND",'51_版本配置事实'!$C$6:$C$127,$A26,'51_版本配置事实'!$J$6:$J$127,"STANDARD_CURRENT")&gt;0,"STANDARD_CURRENT","NOT_EVIDENCED")</x:f>
        <x:v>NOT_EVIDENCED</x:v>
      </x:c>
      <x:c r="G26" s="19" t="str">
        <x:f>IF(COUNTIFS('51_版本配置事实'!$B$6:$B$127,"PC-N90-MAX-CAND",'51_版本配置事实'!$C$6:$C$127,$A26,'51_版本配置事实'!$T$6:$T$127,"&lt;&gt;NONE")&gt;0,"CONFLICTED",IF(COUNTIFS('51_版本配置事实'!$B$6:$B$127,"PC-N90-MAX-CAND",'51_版本配置事实'!$C$6:$C$127,$A26,'51_版本配置事实'!$I$6:$I$127,"STANDARD_AT_RELEASE")&gt;0,"STANDARD_AT_RELEASE",IF(COUNTIFS('51_版本配置事实'!$B$6:$B$127,"PC-N90-MAX-CAND",'51_版本配置事实'!$C$6:$C$127,$A26,'51_版本配置事实'!$I$6:$I$127,"OPTIONAL_AT_RELEASE")&gt;0,"OPTIONAL_AT_RELEASE",IF(COUNTIFS('51_版本配置事实'!$B$6:$B$127,"PC-N90-MAX-CAND",'51_版本配置事实'!$C$6:$C$127,$A26,'51_版本配置事实'!$I$6:$I$127,"SEPARATE_PURCHASE")&gt;0,"SEPARATE_PURCHASE",IF(COUNTIFS('51_版本配置事实'!$B$6:$B$127,"PC-N90-MAX-CAND",'51_版本配置事实'!$C$6:$C$127,$A26,'51_版本配置事实'!$I$6:$I$127,"EQUIPPED_STANDARD_UNCONFIRMED")&gt;0,"EQUIPPED_STANDARD_UNCONFIRMED",IF(COUNTIFS('51_版本配置事实'!$B$6:$B$127,"PC-N90-MAX-CAND",'51_版本配置事实'!$C$6:$C$127,$A26,'51_版本配置事实'!$I$6:$I$127,"SERIES_CAPABILITY")&gt;0,"SERIES_CAPABILITY",IF(COUNTIFS('51_版本配置事实'!$B$6:$B$127,"PC-N90-MAX-CAND",'51_版本配置事实'!$C$6:$C$127,$A26,'51_版本配置事实'!$I$6:$I$127,"NOT_DISCLOSED")&gt;0,"NOT_DISCLOSED","NOT_DISCLOSED")))))))</x:f>
        <x:v>NOT_DISCLOSED</x:v>
      </x:c>
      <x:c r="H26" s="19" t="str">
        <x:f>IF(COUNTIFS('51_版本配置事实'!$B$6:$B$127,"PC-N90-MAX-CAND",'51_版本配置事实'!$C$6:$C$127,$A26,'51_版本配置事实'!$J$6:$J$127,"STANDARD_CURRENT")&gt;0,"STANDARD_CURRENT","NOT_EVIDENCED")</x:f>
        <x:v>NOT_EVIDENCED</x:v>
      </x:c>
      <x:c r="I26" s="19" t="str">
        <x:f>IF(COUNTIFS('51_版本配置事实'!$B$6:$B$127,"PC-N90-ROOF-CAND",'51_版本配置事实'!$C$6:$C$127,$A26,'51_版本配置事实'!$T$6:$T$127,"&lt;&gt;NONE")&gt;0,"CONFLICTED",IF(COUNTIFS('51_版本配置事实'!$B$6:$B$127,"PC-N90-ROOF-CAND",'51_版本配置事实'!$C$6:$C$127,$A26,'51_版本配置事实'!$I$6:$I$127,"STANDARD_AT_RELEASE")&gt;0,"STANDARD_AT_RELEASE",IF(COUNTIFS('51_版本配置事实'!$B$6:$B$127,"PC-N90-ROOF-CAND",'51_版本配置事实'!$C$6:$C$127,$A26,'51_版本配置事实'!$I$6:$I$127,"OPTIONAL_AT_RELEASE")&gt;0,"OPTIONAL_AT_RELEASE",IF(COUNTIFS('51_版本配置事实'!$B$6:$B$127,"PC-N90-ROOF-CAND",'51_版本配置事实'!$C$6:$C$127,$A26,'51_版本配置事实'!$I$6:$I$127,"SEPARATE_PURCHASE")&gt;0,"SEPARATE_PURCHASE",IF(COUNTIFS('51_版本配置事实'!$B$6:$B$127,"PC-N90-ROOF-CAND",'51_版本配置事实'!$C$6:$C$127,$A26,'51_版本配置事实'!$I$6:$I$127,"EQUIPPED_STANDARD_UNCONFIRMED")&gt;0,"EQUIPPED_STANDARD_UNCONFIRMED",IF(COUNTIFS('51_版本配置事实'!$B$6:$B$127,"PC-N90-ROOF-CAND",'51_版本配置事实'!$C$6:$C$127,$A26,'51_版本配置事实'!$I$6:$I$127,"SERIES_CAPABILITY")&gt;0,"SERIES_CAPABILITY",IF(COUNTIFS('51_版本配置事实'!$B$6:$B$127,"PC-N90-ROOF-CAND",'51_版本配置事实'!$C$6:$C$127,$A26,'51_版本配置事实'!$I$6:$I$127,"NOT_DISCLOSED")&gt;0,"NOT_DISCLOSED","NOT_DISCLOSED")))))))</x:f>
        <x:v>NOT_DISCLOSED</x:v>
      </x:c>
      <x:c r="J26" s="19" t="str">
        <x:f>IF(COUNTIFS('51_版本配置事实'!$B$6:$B$127,"PC-N90-ROOF-CAND",'51_版本配置事实'!$C$6:$C$127,$A26,'51_版本配置事实'!$J$6:$J$127,"STANDARD_CURRENT")&gt;0,"STANDARD_CURRENT","NOT_EVIDENCED")</x:f>
        <x:v>NOT_EVIDENCED</x:v>
      </x:c>
      <x:c r="K26" s="19" t="str">
        <x:f>IF(AND(E26=G26,E26&lt;&gt;"NOT_DISCLOSED",E26&lt;&gt;"CONFLICTED"),IF(COUNTIFS('50_发布会逐项主张'!$H$6:$H$137,$A26,'50_发布会逐项主张'!$O$6:$O$137,"ALL_PENGCHENG")&gt;0,"EXPLICIT_COMMON_ANNOUNCED_MAX","MATCHED_NOT_PROVED_COMMON"),"NOT_PROVED_COMMON")</x:f>
        <x:v>NOT_PROVED_COMMON</x:v>
      </x:c>
      <x:c r="L26" s="19" t="str">
        <x:f>IF(OR(C26="NOT_DISCLOSED",E26="NOT_DISCLOSED",C26="CONFLICTED",E26="CONFLICTED"),"UNRESOLVED",IF(C26=E26,"NO_CHANGE",IF(AND(C26="STANDARD_AT_RELEASE",E26="OPTIONAL_AT_RELEASE"),"STANDARD_TO_OPTIONAL",IF(AND(C26="OPTIONAL_AT_RELEASE",E26="STANDARD_AT_RELEASE"),"OPTIONAL_TO_STANDARD",IF(E26="STANDARD_AT_RELEASE","ADDED_STANDARD","REVIEW_CHANGE")))))</x:f>
        <x:v>UNRESOLVED</x:v>
      </x:c>
      <x:c r="M26" s="19" t="str">
        <x:f>IF(OR(E26="NOT_DISCLOSED",G26="NOT_DISCLOSED",E26="CONFLICTED",G26="CONFLICTED"),"UNRESOLVED",IF(E26=G26,"NO_CHANGE",IF(AND(E26="STANDARD_AT_RELEASE",G26="OPTIONAL_AT_RELEASE"),"STANDARD_TO_OPTIONAL",IF(AND(E26="OPTIONAL_AT_RELEASE",G26="STANDARD_AT_RELEASE"),"OPTIONAL_TO_STANDARD",IF(G26="STANDARD_AT_RELEASE","ADDED_STANDARD","REVIEW_CHANGE")))))</x:f>
        <x:v>UNRESOLVED</x:v>
      </x:c>
      <x:c r="N26" s="19" t="str">
        <x:f>IF(OR(G26="NOT_DISCLOSED",I26="NOT_DISCLOSED",G26="CONFLICTED",I26="CONFLICTED"),"UNRESOLVED",IF(G26=I26,"NO_CHANGE",IF(AND(G26="STANDARD_AT_RELEASE",I26="OPTIONAL_AT_RELEASE"),"STANDARD_TO_OPTIONAL",IF(AND(G26="OPTIONAL_AT_RELEASE",I26="STANDARD_AT_RELEASE"),"OPTIONAL_TO_STANDARD",IF(I26="STANDARD_AT_RELEASE","ADDED_STANDARD","REVIEW_CHANGE")))))</x:f>
        <x:v>UNRESOLVED</x:v>
      </x:c>
      <x:c r="O26" s="19" t="str">
        <x:v>ENERGY_SYSTEM</x:v>
      </x:c>
      <x:c r="P26" s="19" t="str">
        <x:v>DC_ENERGY_cltc_energy_consumption_min</x:v>
      </x:c>
      <x:c r="Q26" s="19" t="n">
        <x:f>COUNTIF('50_发布会逐项主张'!$H$6:$H$137,A26)</x:f>
        <x:v>1</x:v>
      </x:c>
      <x:c r="R26" s="19" t="str">
        <x:f>IF(COUNTIFS('50_发布会逐项主张'!$H$6:$H$137,A26,'50_发布会逐项主张'!$X$6:$X$137,"&lt;&gt;NONE")&gt;0,"CONFLICTED","NONE")</x:f>
        <x:v>NONE</x:v>
      </x:c>
    </x:row>
    <x:row r="27" ht="48" customHeight="1">
      <x:c r="A27" s="369" t="str">
        <x:v>cltc_ev_range</x:v>
      </x:c>
      <x:c r="B27" s="369" t="str">
        <x:v>ENERGY</x:v>
      </x:c>
      <x:c r="C27" s="369" t="str">
        <x:f>IF(COUNTIFS('51_版本配置事实'!$B$6:$B$127,"PC-N70-BASE-CAND",'51_版本配置事实'!$C$6:$C$127,$A27,'51_版本配置事实'!$T$6:$T$127,"&lt;&gt;NONE")&gt;0,"CONFLICTED",IF(COUNTIFS('51_版本配置事实'!$B$6:$B$127,"PC-N70-BASE-CAND",'51_版本配置事实'!$C$6:$C$127,$A27,'51_版本配置事实'!$I$6:$I$127,"STANDARD_AT_RELEASE")&gt;0,"STANDARD_AT_RELEASE",IF(COUNTIFS('51_版本配置事实'!$B$6:$B$127,"PC-N70-BASE-CAND",'51_版本配置事实'!$C$6:$C$127,$A27,'51_版本配置事实'!$I$6:$I$127,"OPTIONAL_AT_RELEASE")&gt;0,"OPTIONAL_AT_RELEASE",IF(COUNTIFS('51_版本配置事实'!$B$6:$B$127,"PC-N70-BASE-CAND",'51_版本配置事实'!$C$6:$C$127,$A27,'51_版本配置事实'!$I$6:$I$127,"SEPARATE_PURCHASE")&gt;0,"SEPARATE_PURCHASE",IF(COUNTIFS('51_版本配置事实'!$B$6:$B$127,"PC-N70-BASE-CAND",'51_版本配置事实'!$C$6:$C$127,$A27,'51_版本配置事实'!$I$6:$I$127,"EQUIPPED_STANDARD_UNCONFIRMED")&gt;0,"EQUIPPED_STANDARD_UNCONFIRMED",IF(COUNTIFS('51_版本配置事实'!$B$6:$B$127,"PC-N70-BASE-CAND",'51_版本配置事实'!$C$6:$C$127,$A27,'51_版本配置事实'!$I$6:$I$127,"SERIES_CAPABILITY")&gt;0,"SERIES_CAPABILITY",IF(COUNTIFS('51_版本配置事实'!$B$6:$B$127,"PC-N70-BASE-CAND",'51_版本配置事实'!$C$6:$C$127,$A27,'51_版本配置事实'!$I$6:$I$127,"NOT_DISCLOSED")&gt;0,"NOT_DISCLOSED","NOT_DISCLOSED")))))))</x:f>
        <x:v>NOT_DISCLOSED</x:v>
      </x:c>
      <x:c r="D27" s="369" t="str">
        <x:f>IF(COUNTIFS('51_版本配置事实'!$B$6:$B$127,"PC-N70-BASE-CAND",'51_版本配置事实'!$C$6:$C$127,$A27,'51_版本配置事实'!$J$6:$J$127,"STANDARD_CURRENT")&gt;0,"STANDARD_CURRENT","NOT_EVIDENCED")</x:f>
        <x:v>NOT_EVIDENCED</x:v>
      </x:c>
      <x:c r="E27" s="369" t="str">
        <x:f>IF(COUNTIFS('51_版本配置事实'!$B$6:$B$127,"PC-N70-MAX-CAND",'51_版本配置事实'!$C$6:$C$127,$A27,'51_版本配置事实'!$T$6:$T$127,"&lt;&gt;NONE")&gt;0,"CONFLICTED",IF(COUNTIFS('51_版本配置事实'!$B$6:$B$127,"PC-N70-MAX-CAND",'51_版本配置事实'!$C$6:$C$127,$A27,'51_版本配置事实'!$I$6:$I$127,"STANDARD_AT_RELEASE")&gt;0,"STANDARD_AT_RELEASE",IF(COUNTIFS('51_版本配置事实'!$B$6:$B$127,"PC-N70-MAX-CAND",'51_版本配置事实'!$C$6:$C$127,$A27,'51_版本配置事实'!$I$6:$I$127,"OPTIONAL_AT_RELEASE")&gt;0,"OPTIONAL_AT_RELEASE",IF(COUNTIFS('51_版本配置事实'!$B$6:$B$127,"PC-N70-MAX-CAND",'51_版本配置事实'!$C$6:$C$127,$A27,'51_版本配置事实'!$I$6:$I$127,"SEPARATE_PURCHASE")&gt;0,"SEPARATE_PURCHASE",IF(COUNTIFS('51_版本配置事实'!$B$6:$B$127,"PC-N70-MAX-CAND",'51_版本配置事实'!$C$6:$C$127,$A27,'51_版本配置事实'!$I$6:$I$127,"EQUIPPED_STANDARD_UNCONFIRMED")&gt;0,"EQUIPPED_STANDARD_UNCONFIRMED",IF(COUNTIFS('51_版本配置事实'!$B$6:$B$127,"PC-N70-MAX-CAND",'51_版本配置事实'!$C$6:$C$127,$A27,'51_版本配置事实'!$I$6:$I$127,"SERIES_CAPABILITY")&gt;0,"SERIES_CAPABILITY",IF(COUNTIFS('51_版本配置事实'!$B$6:$B$127,"PC-N70-MAX-CAND",'51_版本配置事实'!$C$6:$C$127,$A27,'51_版本配置事实'!$I$6:$I$127,"NOT_DISCLOSED")&gt;0,"NOT_DISCLOSED","NOT_DISCLOSED")))))))</x:f>
        <x:v>EQUIPPED_STANDARD_UNCONFIRMED</x:v>
      </x:c>
      <x:c r="F27" s="369" t="str">
        <x:f>IF(COUNTIFS('51_版本配置事实'!$B$6:$B$127,"PC-N70-MAX-CAND",'51_版本配置事实'!$C$6:$C$127,$A27,'51_版本配置事实'!$J$6:$J$127,"STANDARD_CURRENT")&gt;0,"STANDARD_CURRENT","NOT_EVIDENCED")</x:f>
        <x:v>NOT_EVIDENCED</x:v>
      </x:c>
      <x:c r="G27" s="369" t="str">
        <x:f>IF(COUNTIFS('51_版本配置事实'!$B$6:$B$127,"PC-N90-MAX-CAND",'51_版本配置事实'!$C$6:$C$127,$A27,'51_版本配置事实'!$T$6:$T$127,"&lt;&gt;NONE")&gt;0,"CONFLICTED",IF(COUNTIFS('51_版本配置事实'!$B$6:$B$127,"PC-N90-MAX-CAND",'51_版本配置事实'!$C$6:$C$127,$A27,'51_版本配置事实'!$I$6:$I$127,"STANDARD_AT_RELEASE")&gt;0,"STANDARD_AT_RELEASE",IF(COUNTIFS('51_版本配置事实'!$B$6:$B$127,"PC-N90-MAX-CAND",'51_版本配置事实'!$C$6:$C$127,$A27,'51_版本配置事实'!$I$6:$I$127,"OPTIONAL_AT_RELEASE")&gt;0,"OPTIONAL_AT_RELEASE",IF(COUNTIFS('51_版本配置事实'!$B$6:$B$127,"PC-N90-MAX-CAND",'51_版本配置事实'!$C$6:$C$127,$A27,'51_版本配置事实'!$I$6:$I$127,"SEPARATE_PURCHASE")&gt;0,"SEPARATE_PURCHASE",IF(COUNTIFS('51_版本配置事实'!$B$6:$B$127,"PC-N90-MAX-CAND",'51_版本配置事实'!$C$6:$C$127,$A27,'51_版本配置事实'!$I$6:$I$127,"EQUIPPED_STANDARD_UNCONFIRMED")&gt;0,"EQUIPPED_STANDARD_UNCONFIRMED",IF(COUNTIFS('51_版本配置事实'!$B$6:$B$127,"PC-N90-MAX-CAND",'51_版本配置事实'!$C$6:$C$127,$A27,'51_版本配置事实'!$I$6:$I$127,"SERIES_CAPABILITY")&gt;0,"SERIES_CAPABILITY",IF(COUNTIFS('51_版本配置事实'!$B$6:$B$127,"PC-N90-MAX-CAND",'51_版本配置事实'!$C$6:$C$127,$A27,'51_版本配置事实'!$I$6:$I$127,"NOT_DISCLOSED")&gt;0,"NOT_DISCLOSED","NOT_DISCLOSED")))))))</x:f>
        <x:v>EQUIPPED_STANDARD_UNCONFIRMED</x:v>
      </x:c>
      <x:c r="H27" s="369" t="str">
        <x:f>IF(COUNTIFS('51_版本配置事实'!$B$6:$B$127,"PC-N90-MAX-CAND",'51_版本配置事实'!$C$6:$C$127,$A27,'51_版本配置事实'!$J$6:$J$127,"STANDARD_CURRENT")&gt;0,"STANDARD_CURRENT","NOT_EVIDENCED")</x:f>
        <x:v>NOT_EVIDENCED</x:v>
      </x:c>
      <x:c r="I27" s="369" t="str">
        <x:f>IF(COUNTIFS('51_版本配置事实'!$B$6:$B$127,"PC-N90-ROOF-CAND",'51_版本配置事实'!$C$6:$C$127,$A27,'51_版本配置事实'!$T$6:$T$127,"&lt;&gt;NONE")&gt;0,"CONFLICTED",IF(COUNTIFS('51_版本配置事实'!$B$6:$B$127,"PC-N90-ROOF-CAND",'51_版本配置事实'!$C$6:$C$127,$A27,'51_版本配置事实'!$I$6:$I$127,"STANDARD_AT_RELEASE")&gt;0,"STANDARD_AT_RELEASE",IF(COUNTIFS('51_版本配置事实'!$B$6:$B$127,"PC-N90-ROOF-CAND",'51_版本配置事实'!$C$6:$C$127,$A27,'51_版本配置事实'!$I$6:$I$127,"OPTIONAL_AT_RELEASE")&gt;0,"OPTIONAL_AT_RELEASE",IF(COUNTIFS('51_版本配置事实'!$B$6:$B$127,"PC-N90-ROOF-CAND",'51_版本配置事实'!$C$6:$C$127,$A27,'51_版本配置事实'!$I$6:$I$127,"SEPARATE_PURCHASE")&gt;0,"SEPARATE_PURCHASE",IF(COUNTIFS('51_版本配置事实'!$B$6:$B$127,"PC-N90-ROOF-CAND",'51_版本配置事实'!$C$6:$C$127,$A27,'51_版本配置事实'!$I$6:$I$127,"EQUIPPED_STANDARD_UNCONFIRMED")&gt;0,"EQUIPPED_STANDARD_UNCONFIRMED",IF(COUNTIFS('51_版本配置事实'!$B$6:$B$127,"PC-N90-ROOF-CAND",'51_版本配置事实'!$C$6:$C$127,$A27,'51_版本配置事实'!$I$6:$I$127,"SERIES_CAPABILITY")&gt;0,"SERIES_CAPABILITY",IF(COUNTIFS('51_版本配置事实'!$B$6:$B$127,"PC-N90-ROOF-CAND",'51_版本配置事实'!$C$6:$C$127,$A27,'51_版本配置事实'!$I$6:$I$127,"NOT_DISCLOSED")&gt;0,"NOT_DISCLOSED","NOT_DISCLOSED")))))))</x:f>
        <x:v>NOT_DISCLOSED</x:v>
      </x:c>
      <x:c r="J27" s="369" t="str">
        <x:f>IF(COUNTIFS('51_版本配置事实'!$B$6:$B$127,"PC-N90-ROOF-CAND",'51_版本配置事实'!$C$6:$C$127,$A27,'51_版本配置事实'!$J$6:$J$127,"STANDARD_CURRENT")&gt;0,"STANDARD_CURRENT","NOT_EVIDENCED")</x:f>
        <x:v>NOT_EVIDENCED</x:v>
      </x:c>
      <x:c r="K27" s="369" t="str">
        <x:f>IF(AND(E27=G27,E27&lt;&gt;"NOT_DISCLOSED",E27&lt;&gt;"CONFLICTED"),IF(COUNTIFS('50_发布会逐项主张'!$H$6:$H$137,$A27,'50_发布会逐项主张'!$O$6:$O$137,"ALL_PENGCHENG")&gt;0,"EXPLICIT_COMMON_ANNOUNCED_MAX","MATCHED_NOT_PROVED_COMMON"),"NOT_PROVED_COMMON")</x:f>
        <x:v>MATCHED_NOT_PROVED_COMMON</x:v>
      </x:c>
      <x:c r="L27" s="369" t="str">
        <x:f>IF(OR(C27="NOT_DISCLOSED",E27="NOT_DISCLOSED",C27="CONFLICTED",E27="CONFLICTED"),"UNRESOLVED",IF(C27=E27,"NO_CHANGE",IF(AND(C27="STANDARD_AT_RELEASE",E27="OPTIONAL_AT_RELEASE"),"STANDARD_TO_OPTIONAL",IF(AND(C27="OPTIONAL_AT_RELEASE",E27="STANDARD_AT_RELEASE"),"OPTIONAL_TO_STANDARD",IF(E27="STANDARD_AT_RELEASE","ADDED_STANDARD","REVIEW_CHANGE")))))</x:f>
        <x:v>UNRESOLVED</x:v>
      </x:c>
      <x:c r="M27" s="369" t="str">
        <x:f>IF(OR(E27="NOT_DISCLOSED",G27="NOT_DISCLOSED",E27="CONFLICTED",G27="CONFLICTED"),"UNRESOLVED",IF(E27=G27,"NO_CHANGE",IF(AND(E27="STANDARD_AT_RELEASE",G27="OPTIONAL_AT_RELEASE"),"STANDARD_TO_OPTIONAL",IF(AND(E27="OPTIONAL_AT_RELEASE",G27="STANDARD_AT_RELEASE"),"OPTIONAL_TO_STANDARD",IF(G27="STANDARD_AT_RELEASE","ADDED_STANDARD","REVIEW_CHANGE")))))</x:f>
        <x:v>NO_CHANGE</x:v>
      </x:c>
      <x:c r="N27" s="369" t="str">
        <x:f>IF(OR(G27="NOT_DISCLOSED",I27="NOT_DISCLOSED",G27="CONFLICTED",I27="CONFLICTED"),"UNRESOLVED",IF(G27=I27,"NO_CHANGE",IF(AND(G27="STANDARD_AT_RELEASE",I27="OPTIONAL_AT_RELEASE"),"STANDARD_TO_OPTIONAL",IF(AND(G27="OPTIONAL_AT_RELEASE",I27="STANDARD_AT_RELEASE"),"OPTIONAL_TO_STANDARD",IF(I27="STANDARD_AT_RELEASE","ADDED_STANDARD","REVIEW_CHANGE")))))</x:f>
        <x:v>UNRESOLVED</x:v>
      </x:c>
      <x:c r="O27" s="369" t="str">
        <x:v>ENERGY_SYSTEM</x:v>
      </x:c>
      <x:c r="P27" s="369" t="str">
        <x:v>DC_ENERGY_SYSTEM</x:v>
      </x:c>
      <x:c r="Q27" s="369" t="n">
        <x:f>COUNTIF('50_发布会逐项主张'!$H$6:$H$137,A27)</x:f>
        <x:v>2</x:v>
      </x:c>
      <x:c r="R27" s="369" t="str">
        <x:f>IF(COUNTIFS('50_发布会逐项主张'!$H$6:$H$137,A27,'50_发布会逐项主张'!$X$6:$X$137,"&lt;&gt;NONE")&gt;0,"CONFLICTED","NONE")</x:f>
        <x:v>NONE</x:v>
      </x:c>
    </x:row>
    <x:row r="28" ht="48" customHeight="1">
      <x:c r="A28" s="19" t="str">
        <x:v>collision_sensor_count</x:v>
      </x:c>
      <x:c r="B28" s="19" t="str">
        <x:v>SAFETY</x:v>
      </x:c>
      <x:c r="C28" s="19" t="str">
        <x:f>IF(COUNTIFS('51_版本配置事实'!$B$6:$B$127,"PC-N70-BASE-CAND",'51_版本配置事实'!$C$6:$C$127,$A28,'51_版本配置事实'!$T$6:$T$127,"&lt;&gt;NONE")&gt;0,"CONFLICTED",IF(COUNTIFS('51_版本配置事实'!$B$6:$B$127,"PC-N70-BASE-CAND",'51_版本配置事实'!$C$6:$C$127,$A28,'51_版本配置事实'!$I$6:$I$127,"STANDARD_AT_RELEASE")&gt;0,"STANDARD_AT_RELEASE",IF(COUNTIFS('51_版本配置事实'!$B$6:$B$127,"PC-N70-BASE-CAND",'51_版本配置事实'!$C$6:$C$127,$A28,'51_版本配置事实'!$I$6:$I$127,"OPTIONAL_AT_RELEASE")&gt;0,"OPTIONAL_AT_RELEASE",IF(COUNTIFS('51_版本配置事实'!$B$6:$B$127,"PC-N70-BASE-CAND",'51_版本配置事实'!$C$6:$C$127,$A28,'51_版本配置事实'!$I$6:$I$127,"SEPARATE_PURCHASE")&gt;0,"SEPARATE_PURCHASE",IF(COUNTIFS('51_版本配置事实'!$B$6:$B$127,"PC-N70-BASE-CAND",'51_版本配置事实'!$C$6:$C$127,$A28,'51_版本配置事实'!$I$6:$I$127,"EQUIPPED_STANDARD_UNCONFIRMED")&gt;0,"EQUIPPED_STANDARD_UNCONFIRMED",IF(COUNTIFS('51_版本配置事实'!$B$6:$B$127,"PC-N70-BASE-CAND",'51_版本配置事实'!$C$6:$C$127,$A28,'51_版本配置事实'!$I$6:$I$127,"SERIES_CAPABILITY")&gt;0,"SERIES_CAPABILITY",IF(COUNTIFS('51_版本配置事实'!$B$6:$B$127,"PC-N70-BASE-CAND",'51_版本配置事实'!$C$6:$C$127,$A28,'51_版本配置事实'!$I$6:$I$127,"NOT_DISCLOSED")&gt;0,"NOT_DISCLOSED","NOT_DISCLOSED")))))))</x:f>
        <x:v>NOT_DISCLOSED</x:v>
      </x:c>
      <x:c r="D28" s="19" t="str">
        <x:f>IF(COUNTIFS('51_版本配置事实'!$B$6:$B$127,"PC-N70-BASE-CAND",'51_版本配置事实'!$C$6:$C$127,$A28,'51_版本配置事实'!$J$6:$J$127,"STANDARD_CURRENT")&gt;0,"STANDARD_CURRENT","NOT_EVIDENCED")</x:f>
        <x:v>NOT_EVIDENCED</x:v>
      </x:c>
      <x:c r="E28" s="19" t="str">
        <x:f>IF(COUNTIFS('51_版本配置事实'!$B$6:$B$127,"PC-N70-MAX-CAND",'51_版本配置事实'!$C$6:$C$127,$A28,'51_版本配置事实'!$T$6:$T$127,"&lt;&gt;NONE")&gt;0,"CONFLICTED",IF(COUNTIFS('51_版本配置事实'!$B$6:$B$127,"PC-N70-MAX-CAND",'51_版本配置事实'!$C$6:$C$127,$A28,'51_版本配置事实'!$I$6:$I$127,"STANDARD_AT_RELEASE")&gt;0,"STANDARD_AT_RELEASE",IF(COUNTIFS('51_版本配置事实'!$B$6:$B$127,"PC-N70-MAX-CAND",'51_版本配置事实'!$C$6:$C$127,$A28,'51_版本配置事实'!$I$6:$I$127,"OPTIONAL_AT_RELEASE")&gt;0,"OPTIONAL_AT_RELEASE",IF(COUNTIFS('51_版本配置事实'!$B$6:$B$127,"PC-N70-MAX-CAND",'51_版本配置事实'!$C$6:$C$127,$A28,'51_版本配置事实'!$I$6:$I$127,"SEPARATE_PURCHASE")&gt;0,"SEPARATE_PURCHASE",IF(COUNTIFS('51_版本配置事实'!$B$6:$B$127,"PC-N70-MAX-CAND",'51_版本配置事实'!$C$6:$C$127,$A28,'51_版本配置事实'!$I$6:$I$127,"EQUIPPED_STANDARD_UNCONFIRMED")&gt;0,"EQUIPPED_STANDARD_UNCONFIRMED",IF(COUNTIFS('51_版本配置事实'!$B$6:$B$127,"PC-N70-MAX-CAND",'51_版本配置事实'!$C$6:$C$127,$A28,'51_版本配置事实'!$I$6:$I$127,"SERIES_CAPABILITY")&gt;0,"SERIES_CAPABILITY",IF(COUNTIFS('51_版本配置事实'!$B$6:$B$127,"PC-N70-MAX-CAND",'51_版本配置事实'!$C$6:$C$127,$A28,'51_版本配置事实'!$I$6:$I$127,"NOT_DISCLOSED")&gt;0,"NOT_DISCLOSED","NOT_DISCLOSED")))))))</x:f>
        <x:v>NOT_DISCLOSED</x:v>
      </x:c>
      <x:c r="F28" s="19" t="str">
        <x:f>IF(COUNTIFS('51_版本配置事实'!$B$6:$B$127,"PC-N70-MAX-CAND",'51_版本配置事实'!$C$6:$C$127,$A28,'51_版本配置事实'!$J$6:$J$127,"STANDARD_CURRENT")&gt;0,"STANDARD_CURRENT","NOT_EVIDENCED")</x:f>
        <x:v>NOT_EVIDENCED</x:v>
      </x:c>
      <x:c r="G28" s="19" t="str">
        <x:f>IF(COUNTIFS('51_版本配置事实'!$B$6:$B$127,"PC-N90-MAX-CAND",'51_版本配置事实'!$C$6:$C$127,$A28,'51_版本配置事实'!$T$6:$T$127,"&lt;&gt;NONE")&gt;0,"CONFLICTED",IF(COUNTIFS('51_版本配置事实'!$B$6:$B$127,"PC-N90-MAX-CAND",'51_版本配置事实'!$C$6:$C$127,$A28,'51_版本配置事实'!$I$6:$I$127,"STANDARD_AT_RELEASE")&gt;0,"STANDARD_AT_RELEASE",IF(COUNTIFS('51_版本配置事实'!$B$6:$B$127,"PC-N90-MAX-CAND",'51_版本配置事实'!$C$6:$C$127,$A28,'51_版本配置事实'!$I$6:$I$127,"OPTIONAL_AT_RELEASE")&gt;0,"OPTIONAL_AT_RELEASE",IF(COUNTIFS('51_版本配置事实'!$B$6:$B$127,"PC-N90-MAX-CAND",'51_版本配置事实'!$C$6:$C$127,$A28,'51_版本配置事实'!$I$6:$I$127,"SEPARATE_PURCHASE")&gt;0,"SEPARATE_PURCHASE",IF(COUNTIFS('51_版本配置事实'!$B$6:$B$127,"PC-N90-MAX-CAND",'51_版本配置事实'!$C$6:$C$127,$A28,'51_版本配置事实'!$I$6:$I$127,"EQUIPPED_STANDARD_UNCONFIRMED")&gt;0,"EQUIPPED_STANDARD_UNCONFIRMED",IF(COUNTIFS('51_版本配置事实'!$B$6:$B$127,"PC-N90-MAX-CAND",'51_版本配置事实'!$C$6:$C$127,$A28,'51_版本配置事实'!$I$6:$I$127,"SERIES_CAPABILITY")&gt;0,"SERIES_CAPABILITY",IF(COUNTIFS('51_版本配置事实'!$B$6:$B$127,"PC-N90-MAX-CAND",'51_版本配置事实'!$C$6:$C$127,$A28,'51_版本配置事实'!$I$6:$I$127,"NOT_DISCLOSED")&gt;0,"NOT_DISCLOSED","NOT_DISCLOSED")))))))</x:f>
        <x:v>EQUIPPED_STANDARD_UNCONFIRMED</x:v>
      </x:c>
      <x:c r="H28" s="19" t="str">
        <x:f>IF(COUNTIFS('51_版本配置事实'!$B$6:$B$127,"PC-N90-MAX-CAND",'51_版本配置事实'!$C$6:$C$127,$A28,'51_版本配置事实'!$J$6:$J$127,"STANDARD_CURRENT")&gt;0,"STANDARD_CURRENT","NOT_EVIDENCED")</x:f>
        <x:v>NOT_EVIDENCED</x:v>
      </x:c>
      <x:c r="I28" s="19" t="str">
        <x:f>IF(COUNTIFS('51_版本配置事实'!$B$6:$B$127,"PC-N90-ROOF-CAND",'51_版本配置事实'!$C$6:$C$127,$A28,'51_版本配置事实'!$T$6:$T$127,"&lt;&gt;NONE")&gt;0,"CONFLICTED",IF(COUNTIFS('51_版本配置事实'!$B$6:$B$127,"PC-N90-ROOF-CAND",'51_版本配置事实'!$C$6:$C$127,$A28,'51_版本配置事实'!$I$6:$I$127,"STANDARD_AT_RELEASE")&gt;0,"STANDARD_AT_RELEASE",IF(COUNTIFS('51_版本配置事实'!$B$6:$B$127,"PC-N90-ROOF-CAND",'51_版本配置事实'!$C$6:$C$127,$A28,'51_版本配置事实'!$I$6:$I$127,"OPTIONAL_AT_RELEASE")&gt;0,"OPTIONAL_AT_RELEASE",IF(COUNTIFS('51_版本配置事实'!$B$6:$B$127,"PC-N90-ROOF-CAND",'51_版本配置事实'!$C$6:$C$127,$A28,'51_版本配置事实'!$I$6:$I$127,"SEPARATE_PURCHASE")&gt;0,"SEPARATE_PURCHASE",IF(COUNTIFS('51_版本配置事实'!$B$6:$B$127,"PC-N90-ROOF-CAND",'51_版本配置事实'!$C$6:$C$127,$A28,'51_版本配置事实'!$I$6:$I$127,"EQUIPPED_STANDARD_UNCONFIRMED")&gt;0,"EQUIPPED_STANDARD_UNCONFIRMED",IF(COUNTIFS('51_版本配置事实'!$B$6:$B$127,"PC-N90-ROOF-CAND",'51_版本配置事实'!$C$6:$C$127,$A28,'51_版本配置事实'!$I$6:$I$127,"SERIES_CAPABILITY")&gt;0,"SERIES_CAPABILITY",IF(COUNTIFS('51_版本配置事实'!$B$6:$B$127,"PC-N90-ROOF-CAND",'51_版本配置事实'!$C$6:$C$127,$A28,'51_版本配置事实'!$I$6:$I$127,"NOT_DISCLOSED")&gt;0,"NOT_DISCLOSED","NOT_DISCLOSED")))))))</x:f>
        <x:v>NOT_DISCLOSED</x:v>
      </x:c>
      <x:c r="J28" s="19" t="str">
        <x:f>IF(COUNTIFS('51_版本配置事实'!$B$6:$B$127,"PC-N90-ROOF-CAND",'51_版本配置事实'!$C$6:$C$127,$A28,'51_版本配置事实'!$J$6:$J$127,"STANDARD_CURRENT")&gt;0,"STANDARD_CURRENT","NOT_EVIDENCED")</x:f>
        <x:v>NOT_EVIDENCED</x:v>
      </x:c>
      <x:c r="K28" s="19" t="str">
        <x:f>IF(AND(E28=G28,E28&lt;&gt;"NOT_DISCLOSED",E28&lt;&gt;"CONFLICTED"),IF(COUNTIFS('50_发布会逐项主张'!$H$6:$H$137,$A28,'50_发布会逐项主张'!$O$6:$O$137,"ALL_PENGCHENG")&gt;0,"EXPLICIT_COMMON_ANNOUNCED_MAX","MATCHED_NOT_PROVED_COMMON"),"NOT_PROVED_COMMON")</x:f>
        <x:v>NOT_PROVED_COMMON</x:v>
      </x:c>
      <x:c r="L28" s="19" t="str">
        <x:f>IF(OR(C28="NOT_DISCLOSED",E28="NOT_DISCLOSED",C28="CONFLICTED",E28="CONFLICTED"),"UNRESOLVED",IF(C28=E28,"NO_CHANGE",IF(AND(C28="STANDARD_AT_RELEASE",E28="OPTIONAL_AT_RELEASE"),"STANDARD_TO_OPTIONAL",IF(AND(C28="OPTIONAL_AT_RELEASE",E28="STANDARD_AT_RELEASE"),"OPTIONAL_TO_STANDARD",IF(E28="STANDARD_AT_RELEASE","ADDED_STANDARD","REVIEW_CHANGE")))))</x:f>
        <x:v>UNRESOLVED</x:v>
      </x:c>
      <x:c r="M28" s="19" t="str">
        <x:f>IF(OR(E28="NOT_DISCLOSED",G28="NOT_DISCLOSED",E28="CONFLICTED",G28="CONFLICTED"),"UNRESOLVED",IF(E28=G28,"NO_CHANGE",IF(AND(E28="STANDARD_AT_RELEASE",G28="OPTIONAL_AT_RELEASE"),"STANDARD_TO_OPTIONAL",IF(AND(E28="OPTIONAL_AT_RELEASE",G28="STANDARD_AT_RELEASE"),"OPTIONAL_TO_STANDARD",IF(G28="STANDARD_AT_RELEASE","ADDED_STANDARD","REVIEW_CHANGE")))))</x:f>
        <x:v>UNRESOLVED</x:v>
      </x:c>
      <x:c r="N28" s="19" t="str">
        <x:f>IF(OR(G28="NOT_DISCLOSED",I28="NOT_DISCLOSED",G28="CONFLICTED",I28="CONFLICTED"),"UNRESOLVED",IF(G28=I28,"NO_CHANGE",IF(AND(G28="STANDARD_AT_RELEASE",I28="OPTIONAL_AT_RELEASE"),"STANDARD_TO_OPTIONAL",IF(AND(G28="OPTIONAL_AT_RELEASE",I28="STANDARD_AT_RELEASE"),"OPTIONAL_TO_STANDARD",IF(I28="STANDARD_AT_RELEASE","ADDED_STANDARD","REVIEW_CHANGE")))))</x:f>
        <x:v>UNRESOLVED</x:v>
      </x:c>
      <x:c r="O28" s="19" t="str">
        <x:v>OTHER</x:v>
      </x:c>
      <x:c r="P28" s="19" t="str">
        <x:v>DC_SAFETY_collision_sensor_count</x:v>
      </x:c>
      <x:c r="Q28" s="19" t="n">
        <x:f>COUNTIF('50_发布会逐项主张'!$H$6:$H$137,A28)</x:f>
        <x:v>1</x:v>
      </x:c>
      <x:c r="R28" s="19" t="str">
        <x:f>IF(COUNTIFS('50_发布会逐项主张'!$H$6:$H$137,A28,'50_发布会逐项主张'!$X$6:$X$137,"&lt;&gt;NONE")&gt;0,"CONFLICTED","NONE")</x:f>
        <x:v>NONE</x:v>
      </x:c>
    </x:row>
    <x:row r="29" ht="48" customHeight="1">
      <x:c r="A29" s="369" t="str">
        <x:v>connectivity</x:v>
      </x:c>
      <x:c r="B29" s="369" t="str">
        <x:v>ELECTRONICS</x:v>
      </x:c>
      <x:c r="C29" s="369" t="str">
        <x:f>IF(COUNTIFS('51_版本配置事实'!$B$6:$B$127,"PC-N70-BASE-CAND",'51_版本配置事实'!$C$6:$C$127,$A29,'51_版本配置事实'!$T$6:$T$127,"&lt;&gt;NONE")&gt;0,"CONFLICTED",IF(COUNTIFS('51_版本配置事实'!$B$6:$B$127,"PC-N70-BASE-CAND",'51_版本配置事实'!$C$6:$C$127,$A29,'51_版本配置事实'!$I$6:$I$127,"STANDARD_AT_RELEASE")&gt;0,"STANDARD_AT_RELEASE",IF(COUNTIFS('51_版本配置事实'!$B$6:$B$127,"PC-N70-BASE-CAND",'51_版本配置事实'!$C$6:$C$127,$A29,'51_版本配置事实'!$I$6:$I$127,"OPTIONAL_AT_RELEASE")&gt;0,"OPTIONAL_AT_RELEASE",IF(COUNTIFS('51_版本配置事实'!$B$6:$B$127,"PC-N70-BASE-CAND",'51_版本配置事实'!$C$6:$C$127,$A29,'51_版本配置事实'!$I$6:$I$127,"SEPARATE_PURCHASE")&gt;0,"SEPARATE_PURCHASE",IF(COUNTIFS('51_版本配置事实'!$B$6:$B$127,"PC-N70-BASE-CAND",'51_版本配置事实'!$C$6:$C$127,$A29,'51_版本配置事实'!$I$6:$I$127,"EQUIPPED_STANDARD_UNCONFIRMED")&gt;0,"EQUIPPED_STANDARD_UNCONFIRMED",IF(COUNTIFS('51_版本配置事实'!$B$6:$B$127,"PC-N70-BASE-CAND",'51_版本配置事实'!$C$6:$C$127,$A29,'51_版本配置事实'!$I$6:$I$127,"SERIES_CAPABILITY")&gt;0,"SERIES_CAPABILITY",IF(COUNTIFS('51_版本配置事实'!$B$6:$B$127,"PC-N70-BASE-CAND",'51_版本配置事实'!$C$6:$C$127,$A29,'51_版本配置事实'!$I$6:$I$127,"NOT_DISCLOSED")&gt;0,"NOT_DISCLOSED","NOT_DISCLOSED")))))))</x:f>
        <x:v>NOT_DISCLOSED</x:v>
      </x:c>
      <x:c r="D29" s="369" t="str">
        <x:f>IF(COUNTIFS('51_版本配置事实'!$B$6:$B$127,"PC-N70-BASE-CAND",'51_版本配置事实'!$C$6:$C$127,$A29,'51_版本配置事实'!$J$6:$J$127,"STANDARD_CURRENT")&gt;0,"STANDARD_CURRENT","NOT_EVIDENCED")</x:f>
        <x:v>NOT_EVIDENCED</x:v>
      </x:c>
      <x:c r="E29" s="369" t="str">
        <x:f>IF(COUNTIFS('51_版本配置事实'!$B$6:$B$127,"PC-N70-MAX-CAND",'51_版本配置事实'!$C$6:$C$127,$A29,'51_版本配置事实'!$T$6:$T$127,"&lt;&gt;NONE")&gt;0,"CONFLICTED",IF(COUNTIFS('51_版本配置事实'!$B$6:$B$127,"PC-N70-MAX-CAND",'51_版本配置事实'!$C$6:$C$127,$A29,'51_版本配置事实'!$I$6:$I$127,"STANDARD_AT_RELEASE")&gt;0,"STANDARD_AT_RELEASE",IF(COUNTIFS('51_版本配置事实'!$B$6:$B$127,"PC-N70-MAX-CAND",'51_版本配置事实'!$C$6:$C$127,$A29,'51_版本配置事实'!$I$6:$I$127,"OPTIONAL_AT_RELEASE")&gt;0,"OPTIONAL_AT_RELEASE",IF(COUNTIFS('51_版本配置事实'!$B$6:$B$127,"PC-N70-MAX-CAND",'51_版本配置事实'!$C$6:$C$127,$A29,'51_版本配置事实'!$I$6:$I$127,"SEPARATE_PURCHASE")&gt;0,"SEPARATE_PURCHASE",IF(COUNTIFS('51_版本配置事实'!$B$6:$B$127,"PC-N70-MAX-CAND",'51_版本配置事实'!$C$6:$C$127,$A29,'51_版本配置事实'!$I$6:$I$127,"EQUIPPED_STANDARD_UNCONFIRMED")&gt;0,"EQUIPPED_STANDARD_UNCONFIRMED",IF(COUNTIFS('51_版本配置事实'!$B$6:$B$127,"PC-N70-MAX-CAND",'51_版本配置事实'!$C$6:$C$127,$A29,'51_版本配置事实'!$I$6:$I$127,"SERIES_CAPABILITY")&gt;0,"SERIES_CAPABILITY",IF(COUNTIFS('51_版本配置事实'!$B$6:$B$127,"PC-N70-MAX-CAND",'51_版本配置事实'!$C$6:$C$127,$A29,'51_版本配置事实'!$I$6:$I$127,"NOT_DISCLOSED")&gt;0,"NOT_DISCLOSED","NOT_DISCLOSED")))))))</x:f>
        <x:v>NOT_DISCLOSED</x:v>
      </x:c>
      <x:c r="F29" s="369" t="str">
        <x:f>IF(COUNTIFS('51_版本配置事实'!$B$6:$B$127,"PC-N70-MAX-CAND",'51_版本配置事实'!$C$6:$C$127,$A29,'51_版本配置事实'!$J$6:$J$127,"STANDARD_CURRENT")&gt;0,"STANDARD_CURRENT","NOT_EVIDENCED")</x:f>
        <x:v>NOT_EVIDENCED</x:v>
      </x:c>
      <x:c r="G29" s="369" t="str">
        <x:f>IF(COUNTIFS('51_版本配置事实'!$B$6:$B$127,"PC-N90-MAX-CAND",'51_版本配置事实'!$C$6:$C$127,$A29,'51_版本配置事实'!$T$6:$T$127,"&lt;&gt;NONE")&gt;0,"CONFLICTED",IF(COUNTIFS('51_版本配置事实'!$B$6:$B$127,"PC-N90-MAX-CAND",'51_版本配置事实'!$C$6:$C$127,$A29,'51_版本配置事实'!$I$6:$I$127,"STANDARD_AT_RELEASE")&gt;0,"STANDARD_AT_RELEASE",IF(COUNTIFS('51_版本配置事实'!$B$6:$B$127,"PC-N90-MAX-CAND",'51_版本配置事实'!$C$6:$C$127,$A29,'51_版本配置事实'!$I$6:$I$127,"OPTIONAL_AT_RELEASE")&gt;0,"OPTIONAL_AT_RELEASE",IF(COUNTIFS('51_版本配置事实'!$B$6:$B$127,"PC-N90-MAX-CAND",'51_版本配置事实'!$C$6:$C$127,$A29,'51_版本配置事实'!$I$6:$I$127,"SEPARATE_PURCHASE")&gt;0,"SEPARATE_PURCHASE",IF(COUNTIFS('51_版本配置事实'!$B$6:$B$127,"PC-N90-MAX-CAND",'51_版本配置事实'!$C$6:$C$127,$A29,'51_版本配置事实'!$I$6:$I$127,"EQUIPPED_STANDARD_UNCONFIRMED")&gt;0,"EQUIPPED_STANDARD_UNCONFIRMED",IF(COUNTIFS('51_版本配置事实'!$B$6:$B$127,"PC-N90-MAX-CAND",'51_版本配置事实'!$C$6:$C$127,$A29,'51_版本配置事实'!$I$6:$I$127,"SERIES_CAPABILITY")&gt;0,"SERIES_CAPABILITY",IF(COUNTIFS('51_版本配置事实'!$B$6:$B$127,"PC-N90-MAX-CAND",'51_版本配置事实'!$C$6:$C$127,$A29,'51_版本配置事实'!$I$6:$I$127,"NOT_DISCLOSED")&gt;0,"NOT_DISCLOSED","NOT_DISCLOSED")))))))</x:f>
        <x:v>STANDARD_AT_RELEASE</x:v>
      </x:c>
      <x:c r="H29" s="369" t="str">
        <x:f>IF(COUNTIFS('51_版本配置事实'!$B$6:$B$127,"PC-N90-MAX-CAND",'51_版本配置事实'!$C$6:$C$127,$A29,'51_版本配置事实'!$J$6:$J$127,"STANDARD_CURRENT")&gt;0,"STANDARD_CURRENT","NOT_EVIDENCED")</x:f>
        <x:v>NOT_EVIDENCED</x:v>
      </x:c>
      <x:c r="I29" s="369" t="str">
        <x:f>IF(COUNTIFS('51_版本配置事实'!$B$6:$B$127,"PC-N90-ROOF-CAND",'51_版本配置事实'!$C$6:$C$127,$A29,'51_版本配置事实'!$T$6:$T$127,"&lt;&gt;NONE")&gt;0,"CONFLICTED",IF(COUNTIFS('51_版本配置事实'!$B$6:$B$127,"PC-N90-ROOF-CAND",'51_版本配置事实'!$C$6:$C$127,$A29,'51_版本配置事实'!$I$6:$I$127,"STANDARD_AT_RELEASE")&gt;0,"STANDARD_AT_RELEASE",IF(COUNTIFS('51_版本配置事实'!$B$6:$B$127,"PC-N90-ROOF-CAND",'51_版本配置事实'!$C$6:$C$127,$A29,'51_版本配置事实'!$I$6:$I$127,"OPTIONAL_AT_RELEASE")&gt;0,"OPTIONAL_AT_RELEASE",IF(COUNTIFS('51_版本配置事实'!$B$6:$B$127,"PC-N90-ROOF-CAND",'51_版本配置事实'!$C$6:$C$127,$A29,'51_版本配置事实'!$I$6:$I$127,"SEPARATE_PURCHASE")&gt;0,"SEPARATE_PURCHASE",IF(COUNTIFS('51_版本配置事实'!$B$6:$B$127,"PC-N90-ROOF-CAND",'51_版本配置事实'!$C$6:$C$127,$A29,'51_版本配置事实'!$I$6:$I$127,"EQUIPPED_STANDARD_UNCONFIRMED")&gt;0,"EQUIPPED_STANDARD_UNCONFIRMED",IF(COUNTIFS('51_版本配置事实'!$B$6:$B$127,"PC-N90-ROOF-CAND",'51_版本配置事实'!$C$6:$C$127,$A29,'51_版本配置事实'!$I$6:$I$127,"SERIES_CAPABILITY")&gt;0,"SERIES_CAPABILITY",IF(COUNTIFS('51_版本配置事实'!$B$6:$B$127,"PC-N90-ROOF-CAND",'51_版本配置事实'!$C$6:$C$127,$A29,'51_版本配置事实'!$I$6:$I$127,"NOT_DISCLOSED")&gt;0,"NOT_DISCLOSED","NOT_DISCLOSED")))))))</x:f>
        <x:v>NOT_DISCLOSED</x:v>
      </x:c>
      <x:c r="J29" s="369" t="str">
        <x:f>IF(COUNTIFS('51_版本配置事实'!$B$6:$B$127,"PC-N90-ROOF-CAND",'51_版本配置事实'!$C$6:$C$127,$A29,'51_版本配置事实'!$J$6:$J$127,"STANDARD_CURRENT")&gt;0,"STANDARD_CURRENT","NOT_EVIDENCED")</x:f>
        <x:v>NOT_EVIDENCED</x:v>
      </x:c>
      <x:c r="K29" s="369" t="str">
        <x:f>IF(AND(E29=G29,E29&lt;&gt;"NOT_DISCLOSED",E29&lt;&gt;"CONFLICTED"),IF(COUNTIFS('50_发布会逐项主张'!$H$6:$H$137,$A29,'50_发布会逐项主张'!$O$6:$O$137,"ALL_PENGCHENG")&gt;0,"EXPLICIT_COMMON_ANNOUNCED_MAX","MATCHED_NOT_PROVED_COMMON"),"NOT_PROVED_COMMON")</x:f>
        <x:v>NOT_PROVED_COMMON</x:v>
      </x:c>
      <x:c r="L29" s="369" t="str">
        <x:f>IF(OR(C29="NOT_DISCLOSED",E29="NOT_DISCLOSED",C29="CONFLICTED",E29="CONFLICTED"),"UNRESOLVED",IF(C29=E29,"NO_CHANGE",IF(AND(C29="STANDARD_AT_RELEASE",E29="OPTIONAL_AT_RELEASE"),"STANDARD_TO_OPTIONAL",IF(AND(C29="OPTIONAL_AT_RELEASE",E29="STANDARD_AT_RELEASE"),"OPTIONAL_TO_STANDARD",IF(E29="STANDARD_AT_RELEASE","ADDED_STANDARD","REVIEW_CHANGE")))))</x:f>
        <x:v>UNRESOLVED</x:v>
      </x:c>
      <x:c r="M29" s="369" t="str">
        <x:f>IF(OR(E29="NOT_DISCLOSED",G29="NOT_DISCLOSED",E29="CONFLICTED",G29="CONFLICTED"),"UNRESOLVED",IF(E29=G29,"NO_CHANGE",IF(AND(E29="STANDARD_AT_RELEASE",G29="OPTIONAL_AT_RELEASE"),"STANDARD_TO_OPTIONAL",IF(AND(E29="OPTIONAL_AT_RELEASE",G29="STANDARD_AT_RELEASE"),"OPTIONAL_TO_STANDARD",IF(G29="STANDARD_AT_RELEASE","ADDED_STANDARD","REVIEW_CHANGE")))))</x:f>
        <x:v>UNRESOLVED</x:v>
      </x:c>
      <x:c r="N29" s="369" t="str">
        <x:f>IF(OR(G29="NOT_DISCLOSED",I29="NOT_DISCLOSED",G29="CONFLICTED",I29="CONFLICTED"),"UNRESOLVED",IF(G29=I29,"NO_CHANGE",IF(AND(G29="STANDARD_AT_RELEASE",I29="OPTIONAL_AT_RELEASE"),"STANDARD_TO_OPTIONAL",IF(AND(G29="OPTIONAL_AT_RELEASE",I29="STANDARD_AT_RELEASE"),"OPTIONAL_TO_STANDARD",IF(I29="STANDARD_AT_RELEASE","ADDED_STANDARD","REVIEW_CHANGE")))))</x:f>
        <x:v>UNRESOLVED</x:v>
      </x:c>
      <x:c r="O29" s="369" t="str">
        <x:v>INTELLIGENCE_EE</x:v>
      </x:c>
      <x:c r="P29" s="369" t="str">
        <x:v>DC_EE_CABIN</x:v>
      </x:c>
      <x:c r="Q29" s="369" t="n">
        <x:f>COUNTIF('50_发布会逐项主张'!$H$6:$H$137,A29)</x:f>
        <x:v>1</x:v>
      </x:c>
      <x:c r="R29" s="369" t="str">
        <x:f>IF(COUNTIFS('50_发布会逐项主张'!$H$6:$H$137,A29,'50_发布会逐项主张'!$X$6:$X$137,"&lt;&gt;NONE")&gt;0,"CONFLICTED","NONE")</x:f>
        <x:v>NONE</x:v>
      </x:c>
    </x:row>
    <x:row r="30" ht="48" customHeight="1">
      <x:c r="A30" s="19" t="str">
        <x:v>curtain_airbag_length</x:v>
      </x:c>
      <x:c r="B30" s="19" t="str">
        <x:v>SAFETY</x:v>
      </x:c>
      <x:c r="C30" s="19" t="str">
        <x:f>IF(COUNTIFS('51_版本配置事实'!$B$6:$B$127,"PC-N70-BASE-CAND",'51_版本配置事实'!$C$6:$C$127,$A30,'51_版本配置事实'!$T$6:$T$127,"&lt;&gt;NONE")&gt;0,"CONFLICTED",IF(COUNTIFS('51_版本配置事实'!$B$6:$B$127,"PC-N70-BASE-CAND",'51_版本配置事实'!$C$6:$C$127,$A30,'51_版本配置事实'!$I$6:$I$127,"STANDARD_AT_RELEASE")&gt;0,"STANDARD_AT_RELEASE",IF(COUNTIFS('51_版本配置事实'!$B$6:$B$127,"PC-N70-BASE-CAND",'51_版本配置事实'!$C$6:$C$127,$A30,'51_版本配置事实'!$I$6:$I$127,"OPTIONAL_AT_RELEASE")&gt;0,"OPTIONAL_AT_RELEASE",IF(COUNTIFS('51_版本配置事实'!$B$6:$B$127,"PC-N70-BASE-CAND",'51_版本配置事实'!$C$6:$C$127,$A30,'51_版本配置事实'!$I$6:$I$127,"SEPARATE_PURCHASE")&gt;0,"SEPARATE_PURCHASE",IF(COUNTIFS('51_版本配置事实'!$B$6:$B$127,"PC-N70-BASE-CAND",'51_版本配置事实'!$C$6:$C$127,$A30,'51_版本配置事实'!$I$6:$I$127,"EQUIPPED_STANDARD_UNCONFIRMED")&gt;0,"EQUIPPED_STANDARD_UNCONFIRMED",IF(COUNTIFS('51_版本配置事实'!$B$6:$B$127,"PC-N70-BASE-CAND",'51_版本配置事实'!$C$6:$C$127,$A30,'51_版本配置事实'!$I$6:$I$127,"SERIES_CAPABILITY")&gt;0,"SERIES_CAPABILITY",IF(COUNTIFS('51_版本配置事实'!$B$6:$B$127,"PC-N70-BASE-CAND",'51_版本配置事实'!$C$6:$C$127,$A30,'51_版本配置事实'!$I$6:$I$127,"NOT_DISCLOSED")&gt;0,"NOT_DISCLOSED","NOT_DISCLOSED")))))))</x:f>
        <x:v>NOT_DISCLOSED</x:v>
      </x:c>
      <x:c r="D30" s="19" t="str">
        <x:f>IF(COUNTIFS('51_版本配置事实'!$B$6:$B$127,"PC-N70-BASE-CAND",'51_版本配置事实'!$C$6:$C$127,$A30,'51_版本配置事实'!$J$6:$J$127,"STANDARD_CURRENT")&gt;0,"STANDARD_CURRENT","NOT_EVIDENCED")</x:f>
        <x:v>NOT_EVIDENCED</x:v>
      </x:c>
      <x:c r="E30" s="19" t="str">
        <x:f>IF(COUNTIFS('51_版本配置事实'!$B$6:$B$127,"PC-N70-MAX-CAND",'51_版本配置事实'!$C$6:$C$127,$A30,'51_版本配置事实'!$T$6:$T$127,"&lt;&gt;NONE")&gt;0,"CONFLICTED",IF(COUNTIFS('51_版本配置事实'!$B$6:$B$127,"PC-N70-MAX-CAND",'51_版本配置事实'!$C$6:$C$127,$A30,'51_版本配置事实'!$I$6:$I$127,"STANDARD_AT_RELEASE")&gt;0,"STANDARD_AT_RELEASE",IF(COUNTIFS('51_版本配置事实'!$B$6:$B$127,"PC-N70-MAX-CAND",'51_版本配置事实'!$C$6:$C$127,$A30,'51_版本配置事实'!$I$6:$I$127,"OPTIONAL_AT_RELEASE")&gt;0,"OPTIONAL_AT_RELEASE",IF(COUNTIFS('51_版本配置事实'!$B$6:$B$127,"PC-N70-MAX-CAND",'51_版本配置事实'!$C$6:$C$127,$A30,'51_版本配置事实'!$I$6:$I$127,"SEPARATE_PURCHASE")&gt;0,"SEPARATE_PURCHASE",IF(COUNTIFS('51_版本配置事实'!$B$6:$B$127,"PC-N70-MAX-CAND",'51_版本配置事实'!$C$6:$C$127,$A30,'51_版本配置事实'!$I$6:$I$127,"EQUIPPED_STANDARD_UNCONFIRMED")&gt;0,"EQUIPPED_STANDARD_UNCONFIRMED",IF(COUNTIFS('51_版本配置事实'!$B$6:$B$127,"PC-N70-MAX-CAND",'51_版本配置事实'!$C$6:$C$127,$A30,'51_版本配置事实'!$I$6:$I$127,"SERIES_CAPABILITY")&gt;0,"SERIES_CAPABILITY",IF(COUNTIFS('51_版本配置事实'!$B$6:$B$127,"PC-N70-MAX-CAND",'51_版本配置事实'!$C$6:$C$127,$A30,'51_版本配置事实'!$I$6:$I$127,"NOT_DISCLOSED")&gt;0,"NOT_DISCLOSED","NOT_DISCLOSED")))))))</x:f>
        <x:v>NOT_DISCLOSED</x:v>
      </x:c>
      <x:c r="F30" s="19" t="str">
        <x:f>IF(COUNTIFS('51_版本配置事实'!$B$6:$B$127,"PC-N70-MAX-CAND",'51_版本配置事实'!$C$6:$C$127,$A30,'51_版本配置事实'!$J$6:$J$127,"STANDARD_CURRENT")&gt;0,"STANDARD_CURRENT","NOT_EVIDENCED")</x:f>
        <x:v>NOT_EVIDENCED</x:v>
      </x:c>
      <x:c r="G30" s="19" t="str">
        <x:f>IF(COUNTIFS('51_版本配置事实'!$B$6:$B$127,"PC-N90-MAX-CAND",'51_版本配置事实'!$C$6:$C$127,$A30,'51_版本配置事实'!$T$6:$T$127,"&lt;&gt;NONE")&gt;0,"CONFLICTED",IF(COUNTIFS('51_版本配置事实'!$B$6:$B$127,"PC-N90-MAX-CAND",'51_版本配置事实'!$C$6:$C$127,$A30,'51_版本配置事实'!$I$6:$I$127,"STANDARD_AT_RELEASE")&gt;0,"STANDARD_AT_RELEASE",IF(COUNTIFS('51_版本配置事实'!$B$6:$B$127,"PC-N90-MAX-CAND",'51_版本配置事实'!$C$6:$C$127,$A30,'51_版本配置事实'!$I$6:$I$127,"OPTIONAL_AT_RELEASE")&gt;0,"OPTIONAL_AT_RELEASE",IF(COUNTIFS('51_版本配置事实'!$B$6:$B$127,"PC-N90-MAX-CAND",'51_版本配置事实'!$C$6:$C$127,$A30,'51_版本配置事实'!$I$6:$I$127,"SEPARATE_PURCHASE")&gt;0,"SEPARATE_PURCHASE",IF(COUNTIFS('51_版本配置事实'!$B$6:$B$127,"PC-N90-MAX-CAND",'51_版本配置事实'!$C$6:$C$127,$A30,'51_版本配置事实'!$I$6:$I$127,"EQUIPPED_STANDARD_UNCONFIRMED")&gt;0,"EQUIPPED_STANDARD_UNCONFIRMED",IF(COUNTIFS('51_版本配置事实'!$B$6:$B$127,"PC-N90-MAX-CAND",'51_版本配置事实'!$C$6:$C$127,$A30,'51_版本配置事实'!$I$6:$I$127,"SERIES_CAPABILITY")&gt;0,"SERIES_CAPABILITY",IF(COUNTIFS('51_版本配置事实'!$B$6:$B$127,"PC-N90-MAX-CAND",'51_版本配置事实'!$C$6:$C$127,$A30,'51_版本配置事实'!$I$6:$I$127,"NOT_DISCLOSED")&gt;0,"NOT_DISCLOSED","NOT_DISCLOSED")))))))</x:f>
        <x:v>EQUIPPED_STANDARD_UNCONFIRMED</x:v>
      </x:c>
      <x:c r="H30" s="19" t="str">
        <x:f>IF(COUNTIFS('51_版本配置事实'!$B$6:$B$127,"PC-N90-MAX-CAND",'51_版本配置事实'!$C$6:$C$127,$A30,'51_版本配置事实'!$J$6:$J$127,"STANDARD_CURRENT")&gt;0,"STANDARD_CURRENT","NOT_EVIDENCED")</x:f>
        <x:v>NOT_EVIDENCED</x:v>
      </x:c>
      <x:c r="I30" s="19" t="str">
        <x:f>IF(COUNTIFS('51_版本配置事实'!$B$6:$B$127,"PC-N90-ROOF-CAND",'51_版本配置事实'!$C$6:$C$127,$A30,'51_版本配置事实'!$T$6:$T$127,"&lt;&gt;NONE")&gt;0,"CONFLICTED",IF(COUNTIFS('51_版本配置事实'!$B$6:$B$127,"PC-N90-ROOF-CAND",'51_版本配置事实'!$C$6:$C$127,$A30,'51_版本配置事实'!$I$6:$I$127,"STANDARD_AT_RELEASE")&gt;0,"STANDARD_AT_RELEASE",IF(COUNTIFS('51_版本配置事实'!$B$6:$B$127,"PC-N90-ROOF-CAND",'51_版本配置事实'!$C$6:$C$127,$A30,'51_版本配置事实'!$I$6:$I$127,"OPTIONAL_AT_RELEASE")&gt;0,"OPTIONAL_AT_RELEASE",IF(COUNTIFS('51_版本配置事实'!$B$6:$B$127,"PC-N90-ROOF-CAND",'51_版本配置事实'!$C$6:$C$127,$A30,'51_版本配置事实'!$I$6:$I$127,"SEPARATE_PURCHASE")&gt;0,"SEPARATE_PURCHASE",IF(COUNTIFS('51_版本配置事实'!$B$6:$B$127,"PC-N90-ROOF-CAND",'51_版本配置事实'!$C$6:$C$127,$A30,'51_版本配置事实'!$I$6:$I$127,"EQUIPPED_STANDARD_UNCONFIRMED")&gt;0,"EQUIPPED_STANDARD_UNCONFIRMED",IF(COUNTIFS('51_版本配置事实'!$B$6:$B$127,"PC-N90-ROOF-CAND",'51_版本配置事实'!$C$6:$C$127,$A30,'51_版本配置事实'!$I$6:$I$127,"SERIES_CAPABILITY")&gt;0,"SERIES_CAPABILITY",IF(COUNTIFS('51_版本配置事实'!$B$6:$B$127,"PC-N90-ROOF-CAND",'51_版本配置事实'!$C$6:$C$127,$A30,'51_版本配置事实'!$I$6:$I$127,"NOT_DISCLOSED")&gt;0,"NOT_DISCLOSED","NOT_DISCLOSED")))))))</x:f>
        <x:v>NOT_DISCLOSED</x:v>
      </x:c>
      <x:c r="J30" s="19" t="str">
        <x:f>IF(COUNTIFS('51_版本配置事实'!$B$6:$B$127,"PC-N90-ROOF-CAND",'51_版本配置事实'!$C$6:$C$127,$A30,'51_版本配置事实'!$J$6:$J$127,"STANDARD_CURRENT")&gt;0,"STANDARD_CURRENT","NOT_EVIDENCED")</x:f>
        <x:v>NOT_EVIDENCED</x:v>
      </x:c>
      <x:c r="K30" s="19" t="str">
        <x:f>IF(AND(E30=G30,E30&lt;&gt;"NOT_DISCLOSED",E30&lt;&gt;"CONFLICTED"),IF(COUNTIFS('50_发布会逐项主张'!$H$6:$H$137,$A30,'50_发布会逐项主张'!$O$6:$O$137,"ALL_PENGCHENG")&gt;0,"EXPLICIT_COMMON_ANNOUNCED_MAX","MATCHED_NOT_PROVED_COMMON"),"NOT_PROVED_COMMON")</x:f>
        <x:v>NOT_PROVED_COMMON</x:v>
      </x:c>
      <x:c r="L30" s="19" t="str">
        <x:f>IF(OR(C30="NOT_DISCLOSED",E30="NOT_DISCLOSED",C30="CONFLICTED",E30="CONFLICTED"),"UNRESOLVED",IF(C30=E30,"NO_CHANGE",IF(AND(C30="STANDARD_AT_RELEASE",E30="OPTIONAL_AT_RELEASE"),"STANDARD_TO_OPTIONAL",IF(AND(C30="OPTIONAL_AT_RELEASE",E30="STANDARD_AT_RELEASE"),"OPTIONAL_TO_STANDARD",IF(E30="STANDARD_AT_RELEASE","ADDED_STANDARD","REVIEW_CHANGE")))))</x:f>
        <x:v>UNRESOLVED</x:v>
      </x:c>
      <x:c r="M30" s="19" t="str">
        <x:f>IF(OR(E30="NOT_DISCLOSED",G30="NOT_DISCLOSED",E30="CONFLICTED",G30="CONFLICTED"),"UNRESOLVED",IF(E30=G30,"NO_CHANGE",IF(AND(E30="STANDARD_AT_RELEASE",G30="OPTIONAL_AT_RELEASE"),"STANDARD_TO_OPTIONAL",IF(AND(E30="OPTIONAL_AT_RELEASE",G30="STANDARD_AT_RELEASE"),"OPTIONAL_TO_STANDARD",IF(G30="STANDARD_AT_RELEASE","ADDED_STANDARD","REVIEW_CHANGE")))))</x:f>
        <x:v>UNRESOLVED</x:v>
      </x:c>
      <x:c r="N30" s="19" t="str">
        <x:f>IF(OR(G30="NOT_DISCLOSED",I30="NOT_DISCLOSED",G30="CONFLICTED",I30="CONFLICTED"),"UNRESOLVED",IF(G30=I30,"NO_CHANGE",IF(AND(G30="STANDARD_AT_RELEASE",I30="OPTIONAL_AT_RELEASE"),"STANDARD_TO_OPTIONAL",IF(AND(G30="OPTIONAL_AT_RELEASE",I30="STANDARD_AT_RELEASE"),"OPTIONAL_TO_STANDARD",IF(I30="STANDARD_AT_RELEASE","ADDED_STANDARD","REVIEW_CHANGE")))))</x:f>
        <x:v>UNRESOLVED</x:v>
      </x:c>
      <x:c r="O30" s="19" t="str">
        <x:v>OTHER</x:v>
      </x:c>
      <x:c r="P30" s="19" t="str">
        <x:v>DC_SAFETY_curtain_airbag_length</x:v>
      </x:c>
      <x:c r="Q30" s="19" t="n">
        <x:f>COUNTIF('50_发布会逐项主张'!$H$6:$H$137,A30)</x:f>
        <x:v>1</x:v>
      </x:c>
      <x:c r="R30" s="19" t="str">
        <x:f>IF(COUNTIFS('50_发布会逐项主张'!$H$6:$H$137,A30,'50_发布会逐项主张'!$X$6:$X$137,"&lt;&gt;NONE")&gt;0,"CONFLICTED","NONE")</x:f>
        <x:v>NONE</x:v>
      </x:c>
    </x:row>
    <x:row r="31" ht="48" customHeight="1">
      <x:c r="A31" s="369" t="str">
        <x:v>domain_controller_4in1</x:v>
      </x:c>
      <x:c r="B31" s="369" t="str">
        <x:v>ELECTRONICS</x:v>
      </x:c>
      <x:c r="C31" s="369" t="str">
        <x:f>IF(COUNTIFS('51_版本配置事实'!$B$6:$B$127,"PC-N70-BASE-CAND",'51_版本配置事实'!$C$6:$C$127,$A31,'51_版本配置事实'!$T$6:$T$127,"&lt;&gt;NONE")&gt;0,"CONFLICTED",IF(COUNTIFS('51_版本配置事实'!$B$6:$B$127,"PC-N70-BASE-CAND",'51_版本配置事实'!$C$6:$C$127,$A31,'51_版本配置事实'!$I$6:$I$127,"STANDARD_AT_RELEASE")&gt;0,"STANDARD_AT_RELEASE",IF(COUNTIFS('51_版本配置事实'!$B$6:$B$127,"PC-N70-BASE-CAND",'51_版本配置事实'!$C$6:$C$127,$A31,'51_版本配置事实'!$I$6:$I$127,"OPTIONAL_AT_RELEASE")&gt;0,"OPTIONAL_AT_RELEASE",IF(COUNTIFS('51_版本配置事实'!$B$6:$B$127,"PC-N70-BASE-CAND",'51_版本配置事实'!$C$6:$C$127,$A31,'51_版本配置事实'!$I$6:$I$127,"SEPARATE_PURCHASE")&gt;0,"SEPARATE_PURCHASE",IF(COUNTIFS('51_版本配置事实'!$B$6:$B$127,"PC-N70-BASE-CAND",'51_版本配置事实'!$C$6:$C$127,$A31,'51_版本配置事实'!$I$6:$I$127,"EQUIPPED_STANDARD_UNCONFIRMED")&gt;0,"EQUIPPED_STANDARD_UNCONFIRMED",IF(COUNTIFS('51_版本配置事实'!$B$6:$B$127,"PC-N70-BASE-CAND",'51_版本配置事实'!$C$6:$C$127,$A31,'51_版本配置事实'!$I$6:$I$127,"SERIES_CAPABILITY")&gt;0,"SERIES_CAPABILITY",IF(COUNTIFS('51_版本配置事实'!$B$6:$B$127,"PC-N70-BASE-CAND",'51_版本配置事实'!$C$6:$C$127,$A31,'51_版本配置事实'!$I$6:$I$127,"NOT_DISCLOSED")&gt;0,"NOT_DISCLOSED","NOT_DISCLOSED")))))))</x:f>
        <x:v>NOT_DISCLOSED</x:v>
      </x:c>
      <x:c r="D31" s="369" t="str">
        <x:f>IF(COUNTIFS('51_版本配置事实'!$B$6:$B$127,"PC-N70-BASE-CAND",'51_版本配置事实'!$C$6:$C$127,$A31,'51_版本配置事实'!$J$6:$J$127,"STANDARD_CURRENT")&gt;0,"STANDARD_CURRENT","NOT_EVIDENCED")</x:f>
        <x:v>NOT_EVIDENCED</x:v>
      </x:c>
      <x:c r="E31" s="369" t="str">
        <x:f>IF(COUNTIFS('51_版本配置事实'!$B$6:$B$127,"PC-N70-MAX-CAND",'51_版本配置事实'!$C$6:$C$127,$A31,'51_版本配置事实'!$T$6:$T$127,"&lt;&gt;NONE")&gt;0,"CONFLICTED",IF(COUNTIFS('51_版本配置事实'!$B$6:$B$127,"PC-N70-MAX-CAND",'51_版本配置事实'!$C$6:$C$127,$A31,'51_版本配置事实'!$I$6:$I$127,"STANDARD_AT_RELEASE")&gt;0,"STANDARD_AT_RELEASE",IF(COUNTIFS('51_版本配置事实'!$B$6:$B$127,"PC-N70-MAX-CAND",'51_版本配置事实'!$C$6:$C$127,$A31,'51_版本配置事实'!$I$6:$I$127,"OPTIONAL_AT_RELEASE")&gt;0,"OPTIONAL_AT_RELEASE",IF(COUNTIFS('51_版本配置事实'!$B$6:$B$127,"PC-N70-MAX-CAND",'51_版本配置事实'!$C$6:$C$127,$A31,'51_版本配置事实'!$I$6:$I$127,"SEPARATE_PURCHASE")&gt;0,"SEPARATE_PURCHASE",IF(COUNTIFS('51_版本配置事实'!$B$6:$B$127,"PC-N70-MAX-CAND",'51_版本配置事实'!$C$6:$C$127,$A31,'51_版本配置事实'!$I$6:$I$127,"EQUIPPED_STANDARD_UNCONFIRMED")&gt;0,"EQUIPPED_STANDARD_UNCONFIRMED",IF(COUNTIFS('51_版本配置事实'!$B$6:$B$127,"PC-N70-MAX-CAND",'51_版本配置事实'!$C$6:$C$127,$A31,'51_版本配置事实'!$I$6:$I$127,"SERIES_CAPABILITY")&gt;0,"SERIES_CAPABILITY",IF(COUNTIFS('51_版本配置事实'!$B$6:$B$127,"PC-N70-MAX-CAND",'51_版本配置事实'!$C$6:$C$127,$A31,'51_版本配置事实'!$I$6:$I$127,"NOT_DISCLOSED")&gt;0,"NOT_DISCLOSED","NOT_DISCLOSED")))))))</x:f>
        <x:v>NOT_DISCLOSED</x:v>
      </x:c>
      <x:c r="F31" s="369" t="str">
        <x:f>IF(COUNTIFS('51_版本配置事实'!$B$6:$B$127,"PC-N70-MAX-CAND",'51_版本配置事实'!$C$6:$C$127,$A31,'51_版本配置事实'!$J$6:$J$127,"STANDARD_CURRENT")&gt;0,"STANDARD_CURRENT","NOT_EVIDENCED")</x:f>
        <x:v>NOT_EVIDENCED</x:v>
      </x:c>
      <x:c r="G31" s="369" t="str">
        <x:f>IF(COUNTIFS('51_版本配置事实'!$B$6:$B$127,"PC-N90-MAX-CAND",'51_版本配置事实'!$C$6:$C$127,$A31,'51_版本配置事实'!$T$6:$T$127,"&lt;&gt;NONE")&gt;0,"CONFLICTED",IF(COUNTIFS('51_版本配置事实'!$B$6:$B$127,"PC-N90-MAX-CAND",'51_版本配置事实'!$C$6:$C$127,$A31,'51_版本配置事实'!$I$6:$I$127,"STANDARD_AT_RELEASE")&gt;0,"STANDARD_AT_RELEASE",IF(COUNTIFS('51_版本配置事实'!$B$6:$B$127,"PC-N90-MAX-CAND",'51_版本配置事实'!$C$6:$C$127,$A31,'51_版本配置事实'!$I$6:$I$127,"OPTIONAL_AT_RELEASE")&gt;0,"OPTIONAL_AT_RELEASE",IF(COUNTIFS('51_版本配置事实'!$B$6:$B$127,"PC-N90-MAX-CAND",'51_版本配置事实'!$C$6:$C$127,$A31,'51_版本配置事实'!$I$6:$I$127,"SEPARATE_PURCHASE")&gt;0,"SEPARATE_PURCHASE",IF(COUNTIFS('51_版本配置事实'!$B$6:$B$127,"PC-N90-MAX-CAND",'51_版本配置事实'!$C$6:$C$127,$A31,'51_版本配置事实'!$I$6:$I$127,"EQUIPPED_STANDARD_UNCONFIRMED")&gt;0,"EQUIPPED_STANDARD_UNCONFIRMED",IF(COUNTIFS('51_版本配置事实'!$B$6:$B$127,"PC-N90-MAX-CAND",'51_版本配置事实'!$C$6:$C$127,$A31,'51_版本配置事实'!$I$6:$I$127,"SERIES_CAPABILITY")&gt;0,"SERIES_CAPABILITY",IF(COUNTIFS('51_版本配置事实'!$B$6:$B$127,"PC-N90-MAX-CAND",'51_版本配置事实'!$C$6:$C$127,$A31,'51_版本配置事实'!$I$6:$I$127,"NOT_DISCLOSED")&gt;0,"NOT_DISCLOSED","NOT_DISCLOSED")))))))</x:f>
        <x:v>STANDARD_AT_RELEASE</x:v>
      </x:c>
      <x:c r="H31" s="369" t="str">
        <x:f>IF(COUNTIFS('51_版本配置事实'!$B$6:$B$127,"PC-N90-MAX-CAND",'51_版本配置事实'!$C$6:$C$127,$A31,'51_版本配置事实'!$J$6:$J$127,"STANDARD_CURRENT")&gt;0,"STANDARD_CURRENT","NOT_EVIDENCED")</x:f>
        <x:v>NOT_EVIDENCED</x:v>
      </x:c>
      <x:c r="I31" s="369" t="str">
        <x:f>IF(COUNTIFS('51_版本配置事实'!$B$6:$B$127,"PC-N90-ROOF-CAND",'51_版本配置事实'!$C$6:$C$127,$A31,'51_版本配置事实'!$T$6:$T$127,"&lt;&gt;NONE")&gt;0,"CONFLICTED",IF(COUNTIFS('51_版本配置事实'!$B$6:$B$127,"PC-N90-ROOF-CAND",'51_版本配置事实'!$C$6:$C$127,$A31,'51_版本配置事实'!$I$6:$I$127,"STANDARD_AT_RELEASE")&gt;0,"STANDARD_AT_RELEASE",IF(COUNTIFS('51_版本配置事实'!$B$6:$B$127,"PC-N90-ROOF-CAND",'51_版本配置事实'!$C$6:$C$127,$A31,'51_版本配置事实'!$I$6:$I$127,"OPTIONAL_AT_RELEASE")&gt;0,"OPTIONAL_AT_RELEASE",IF(COUNTIFS('51_版本配置事实'!$B$6:$B$127,"PC-N90-ROOF-CAND",'51_版本配置事实'!$C$6:$C$127,$A31,'51_版本配置事实'!$I$6:$I$127,"SEPARATE_PURCHASE")&gt;0,"SEPARATE_PURCHASE",IF(COUNTIFS('51_版本配置事实'!$B$6:$B$127,"PC-N90-ROOF-CAND",'51_版本配置事实'!$C$6:$C$127,$A31,'51_版本配置事实'!$I$6:$I$127,"EQUIPPED_STANDARD_UNCONFIRMED")&gt;0,"EQUIPPED_STANDARD_UNCONFIRMED",IF(COUNTIFS('51_版本配置事实'!$B$6:$B$127,"PC-N90-ROOF-CAND",'51_版本配置事实'!$C$6:$C$127,$A31,'51_版本配置事实'!$I$6:$I$127,"SERIES_CAPABILITY")&gt;0,"SERIES_CAPABILITY",IF(COUNTIFS('51_版本配置事实'!$B$6:$B$127,"PC-N90-ROOF-CAND",'51_版本配置事实'!$C$6:$C$127,$A31,'51_版本配置事实'!$I$6:$I$127,"NOT_DISCLOSED")&gt;0,"NOT_DISCLOSED","NOT_DISCLOSED")))))))</x:f>
        <x:v>NOT_DISCLOSED</x:v>
      </x:c>
      <x:c r="J31" s="369" t="str">
        <x:f>IF(COUNTIFS('51_版本配置事实'!$B$6:$B$127,"PC-N90-ROOF-CAND",'51_版本配置事实'!$C$6:$C$127,$A31,'51_版本配置事实'!$J$6:$J$127,"STANDARD_CURRENT")&gt;0,"STANDARD_CURRENT","NOT_EVIDENCED")</x:f>
        <x:v>NOT_EVIDENCED</x:v>
      </x:c>
      <x:c r="K31" s="369" t="str">
        <x:f>IF(AND(E31=G31,E31&lt;&gt;"NOT_DISCLOSED",E31&lt;&gt;"CONFLICTED"),IF(COUNTIFS('50_发布会逐项主张'!$H$6:$H$137,$A31,'50_发布会逐项主张'!$O$6:$O$137,"ALL_PENGCHENG")&gt;0,"EXPLICIT_COMMON_ANNOUNCED_MAX","MATCHED_NOT_PROVED_COMMON"),"NOT_PROVED_COMMON")</x:f>
        <x:v>NOT_PROVED_COMMON</x:v>
      </x:c>
      <x:c r="L31" s="369" t="str">
        <x:f>IF(OR(C31="NOT_DISCLOSED",E31="NOT_DISCLOSED",C31="CONFLICTED",E31="CONFLICTED"),"UNRESOLVED",IF(C31=E31,"NO_CHANGE",IF(AND(C31="STANDARD_AT_RELEASE",E31="OPTIONAL_AT_RELEASE"),"STANDARD_TO_OPTIONAL",IF(AND(C31="OPTIONAL_AT_RELEASE",E31="STANDARD_AT_RELEASE"),"OPTIONAL_TO_STANDARD",IF(E31="STANDARD_AT_RELEASE","ADDED_STANDARD","REVIEW_CHANGE")))))</x:f>
        <x:v>UNRESOLVED</x:v>
      </x:c>
      <x:c r="M31" s="369" t="str">
        <x:f>IF(OR(E31="NOT_DISCLOSED",G31="NOT_DISCLOSED",E31="CONFLICTED",G31="CONFLICTED"),"UNRESOLVED",IF(E31=G31,"NO_CHANGE",IF(AND(E31="STANDARD_AT_RELEASE",G31="OPTIONAL_AT_RELEASE"),"STANDARD_TO_OPTIONAL",IF(AND(E31="OPTIONAL_AT_RELEASE",G31="STANDARD_AT_RELEASE"),"OPTIONAL_TO_STANDARD",IF(G31="STANDARD_AT_RELEASE","ADDED_STANDARD","REVIEW_CHANGE")))))</x:f>
        <x:v>UNRESOLVED</x:v>
      </x:c>
      <x:c r="N31" s="369" t="str">
        <x:f>IF(OR(G31="NOT_DISCLOSED",I31="NOT_DISCLOSED",G31="CONFLICTED",I31="CONFLICTED"),"UNRESOLVED",IF(G31=I31,"NO_CHANGE",IF(AND(G31="STANDARD_AT_RELEASE",I31="OPTIONAL_AT_RELEASE"),"STANDARD_TO_OPTIONAL",IF(AND(G31="OPTIONAL_AT_RELEASE",I31="STANDARD_AT_RELEASE"),"OPTIONAL_TO_STANDARD",IF(I31="STANDARD_AT_RELEASE","ADDED_STANDARD","REVIEW_CHANGE")))))</x:f>
        <x:v>UNRESOLVED</x:v>
      </x:c>
      <x:c r="O31" s="369" t="str">
        <x:v>INTELLIGENCE_EE</x:v>
      </x:c>
      <x:c r="P31" s="369" t="str">
        <x:v>DC_EE_CABIN</x:v>
      </x:c>
      <x:c r="Q31" s="369" t="n">
        <x:f>COUNTIF('50_发布会逐项主张'!$H$6:$H$137,A31)</x:f>
        <x:v>1</x:v>
      </x:c>
      <x:c r="R31" s="369" t="str">
        <x:f>IF(COUNTIFS('50_发布会逐项主张'!$H$6:$H$137,A31,'50_发布会逐项主张'!$X$6:$X$137,"&lt;&gt;NONE")&gt;0,"CONFLICTED","NONE")</x:f>
        <x:v>NONE</x:v>
      </x:c>
    </x:row>
    <x:row r="32" ht="48" customHeight="1">
      <x:c r="A32" s="19" t="str">
        <x:v>drive_layout</x:v>
      </x:c>
      <x:c r="B32" s="19" t="str">
        <x:v>POWERTRAIN</x:v>
      </x:c>
      <x:c r="C32" s="19" t="str">
        <x:f>IF(COUNTIFS('51_版本配置事实'!$B$6:$B$127,"PC-N70-BASE-CAND",'51_版本配置事实'!$C$6:$C$127,$A32,'51_版本配置事实'!$T$6:$T$127,"&lt;&gt;NONE")&gt;0,"CONFLICTED",IF(COUNTIFS('51_版本配置事实'!$B$6:$B$127,"PC-N70-BASE-CAND",'51_版本配置事实'!$C$6:$C$127,$A32,'51_版本配置事实'!$I$6:$I$127,"STANDARD_AT_RELEASE")&gt;0,"STANDARD_AT_RELEASE",IF(COUNTIFS('51_版本配置事实'!$B$6:$B$127,"PC-N70-BASE-CAND",'51_版本配置事实'!$C$6:$C$127,$A32,'51_版本配置事实'!$I$6:$I$127,"OPTIONAL_AT_RELEASE")&gt;0,"OPTIONAL_AT_RELEASE",IF(COUNTIFS('51_版本配置事实'!$B$6:$B$127,"PC-N70-BASE-CAND",'51_版本配置事实'!$C$6:$C$127,$A32,'51_版本配置事实'!$I$6:$I$127,"SEPARATE_PURCHASE")&gt;0,"SEPARATE_PURCHASE",IF(COUNTIFS('51_版本配置事实'!$B$6:$B$127,"PC-N70-BASE-CAND",'51_版本配置事实'!$C$6:$C$127,$A32,'51_版本配置事实'!$I$6:$I$127,"EQUIPPED_STANDARD_UNCONFIRMED")&gt;0,"EQUIPPED_STANDARD_UNCONFIRMED",IF(COUNTIFS('51_版本配置事实'!$B$6:$B$127,"PC-N70-BASE-CAND",'51_版本配置事实'!$C$6:$C$127,$A32,'51_版本配置事实'!$I$6:$I$127,"SERIES_CAPABILITY")&gt;0,"SERIES_CAPABILITY",IF(COUNTIFS('51_版本配置事实'!$B$6:$B$127,"PC-N70-BASE-CAND",'51_版本配置事实'!$C$6:$C$127,$A32,'51_版本配置事实'!$I$6:$I$127,"NOT_DISCLOSED")&gt;0,"NOT_DISCLOSED","NOT_DISCLOSED")))))))</x:f>
        <x:v>NOT_DISCLOSED</x:v>
      </x:c>
      <x:c r="D32" s="19" t="str">
        <x:f>IF(COUNTIFS('51_版本配置事实'!$B$6:$B$127,"PC-N70-BASE-CAND",'51_版本配置事实'!$C$6:$C$127,$A32,'51_版本配置事实'!$J$6:$J$127,"STANDARD_CURRENT")&gt;0,"STANDARD_CURRENT","NOT_EVIDENCED")</x:f>
        <x:v>NOT_EVIDENCED</x:v>
      </x:c>
      <x:c r="E32" s="19" t="str">
        <x:f>IF(COUNTIFS('51_版本配置事实'!$B$6:$B$127,"PC-N70-MAX-CAND",'51_版本配置事实'!$C$6:$C$127,$A32,'51_版本配置事实'!$T$6:$T$127,"&lt;&gt;NONE")&gt;0,"CONFLICTED",IF(COUNTIFS('51_版本配置事实'!$B$6:$B$127,"PC-N70-MAX-CAND",'51_版本配置事实'!$C$6:$C$127,$A32,'51_版本配置事实'!$I$6:$I$127,"STANDARD_AT_RELEASE")&gt;0,"STANDARD_AT_RELEASE",IF(COUNTIFS('51_版本配置事实'!$B$6:$B$127,"PC-N70-MAX-CAND",'51_版本配置事实'!$C$6:$C$127,$A32,'51_版本配置事实'!$I$6:$I$127,"OPTIONAL_AT_RELEASE")&gt;0,"OPTIONAL_AT_RELEASE",IF(COUNTIFS('51_版本配置事实'!$B$6:$B$127,"PC-N70-MAX-CAND",'51_版本配置事实'!$C$6:$C$127,$A32,'51_版本配置事实'!$I$6:$I$127,"SEPARATE_PURCHASE")&gt;0,"SEPARATE_PURCHASE",IF(COUNTIFS('51_版本配置事实'!$B$6:$B$127,"PC-N70-MAX-CAND",'51_版本配置事实'!$C$6:$C$127,$A32,'51_版本配置事实'!$I$6:$I$127,"EQUIPPED_STANDARD_UNCONFIRMED")&gt;0,"EQUIPPED_STANDARD_UNCONFIRMED",IF(COUNTIFS('51_版本配置事实'!$B$6:$B$127,"PC-N70-MAX-CAND",'51_版本配置事实'!$C$6:$C$127,$A32,'51_版本配置事实'!$I$6:$I$127,"SERIES_CAPABILITY")&gt;0,"SERIES_CAPABILITY",IF(COUNTIFS('51_版本配置事实'!$B$6:$B$127,"PC-N70-MAX-CAND",'51_版本配置事实'!$C$6:$C$127,$A32,'51_版本配置事实'!$I$6:$I$127,"NOT_DISCLOSED")&gt;0,"NOT_DISCLOSED","NOT_DISCLOSED")))))))</x:f>
        <x:v>EQUIPPED_STANDARD_UNCONFIRMED</x:v>
      </x:c>
      <x:c r="F32" s="19" t="str">
        <x:f>IF(COUNTIFS('51_版本配置事实'!$B$6:$B$127,"PC-N70-MAX-CAND",'51_版本配置事实'!$C$6:$C$127,$A32,'51_版本配置事实'!$J$6:$J$127,"STANDARD_CURRENT")&gt;0,"STANDARD_CURRENT","NOT_EVIDENCED")</x:f>
        <x:v>NOT_EVIDENCED</x:v>
      </x:c>
      <x:c r="G32" s="19" t="str">
        <x:f>IF(COUNTIFS('51_版本配置事实'!$B$6:$B$127,"PC-N90-MAX-CAND",'51_版本配置事实'!$C$6:$C$127,$A32,'51_版本配置事实'!$T$6:$T$127,"&lt;&gt;NONE")&gt;0,"CONFLICTED",IF(COUNTIFS('51_版本配置事实'!$B$6:$B$127,"PC-N90-MAX-CAND",'51_版本配置事实'!$C$6:$C$127,$A32,'51_版本配置事实'!$I$6:$I$127,"STANDARD_AT_RELEASE")&gt;0,"STANDARD_AT_RELEASE",IF(COUNTIFS('51_版本配置事实'!$B$6:$B$127,"PC-N90-MAX-CAND",'51_版本配置事实'!$C$6:$C$127,$A32,'51_版本配置事实'!$I$6:$I$127,"OPTIONAL_AT_RELEASE")&gt;0,"OPTIONAL_AT_RELEASE",IF(COUNTIFS('51_版本配置事实'!$B$6:$B$127,"PC-N90-MAX-CAND",'51_版本配置事实'!$C$6:$C$127,$A32,'51_版本配置事实'!$I$6:$I$127,"SEPARATE_PURCHASE")&gt;0,"SEPARATE_PURCHASE",IF(COUNTIFS('51_版本配置事实'!$B$6:$B$127,"PC-N90-MAX-CAND",'51_版本配置事实'!$C$6:$C$127,$A32,'51_版本配置事实'!$I$6:$I$127,"EQUIPPED_STANDARD_UNCONFIRMED")&gt;0,"EQUIPPED_STANDARD_UNCONFIRMED",IF(COUNTIFS('51_版本配置事实'!$B$6:$B$127,"PC-N90-MAX-CAND",'51_版本配置事实'!$C$6:$C$127,$A32,'51_版本配置事实'!$I$6:$I$127,"SERIES_CAPABILITY")&gt;0,"SERIES_CAPABILITY",IF(COUNTIFS('51_版本配置事实'!$B$6:$B$127,"PC-N90-MAX-CAND",'51_版本配置事实'!$C$6:$C$127,$A32,'51_版本配置事实'!$I$6:$I$127,"NOT_DISCLOSED")&gt;0,"NOT_DISCLOSED","NOT_DISCLOSED")))))))</x:f>
        <x:v>EQUIPPED_STANDARD_UNCONFIRMED</x:v>
      </x:c>
      <x:c r="H32" s="19" t="str">
        <x:f>IF(COUNTIFS('51_版本配置事实'!$B$6:$B$127,"PC-N90-MAX-CAND",'51_版本配置事实'!$C$6:$C$127,$A32,'51_版本配置事实'!$J$6:$J$127,"STANDARD_CURRENT")&gt;0,"STANDARD_CURRENT","NOT_EVIDENCED")</x:f>
        <x:v>NOT_EVIDENCED</x:v>
      </x:c>
      <x:c r="I32" s="19" t="str">
        <x:f>IF(COUNTIFS('51_版本配置事实'!$B$6:$B$127,"PC-N90-ROOF-CAND",'51_版本配置事实'!$C$6:$C$127,$A32,'51_版本配置事实'!$T$6:$T$127,"&lt;&gt;NONE")&gt;0,"CONFLICTED",IF(COUNTIFS('51_版本配置事实'!$B$6:$B$127,"PC-N90-ROOF-CAND",'51_版本配置事实'!$C$6:$C$127,$A32,'51_版本配置事实'!$I$6:$I$127,"STANDARD_AT_RELEASE")&gt;0,"STANDARD_AT_RELEASE",IF(COUNTIFS('51_版本配置事实'!$B$6:$B$127,"PC-N90-ROOF-CAND",'51_版本配置事实'!$C$6:$C$127,$A32,'51_版本配置事实'!$I$6:$I$127,"OPTIONAL_AT_RELEASE")&gt;0,"OPTIONAL_AT_RELEASE",IF(COUNTIFS('51_版本配置事实'!$B$6:$B$127,"PC-N90-ROOF-CAND",'51_版本配置事实'!$C$6:$C$127,$A32,'51_版本配置事实'!$I$6:$I$127,"SEPARATE_PURCHASE")&gt;0,"SEPARATE_PURCHASE",IF(COUNTIFS('51_版本配置事实'!$B$6:$B$127,"PC-N90-ROOF-CAND",'51_版本配置事实'!$C$6:$C$127,$A32,'51_版本配置事实'!$I$6:$I$127,"EQUIPPED_STANDARD_UNCONFIRMED")&gt;0,"EQUIPPED_STANDARD_UNCONFIRMED",IF(COUNTIFS('51_版本配置事实'!$B$6:$B$127,"PC-N90-ROOF-CAND",'51_版本配置事实'!$C$6:$C$127,$A32,'51_版本配置事实'!$I$6:$I$127,"SERIES_CAPABILITY")&gt;0,"SERIES_CAPABILITY",IF(COUNTIFS('51_版本配置事实'!$B$6:$B$127,"PC-N90-ROOF-CAND",'51_版本配置事实'!$C$6:$C$127,$A32,'51_版本配置事实'!$I$6:$I$127,"NOT_DISCLOSED")&gt;0,"NOT_DISCLOSED","NOT_DISCLOSED")))))))</x:f>
        <x:v>NOT_DISCLOSED</x:v>
      </x:c>
      <x:c r="J32" s="19" t="str">
        <x:f>IF(COUNTIFS('51_版本配置事实'!$B$6:$B$127,"PC-N90-ROOF-CAND",'51_版本配置事实'!$C$6:$C$127,$A32,'51_版本配置事实'!$J$6:$J$127,"STANDARD_CURRENT")&gt;0,"STANDARD_CURRENT","NOT_EVIDENCED")</x:f>
        <x:v>NOT_EVIDENCED</x:v>
      </x:c>
      <x:c r="K32" s="19" t="str">
        <x:f>IF(AND(E32=G32,E32&lt;&gt;"NOT_DISCLOSED",E32&lt;&gt;"CONFLICTED"),IF(COUNTIFS('50_发布会逐项主张'!$H$6:$H$137,$A32,'50_发布会逐项主张'!$O$6:$O$137,"ALL_PENGCHENG")&gt;0,"EXPLICIT_COMMON_ANNOUNCED_MAX","MATCHED_NOT_PROVED_COMMON"),"NOT_PROVED_COMMON")</x:f>
        <x:v>MATCHED_NOT_PROVED_COMMON</x:v>
      </x:c>
      <x:c r="L32" s="19" t="str">
        <x:f>IF(OR(C32="NOT_DISCLOSED",E32="NOT_DISCLOSED",C32="CONFLICTED",E32="CONFLICTED"),"UNRESOLVED",IF(C32=E32,"NO_CHANGE",IF(AND(C32="STANDARD_AT_RELEASE",E32="OPTIONAL_AT_RELEASE"),"STANDARD_TO_OPTIONAL",IF(AND(C32="OPTIONAL_AT_RELEASE",E32="STANDARD_AT_RELEASE"),"OPTIONAL_TO_STANDARD",IF(E32="STANDARD_AT_RELEASE","ADDED_STANDARD","REVIEW_CHANGE")))))</x:f>
        <x:v>UNRESOLVED</x:v>
      </x:c>
      <x:c r="M32" s="19" t="str">
        <x:f>IF(OR(E32="NOT_DISCLOSED",G32="NOT_DISCLOSED",E32="CONFLICTED",G32="CONFLICTED"),"UNRESOLVED",IF(E32=G32,"NO_CHANGE",IF(AND(E32="STANDARD_AT_RELEASE",G32="OPTIONAL_AT_RELEASE"),"STANDARD_TO_OPTIONAL",IF(AND(E32="OPTIONAL_AT_RELEASE",G32="STANDARD_AT_RELEASE"),"OPTIONAL_TO_STANDARD",IF(G32="STANDARD_AT_RELEASE","ADDED_STANDARD","REVIEW_CHANGE")))))</x:f>
        <x:v>NO_CHANGE</x:v>
      </x:c>
      <x:c r="N32" s="19" t="str">
        <x:f>IF(OR(G32="NOT_DISCLOSED",I32="NOT_DISCLOSED",G32="CONFLICTED",I32="CONFLICTED"),"UNRESOLVED",IF(G32=I32,"NO_CHANGE",IF(AND(G32="STANDARD_AT_RELEASE",I32="OPTIONAL_AT_RELEASE"),"STANDARD_TO_OPTIONAL",IF(AND(G32="OPTIONAL_AT_RELEASE",I32="STANDARD_AT_RELEASE"),"OPTIONAL_TO_STANDARD",IF(I32="STANDARD_AT_RELEASE","ADDED_STANDARD","REVIEW_CHANGE")))))</x:f>
        <x:v>UNRESOLVED</x:v>
      </x:c>
      <x:c r="O32" s="19" t="str">
        <x:v>E_DRIVE</x:v>
      </x:c>
      <x:c r="P32" s="19" t="str">
        <x:v>DC_POWERTRAIN_drive_layout</x:v>
      </x:c>
      <x:c r="Q32" s="19" t="n">
        <x:f>COUNTIF('50_发布会逐项主张'!$H$6:$H$137,A32)</x:f>
        <x:v>2</x:v>
      </x:c>
      <x:c r="R32" s="19" t="str">
        <x:f>IF(COUNTIFS('50_发布会逐项主张'!$H$6:$H$137,A32,'50_发布会逐项主张'!$X$6:$X$137,"&lt;&gt;NONE")&gt;0,"CONFLICTED","NONE")</x:f>
        <x:v>NONE</x:v>
      </x:c>
    </x:row>
    <x:row r="33" ht="48" customHeight="1">
      <x:c r="A33" s="369" t="str">
        <x:v>ecosystem_ports</x:v>
      </x:c>
      <x:c r="B33" s="369" t="str">
        <x:v>CABIN</x:v>
      </x:c>
      <x:c r="C33" s="369" t="str">
        <x:f>IF(COUNTIFS('51_版本配置事实'!$B$6:$B$127,"PC-N70-BASE-CAND",'51_版本配置事实'!$C$6:$C$127,$A33,'51_版本配置事实'!$T$6:$T$127,"&lt;&gt;NONE")&gt;0,"CONFLICTED",IF(COUNTIFS('51_版本配置事实'!$B$6:$B$127,"PC-N70-BASE-CAND",'51_版本配置事实'!$C$6:$C$127,$A33,'51_版本配置事实'!$I$6:$I$127,"STANDARD_AT_RELEASE")&gt;0,"STANDARD_AT_RELEASE",IF(COUNTIFS('51_版本配置事实'!$B$6:$B$127,"PC-N70-BASE-CAND",'51_版本配置事实'!$C$6:$C$127,$A33,'51_版本配置事实'!$I$6:$I$127,"OPTIONAL_AT_RELEASE")&gt;0,"OPTIONAL_AT_RELEASE",IF(COUNTIFS('51_版本配置事实'!$B$6:$B$127,"PC-N70-BASE-CAND",'51_版本配置事实'!$C$6:$C$127,$A33,'51_版本配置事实'!$I$6:$I$127,"SEPARATE_PURCHASE")&gt;0,"SEPARATE_PURCHASE",IF(COUNTIFS('51_版本配置事实'!$B$6:$B$127,"PC-N70-BASE-CAND",'51_版本配置事实'!$C$6:$C$127,$A33,'51_版本配置事实'!$I$6:$I$127,"EQUIPPED_STANDARD_UNCONFIRMED")&gt;0,"EQUIPPED_STANDARD_UNCONFIRMED",IF(COUNTIFS('51_版本配置事实'!$B$6:$B$127,"PC-N70-BASE-CAND",'51_版本配置事实'!$C$6:$C$127,$A33,'51_版本配置事实'!$I$6:$I$127,"SERIES_CAPABILITY")&gt;0,"SERIES_CAPABILITY",IF(COUNTIFS('51_版本配置事实'!$B$6:$B$127,"PC-N70-BASE-CAND",'51_版本配置事实'!$C$6:$C$127,$A33,'51_版本配置事实'!$I$6:$I$127,"NOT_DISCLOSED")&gt;0,"NOT_DISCLOSED","NOT_DISCLOSED")))))))</x:f>
        <x:v>NOT_DISCLOSED</x:v>
      </x:c>
      <x:c r="D33" s="369" t="str">
        <x:f>IF(COUNTIFS('51_版本配置事实'!$B$6:$B$127,"PC-N70-BASE-CAND",'51_版本配置事实'!$C$6:$C$127,$A33,'51_版本配置事实'!$J$6:$J$127,"STANDARD_CURRENT")&gt;0,"STANDARD_CURRENT","NOT_EVIDENCED")</x:f>
        <x:v>NOT_EVIDENCED</x:v>
      </x:c>
      <x:c r="E33" s="369" t="str">
        <x:f>IF(COUNTIFS('51_版本配置事实'!$B$6:$B$127,"PC-N70-MAX-CAND",'51_版本配置事实'!$C$6:$C$127,$A33,'51_版本配置事实'!$T$6:$T$127,"&lt;&gt;NONE")&gt;0,"CONFLICTED",IF(COUNTIFS('51_版本配置事实'!$B$6:$B$127,"PC-N70-MAX-CAND",'51_版本配置事实'!$C$6:$C$127,$A33,'51_版本配置事实'!$I$6:$I$127,"STANDARD_AT_RELEASE")&gt;0,"STANDARD_AT_RELEASE",IF(COUNTIFS('51_版本配置事实'!$B$6:$B$127,"PC-N70-MAX-CAND",'51_版本配置事实'!$C$6:$C$127,$A33,'51_版本配置事实'!$I$6:$I$127,"OPTIONAL_AT_RELEASE")&gt;0,"OPTIONAL_AT_RELEASE",IF(COUNTIFS('51_版本配置事实'!$B$6:$B$127,"PC-N70-MAX-CAND",'51_版本配置事实'!$C$6:$C$127,$A33,'51_版本配置事实'!$I$6:$I$127,"SEPARATE_PURCHASE")&gt;0,"SEPARATE_PURCHASE",IF(COUNTIFS('51_版本配置事实'!$B$6:$B$127,"PC-N70-MAX-CAND",'51_版本配置事实'!$C$6:$C$127,$A33,'51_版本配置事实'!$I$6:$I$127,"EQUIPPED_STANDARD_UNCONFIRMED")&gt;0,"EQUIPPED_STANDARD_UNCONFIRMED",IF(COUNTIFS('51_版本配置事实'!$B$6:$B$127,"PC-N70-MAX-CAND",'51_版本配置事实'!$C$6:$C$127,$A33,'51_版本配置事实'!$I$6:$I$127,"SERIES_CAPABILITY")&gt;0,"SERIES_CAPABILITY",IF(COUNTIFS('51_版本配置事实'!$B$6:$B$127,"PC-N70-MAX-CAND",'51_版本配置事实'!$C$6:$C$127,$A33,'51_版本配置事实'!$I$6:$I$127,"NOT_DISCLOSED")&gt;0,"NOT_DISCLOSED","NOT_DISCLOSED")))))))</x:f>
        <x:v>NOT_DISCLOSED</x:v>
      </x:c>
      <x:c r="F33" s="369" t="str">
        <x:f>IF(COUNTIFS('51_版本配置事实'!$B$6:$B$127,"PC-N70-MAX-CAND",'51_版本配置事实'!$C$6:$C$127,$A33,'51_版本配置事实'!$J$6:$J$127,"STANDARD_CURRENT")&gt;0,"STANDARD_CURRENT","NOT_EVIDENCED")</x:f>
        <x:v>NOT_EVIDENCED</x:v>
      </x:c>
      <x:c r="G33" s="369" t="str">
        <x:f>IF(COUNTIFS('51_版本配置事实'!$B$6:$B$127,"PC-N90-MAX-CAND",'51_版本配置事实'!$C$6:$C$127,$A33,'51_版本配置事实'!$T$6:$T$127,"&lt;&gt;NONE")&gt;0,"CONFLICTED",IF(COUNTIFS('51_版本配置事实'!$B$6:$B$127,"PC-N90-MAX-CAND",'51_版本配置事实'!$C$6:$C$127,$A33,'51_版本配置事实'!$I$6:$I$127,"STANDARD_AT_RELEASE")&gt;0,"STANDARD_AT_RELEASE",IF(COUNTIFS('51_版本配置事实'!$B$6:$B$127,"PC-N90-MAX-CAND",'51_版本配置事实'!$C$6:$C$127,$A33,'51_版本配置事实'!$I$6:$I$127,"OPTIONAL_AT_RELEASE")&gt;0,"OPTIONAL_AT_RELEASE",IF(COUNTIFS('51_版本配置事实'!$B$6:$B$127,"PC-N90-MAX-CAND",'51_版本配置事实'!$C$6:$C$127,$A33,'51_版本配置事实'!$I$6:$I$127,"SEPARATE_PURCHASE")&gt;0,"SEPARATE_PURCHASE",IF(COUNTIFS('51_版本配置事实'!$B$6:$B$127,"PC-N90-MAX-CAND",'51_版本配置事实'!$C$6:$C$127,$A33,'51_版本配置事实'!$I$6:$I$127,"EQUIPPED_STANDARD_UNCONFIRMED")&gt;0,"EQUIPPED_STANDARD_UNCONFIRMED",IF(COUNTIFS('51_版本配置事实'!$B$6:$B$127,"PC-N90-MAX-CAND",'51_版本配置事实'!$C$6:$C$127,$A33,'51_版本配置事实'!$I$6:$I$127,"SERIES_CAPABILITY")&gt;0,"SERIES_CAPABILITY",IF(COUNTIFS('51_版本配置事实'!$B$6:$B$127,"PC-N90-MAX-CAND",'51_版本配置事实'!$C$6:$C$127,$A33,'51_版本配置事实'!$I$6:$I$127,"NOT_DISCLOSED")&gt;0,"NOT_DISCLOSED","NOT_DISCLOSED")))))))</x:f>
        <x:v>EQUIPPED_STANDARD_UNCONFIRMED</x:v>
      </x:c>
      <x:c r="H33" s="369" t="str">
        <x:f>IF(COUNTIFS('51_版本配置事实'!$B$6:$B$127,"PC-N90-MAX-CAND",'51_版本配置事实'!$C$6:$C$127,$A33,'51_版本配置事实'!$J$6:$J$127,"STANDARD_CURRENT")&gt;0,"STANDARD_CURRENT","NOT_EVIDENCED")</x:f>
        <x:v>NOT_EVIDENCED</x:v>
      </x:c>
      <x:c r="I33" s="369" t="str">
        <x:f>IF(COUNTIFS('51_版本配置事实'!$B$6:$B$127,"PC-N90-ROOF-CAND",'51_版本配置事实'!$C$6:$C$127,$A33,'51_版本配置事实'!$T$6:$T$127,"&lt;&gt;NONE")&gt;0,"CONFLICTED",IF(COUNTIFS('51_版本配置事实'!$B$6:$B$127,"PC-N90-ROOF-CAND",'51_版本配置事实'!$C$6:$C$127,$A33,'51_版本配置事实'!$I$6:$I$127,"STANDARD_AT_RELEASE")&gt;0,"STANDARD_AT_RELEASE",IF(COUNTIFS('51_版本配置事实'!$B$6:$B$127,"PC-N90-ROOF-CAND",'51_版本配置事实'!$C$6:$C$127,$A33,'51_版本配置事实'!$I$6:$I$127,"OPTIONAL_AT_RELEASE")&gt;0,"OPTIONAL_AT_RELEASE",IF(COUNTIFS('51_版本配置事实'!$B$6:$B$127,"PC-N90-ROOF-CAND",'51_版本配置事实'!$C$6:$C$127,$A33,'51_版本配置事实'!$I$6:$I$127,"SEPARATE_PURCHASE")&gt;0,"SEPARATE_PURCHASE",IF(COUNTIFS('51_版本配置事实'!$B$6:$B$127,"PC-N90-ROOF-CAND",'51_版本配置事实'!$C$6:$C$127,$A33,'51_版本配置事实'!$I$6:$I$127,"EQUIPPED_STANDARD_UNCONFIRMED")&gt;0,"EQUIPPED_STANDARD_UNCONFIRMED",IF(COUNTIFS('51_版本配置事实'!$B$6:$B$127,"PC-N90-ROOF-CAND",'51_版本配置事实'!$C$6:$C$127,$A33,'51_版本配置事实'!$I$6:$I$127,"SERIES_CAPABILITY")&gt;0,"SERIES_CAPABILITY",IF(COUNTIFS('51_版本配置事实'!$B$6:$B$127,"PC-N90-ROOF-CAND",'51_版本配置事实'!$C$6:$C$127,$A33,'51_版本配置事实'!$I$6:$I$127,"NOT_DISCLOSED")&gt;0,"NOT_DISCLOSED","NOT_DISCLOSED")))))))</x:f>
        <x:v>NOT_DISCLOSED</x:v>
      </x:c>
      <x:c r="J33" s="369" t="str">
        <x:f>IF(COUNTIFS('51_版本配置事实'!$B$6:$B$127,"PC-N90-ROOF-CAND",'51_版本配置事实'!$C$6:$C$127,$A33,'51_版本配置事实'!$J$6:$J$127,"STANDARD_CURRENT")&gt;0,"STANDARD_CURRENT","NOT_EVIDENCED")</x:f>
        <x:v>NOT_EVIDENCED</x:v>
      </x:c>
      <x:c r="K33" s="369" t="str">
        <x:f>IF(AND(E33=G33,E33&lt;&gt;"NOT_DISCLOSED",E33&lt;&gt;"CONFLICTED"),IF(COUNTIFS('50_发布会逐项主张'!$H$6:$H$137,$A33,'50_发布会逐项主张'!$O$6:$O$137,"ALL_PENGCHENG")&gt;0,"EXPLICIT_COMMON_ANNOUNCED_MAX","MATCHED_NOT_PROVED_COMMON"),"NOT_PROVED_COMMON")</x:f>
        <x:v>NOT_PROVED_COMMON</x:v>
      </x:c>
      <x:c r="L33" s="369" t="str">
        <x:f>IF(OR(C33="NOT_DISCLOSED",E33="NOT_DISCLOSED",C33="CONFLICTED",E33="CONFLICTED"),"UNRESOLVED",IF(C33=E33,"NO_CHANGE",IF(AND(C33="STANDARD_AT_RELEASE",E33="OPTIONAL_AT_RELEASE"),"STANDARD_TO_OPTIONAL",IF(AND(C33="OPTIONAL_AT_RELEASE",E33="STANDARD_AT_RELEASE"),"OPTIONAL_TO_STANDARD",IF(E33="STANDARD_AT_RELEASE","ADDED_STANDARD","REVIEW_CHANGE")))))</x:f>
        <x:v>UNRESOLVED</x:v>
      </x:c>
      <x:c r="M33" s="369" t="str">
        <x:f>IF(OR(E33="NOT_DISCLOSED",G33="NOT_DISCLOSED",E33="CONFLICTED",G33="CONFLICTED"),"UNRESOLVED",IF(E33=G33,"NO_CHANGE",IF(AND(E33="STANDARD_AT_RELEASE",G33="OPTIONAL_AT_RELEASE"),"STANDARD_TO_OPTIONAL",IF(AND(E33="OPTIONAL_AT_RELEASE",G33="STANDARD_AT_RELEASE"),"OPTIONAL_TO_STANDARD",IF(G33="STANDARD_AT_RELEASE","ADDED_STANDARD","REVIEW_CHANGE")))))</x:f>
        <x:v>UNRESOLVED</x:v>
      </x:c>
      <x:c r="N33" s="369" t="str">
        <x:f>IF(OR(G33="NOT_DISCLOSED",I33="NOT_DISCLOSED",G33="CONFLICTED",I33="CONFLICTED"),"UNRESOLVED",IF(G33=I33,"NO_CHANGE",IF(AND(G33="STANDARD_AT_RELEASE",I33="OPTIONAL_AT_RELEASE"),"STANDARD_TO_OPTIONAL",IF(AND(G33="OPTIONAL_AT_RELEASE",I33="STANDARD_AT_RELEASE"),"OPTIONAL_TO_STANDARD",IF(I33="STANDARD_AT_RELEASE","ADDED_STANDARD","REVIEW_CHANGE")))))</x:f>
        <x:v>UNRESOLVED</x:v>
      </x:c>
      <x:c r="O33" s="369" t="str">
        <x:v>CABIN_COMFORT</x:v>
      </x:c>
      <x:c r="P33" s="369" t="str">
        <x:v>DC_CABIN_ecosystem_ports</x:v>
      </x:c>
      <x:c r="Q33" s="369" t="n">
        <x:f>COUNTIF('50_发布会逐项主张'!$H$6:$H$137,A33)</x:f>
        <x:v>1</x:v>
      </x:c>
      <x:c r="R33" s="369" t="str">
        <x:f>IF(COUNTIFS('50_发布会逐项主张'!$H$6:$H$137,A33,'50_发布会逐项主张'!$X$6:$X$137,"&lt;&gt;NONE")&gt;0,"CONFLICTED","NONE")</x:f>
        <x:v>NONE</x:v>
      </x:c>
    </x:row>
    <x:row r="34" ht="48" customHeight="1">
      <x:c r="A34" s="19" t="str">
        <x:v>emergency_float</x:v>
      </x:c>
      <x:c r="B34" s="19" t="str">
        <x:v>SAFETY</x:v>
      </x:c>
      <x:c r="C34" s="19" t="str">
        <x:f>IF(COUNTIFS('51_版本配置事实'!$B$6:$B$127,"PC-N70-BASE-CAND",'51_版本配置事实'!$C$6:$C$127,$A34,'51_版本配置事实'!$T$6:$T$127,"&lt;&gt;NONE")&gt;0,"CONFLICTED",IF(COUNTIFS('51_版本配置事实'!$B$6:$B$127,"PC-N70-BASE-CAND",'51_版本配置事实'!$C$6:$C$127,$A34,'51_版本配置事实'!$I$6:$I$127,"STANDARD_AT_RELEASE")&gt;0,"STANDARD_AT_RELEASE",IF(COUNTIFS('51_版本配置事实'!$B$6:$B$127,"PC-N70-BASE-CAND",'51_版本配置事实'!$C$6:$C$127,$A34,'51_版本配置事实'!$I$6:$I$127,"OPTIONAL_AT_RELEASE")&gt;0,"OPTIONAL_AT_RELEASE",IF(COUNTIFS('51_版本配置事实'!$B$6:$B$127,"PC-N70-BASE-CAND",'51_版本配置事实'!$C$6:$C$127,$A34,'51_版本配置事实'!$I$6:$I$127,"SEPARATE_PURCHASE")&gt;0,"SEPARATE_PURCHASE",IF(COUNTIFS('51_版本配置事实'!$B$6:$B$127,"PC-N70-BASE-CAND",'51_版本配置事实'!$C$6:$C$127,$A34,'51_版本配置事实'!$I$6:$I$127,"EQUIPPED_STANDARD_UNCONFIRMED")&gt;0,"EQUIPPED_STANDARD_UNCONFIRMED",IF(COUNTIFS('51_版本配置事实'!$B$6:$B$127,"PC-N70-BASE-CAND",'51_版本配置事实'!$C$6:$C$127,$A34,'51_版本配置事实'!$I$6:$I$127,"SERIES_CAPABILITY")&gt;0,"SERIES_CAPABILITY",IF(COUNTIFS('51_版本配置事实'!$B$6:$B$127,"PC-N70-BASE-CAND",'51_版本配置事实'!$C$6:$C$127,$A34,'51_版本配置事实'!$I$6:$I$127,"NOT_DISCLOSED")&gt;0,"NOT_DISCLOSED","NOT_DISCLOSED")))))))</x:f>
        <x:v>NOT_DISCLOSED</x:v>
      </x:c>
      <x:c r="D34" s="19" t="str">
        <x:f>IF(COUNTIFS('51_版本配置事实'!$B$6:$B$127,"PC-N70-BASE-CAND",'51_版本配置事实'!$C$6:$C$127,$A34,'51_版本配置事实'!$J$6:$J$127,"STANDARD_CURRENT")&gt;0,"STANDARD_CURRENT","NOT_EVIDENCED")</x:f>
        <x:v>NOT_EVIDENCED</x:v>
      </x:c>
      <x:c r="E34" s="19" t="str">
        <x:f>IF(COUNTIFS('51_版本配置事实'!$B$6:$B$127,"PC-N70-MAX-CAND",'51_版本配置事实'!$C$6:$C$127,$A34,'51_版本配置事实'!$T$6:$T$127,"&lt;&gt;NONE")&gt;0,"CONFLICTED",IF(COUNTIFS('51_版本配置事实'!$B$6:$B$127,"PC-N70-MAX-CAND",'51_版本配置事实'!$C$6:$C$127,$A34,'51_版本配置事实'!$I$6:$I$127,"STANDARD_AT_RELEASE")&gt;0,"STANDARD_AT_RELEASE",IF(COUNTIFS('51_版本配置事实'!$B$6:$B$127,"PC-N70-MAX-CAND",'51_版本配置事实'!$C$6:$C$127,$A34,'51_版本配置事实'!$I$6:$I$127,"OPTIONAL_AT_RELEASE")&gt;0,"OPTIONAL_AT_RELEASE",IF(COUNTIFS('51_版本配置事实'!$B$6:$B$127,"PC-N70-MAX-CAND",'51_版本配置事实'!$C$6:$C$127,$A34,'51_版本配置事实'!$I$6:$I$127,"SEPARATE_PURCHASE")&gt;0,"SEPARATE_PURCHASE",IF(COUNTIFS('51_版本配置事实'!$B$6:$B$127,"PC-N70-MAX-CAND",'51_版本配置事实'!$C$6:$C$127,$A34,'51_版本配置事实'!$I$6:$I$127,"EQUIPPED_STANDARD_UNCONFIRMED")&gt;0,"EQUIPPED_STANDARD_UNCONFIRMED",IF(COUNTIFS('51_版本配置事实'!$B$6:$B$127,"PC-N70-MAX-CAND",'51_版本配置事实'!$C$6:$C$127,$A34,'51_版本配置事实'!$I$6:$I$127,"SERIES_CAPABILITY")&gt;0,"SERIES_CAPABILITY",IF(COUNTIFS('51_版本配置事实'!$B$6:$B$127,"PC-N70-MAX-CAND",'51_版本配置事实'!$C$6:$C$127,$A34,'51_版本配置事实'!$I$6:$I$127,"NOT_DISCLOSED")&gt;0,"NOT_DISCLOSED","NOT_DISCLOSED")))))))</x:f>
        <x:v>EQUIPPED_STANDARD_UNCONFIRMED</x:v>
      </x:c>
      <x:c r="F34" s="19" t="str">
        <x:f>IF(COUNTIFS('51_版本配置事实'!$B$6:$B$127,"PC-N70-MAX-CAND",'51_版本配置事实'!$C$6:$C$127,$A34,'51_版本配置事实'!$J$6:$J$127,"STANDARD_CURRENT")&gt;0,"STANDARD_CURRENT","NOT_EVIDENCED")</x:f>
        <x:v>NOT_EVIDENCED</x:v>
      </x:c>
      <x:c r="G34" s="19" t="str">
        <x:f>IF(COUNTIFS('51_版本配置事实'!$B$6:$B$127,"PC-N90-MAX-CAND",'51_版本配置事实'!$C$6:$C$127,$A34,'51_版本配置事实'!$T$6:$T$127,"&lt;&gt;NONE")&gt;0,"CONFLICTED",IF(COUNTIFS('51_版本配置事实'!$B$6:$B$127,"PC-N90-MAX-CAND",'51_版本配置事实'!$C$6:$C$127,$A34,'51_版本配置事实'!$I$6:$I$127,"STANDARD_AT_RELEASE")&gt;0,"STANDARD_AT_RELEASE",IF(COUNTIFS('51_版本配置事实'!$B$6:$B$127,"PC-N90-MAX-CAND",'51_版本配置事实'!$C$6:$C$127,$A34,'51_版本配置事实'!$I$6:$I$127,"OPTIONAL_AT_RELEASE")&gt;0,"OPTIONAL_AT_RELEASE",IF(COUNTIFS('51_版本配置事实'!$B$6:$B$127,"PC-N90-MAX-CAND",'51_版本配置事实'!$C$6:$C$127,$A34,'51_版本配置事实'!$I$6:$I$127,"SEPARATE_PURCHASE")&gt;0,"SEPARATE_PURCHASE",IF(COUNTIFS('51_版本配置事实'!$B$6:$B$127,"PC-N90-MAX-CAND",'51_版本配置事实'!$C$6:$C$127,$A34,'51_版本配置事实'!$I$6:$I$127,"EQUIPPED_STANDARD_UNCONFIRMED")&gt;0,"EQUIPPED_STANDARD_UNCONFIRMED",IF(COUNTIFS('51_版本配置事实'!$B$6:$B$127,"PC-N90-MAX-CAND",'51_版本配置事实'!$C$6:$C$127,$A34,'51_版本配置事实'!$I$6:$I$127,"SERIES_CAPABILITY")&gt;0,"SERIES_CAPABILITY",IF(COUNTIFS('51_版本配置事实'!$B$6:$B$127,"PC-N90-MAX-CAND",'51_版本配置事实'!$C$6:$C$127,$A34,'51_版本配置事实'!$I$6:$I$127,"NOT_DISCLOSED")&gt;0,"NOT_DISCLOSED","NOT_DISCLOSED")))))))</x:f>
        <x:v>NOT_DISCLOSED</x:v>
      </x:c>
      <x:c r="H34" s="19" t="str">
        <x:f>IF(COUNTIFS('51_版本配置事实'!$B$6:$B$127,"PC-N90-MAX-CAND",'51_版本配置事实'!$C$6:$C$127,$A34,'51_版本配置事实'!$J$6:$J$127,"STANDARD_CURRENT")&gt;0,"STANDARD_CURRENT","NOT_EVIDENCED")</x:f>
        <x:v>NOT_EVIDENCED</x:v>
      </x:c>
      <x:c r="I34" s="19" t="str">
        <x:f>IF(COUNTIFS('51_版本配置事实'!$B$6:$B$127,"PC-N90-ROOF-CAND",'51_版本配置事实'!$C$6:$C$127,$A34,'51_版本配置事实'!$T$6:$T$127,"&lt;&gt;NONE")&gt;0,"CONFLICTED",IF(COUNTIFS('51_版本配置事实'!$B$6:$B$127,"PC-N90-ROOF-CAND",'51_版本配置事实'!$C$6:$C$127,$A34,'51_版本配置事实'!$I$6:$I$127,"STANDARD_AT_RELEASE")&gt;0,"STANDARD_AT_RELEASE",IF(COUNTIFS('51_版本配置事实'!$B$6:$B$127,"PC-N90-ROOF-CAND",'51_版本配置事实'!$C$6:$C$127,$A34,'51_版本配置事实'!$I$6:$I$127,"OPTIONAL_AT_RELEASE")&gt;0,"OPTIONAL_AT_RELEASE",IF(COUNTIFS('51_版本配置事实'!$B$6:$B$127,"PC-N90-ROOF-CAND",'51_版本配置事实'!$C$6:$C$127,$A34,'51_版本配置事实'!$I$6:$I$127,"SEPARATE_PURCHASE")&gt;0,"SEPARATE_PURCHASE",IF(COUNTIFS('51_版本配置事实'!$B$6:$B$127,"PC-N90-ROOF-CAND",'51_版本配置事实'!$C$6:$C$127,$A34,'51_版本配置事实'!$I$6:$I$127,"EQUIPPED_STANDARD_UNCONFIRMED")&gt;0,"EQUIPPED_STANDARD_UNCONFIRMED",IF(COUNTIFS('51_版本配置事实'!$B$6:$B$127,"PC-N90-ROOF-CAND",'51_版本配置事实'!$C$6:$C$127,$A34,'51_版本配置事实'!$I$6:$I$127,"SERIES_CAPABILITY")&gt;0,"SERIES_CAPABILITY",IF(COUNTIFS('51_版本配置事实'!$B$6:$B$127,"PC-N90-ROOF-CAND",'51_版本配置事实'!$C$6:$C$127,$A34,'51_版本配置事实'!$I$6:$I$127,"NOT_DISCLOSED")&gt;0,"NOT_DISCLOSED","NOT_DISCLOSED")))))))</x:f>
        <x:v>NOT_DISCLOSED</x:v>
      </x:c>
      <x:c r="J34" s="19" t="str">
        <x:f>IF(COUNTIFS('51_版本配置事实'!$B$6:$B$127,"PC-N90-ROOF-CAND",'51_版本配置事实'!$C$6:$C$127,$A34,'51_版本配置事实'!$J$6:$J$127,"STANDARD_CURRENT")&gt;0,"STANDARD_CURRENT","NOT_EVIDENCED")</x:f>
        <x:v>NOT_EVIDENCED</x:v>
      </x:c>
      <x:c r="K34" s="19" t="str">
        <x:f>IF(AND(E34=G34,E34&lt;&gt;"NOT_DISCLOSED",E34&lt;&gt;"CONFLICTED"),IF(COUNTIFS('50_发布会逐项主张'!$H$6:$H$137,$A34,'50_发布会逐项主张'!$O$6:$O$137,"ALL_PENGCHENG")&gt;0,"EXPLICIT_COMMON_ANNOUNCED_MAX","MATCHED_NOT_PROVED_COMMON"),"NOT_PROVED_COMMON")</x:f>
        <x:v>NOT_PROVED_COMMON</x:v>
      </x:c>
      <x:c r="L34" s="19" t="str">
        <x:f>IF(OR(C34="NOT_DISCLOSED",E34="NOT_DISCLOSED",C34="CONFLICTED",E34="CONFLICTED"),"UNRESOLVED",IF(C34=E34,"NO_CHANGE",IF(AND(C34="STANDARD_AT_RELEASE",E34="OPTIONAL_AT_RELEASE"),"STANDARD_TO_OPTIONAL",IF(AND(C34="OPTIONAL_AT_RELEASE",E34="STANDARD_AT_RELEASE"),"OPTIONAL_TO_STANDARD",IF(E34="STANDARD_AT_RELEASE","ADDED_STANDARD","REVIEW_CHANGE")))))</x:f>
        <x:v>UNRESOLVED</x:v>
      </x:c>
      <x:c r="M34" s="19" t="str">
        <x:f>IF(OR(E34="NOT_DISCLOSED",G34="NOT_DISCLOSED",E34="CONFLICTED",G34="CONFLICTED"),"UNRESOLVED",IF(E34=G34,"NO_CHANGE",IF(AND(E34="STANDARD_AT_RELEASE",G34="OPTIONAL_AT_RELEASE"),"STANDARD_TO_OPTIONAL",IF(AND(E34="OPTIONAL_AT_RELEASE",G34="STANDARD_AT_RELEASE"),"OPTIONAL_TO_STANDARD",IF(G34="STANDARD_AT_RELEASE","ADDED_STANDARD","REVIEW_CHANGE")))))</x:f>
        <x:v>UNRESOLVED</x:v>
      </x:c>
      <x:c r="N34" s="19" t="str">
        <x:f>IF(OR(G34="NOT_DISCLOSED",I34="NOT_DISCLOSED",G34="CONFLICTED",I34="CONFLICTED"),"UNRESOLVED",IF(G34=I34,"NO_CHANGE",IF(AND(G34="STANDARD_AT_RELEASE",I34="OPTIONAL_AT_RELEASE"),"STANDARD_TO_OPTIONAL",IF(AND(G34="OPTIONAL_AT_RELEASE",I34="STANDARD_AT_RELEASE"),"OPTIONAL_TO_STANDARD",IF(I34="STANDARD_AT_RELEASE","ADDED_STANDARD","REVIEW_CHANGE")))))</x:f>
        <x:v>UNRESOLVED</x:v>
      </x:c>
      <x:c r="O34" s="19" t="str">
        <x:v>OTHER</x:v>
      </x:c>
      <x:c r="P34" s="19" t="str">
        <x:v>DC_SAFETY_emergency_float</x:v>
      </x:c>
      <x:c r="Q34" s="19" t="n">
        <x:f>COUNTIF('50_发布会逐项主张'!$H$6:$H$137,A34)</x:f>
        <x:v>1</x:v>
      </x:c>
      <x:c r="R34" s="19" t="str">
        <x:f>IF(COUNTIFS('50_发布会逐项主张'!$H$6:$H$137,A34,'50_发布会逐项主张'!$X$6:$X$137,"&lt;&gt;NONE")&gt;0,"CONFLICTED","NONE")</x:f>
        <x:v>NONE</x:v>
      </x:c>
    </x:row>
    <x:row r="35" ht="48" customHeight="1">
      <x:c r="A35" s="369" t="str">
        <x:v>fast_charge_15min_range</x:v>
      </x:c>
      <x:c r="B35" s="369" t="str">
        <x:v>ENERGY</x:v>
      </x:c>
      <x:c r="C35" s="369" t="str">
        <x:f>IF(COUNTIFS('51_版本配置事实'!$B$6:$B$127,"PC-N70-BASE-CAND",'51_版本配置事实'!$C$6:$C$127,$A35,'51_版本配置事实'!$T$6:$T$127,"&lt;&gt;NONE")&gt;0,"CONFLICTED",IF(COUNTIFS('51_版本配置事实'!$B$6:$B$127,"PC-N70-BASE-CAND",'51_版本配置事实'!$C$6:$C$127,$A35,'51_版本配置事实'!$I$6:$I$127,"STANDARD_AT_RELEASE")&gt;0,"STANDARD_AT_RELEASE",IF(COUNTIFS('51_版本配置事实'!$B$6:$B$127,"PC-N70-BASE-CAND",'51_版本配置事实'!$C$6:$C$127,$A35,'51_版本配置事实'!$I$6:$I$127,"OPTIONAL_AT_RELEASE")&gt;0,"OPTIONAL_AT_RELEASE",IF(COUNTIFS('51_版本配置事实'!$B$6:$B$127,"PC-N70-BASE-CAND",'51_版本配置事实'!$C$6:$C$127,$A35,'51_版本配置事实'!$I$6:$I$127,"SEPARATE_PURCHASE")&gt;0,"SEPARATE_PURCHASE",IF(COUNTIFS('51_版本配置事实'!$B$6:$B$127,"PC-N70-BASE-CAND",'51_版本配置事实'!$C$6:$C$127,$A35,'51_版本配置事实'!$I$6:$I$127,"EQUIPPED_STANDARD_UNCONFIRMED")&gt;0,"EQUIPPED_STANDARD_UNCONFIRMED",IF(COUNTIFS('51_版本配置事实'!$B$6:$B$127,"PC-N70-BASE-CAND",'51_版本配置事实'!$C$6:$C$127,$A35,'51_版本配置事实'!$I$6:$I$127,"SERIES_CAPABILITY")&gt;0,"SERIES_CAPABILITY",IF(COUNTIFS('51_版本配置事实'!$B$6:$B$127,"PC-N70-BASE-CAND",'51_版本配置事实'!$C$6:$C$127,$A35,'51_版本配置事实'!$I$6:$I$127,"NOT_DISCLOSED")&gt;0,"NOT_DISCLOSED","NOT_DISCLOSED")))))))</x:f>
        <x:v>NOT_DISCLOSED</x:v>
      </x:c>
      <x:c r="D35" s="369" t="str">
        <x:f>IF(COUNTIFS('51_版本配置事实'!$B$6:$B$127,"PC-N70-BASE-CAND",'51_版本配置事实'!$C$6:$C$127,$A35,'51_版本配置事实'!$J$6:$J$127,"STANDARD_CURRENT")&gt;0,"STANDARD_CURRENT","NOT_EVIDENCED")</x:f>
        <x:v>NOT_EVIDENCED</x:v>
      </x:c>
      <x:c r="E35" s="369" t="str">
        <x:f>IF(COUNTIFS('51_版本配置事实'!$B$6:$B$127,"PC-N70-MAX-CAND",'51_版本配置事实'!$C$6:$C$127,$A35,'51_版本配置事实'!$T$6:$T$127,"&lt;&gt;NONE")&gt;0,"CONFLICTED",IF(COUNTIFS('51_版本配置事实'!$B$6:$B$127,"PC-N70-MAX-CAND",'51_版本配置事实'!$C$6:$C$127,$A35,'51_版本配置事实'!$I$6:$I$127,"STANDARD_AT_RELEASE")&gt;0,"STANDARD_AT_RELEASE",IF(COUNTIFS('51_版本配置事实'!$B$6:$B$127,"PC-N70-MAX-CAND",'51_版本配置事实'!$C$6:$C$127,$A35,'51_版本配置事实'!$I$6:$I$127,"OPTIONAL_AT_RELEASE")&gt;0,"OPTIONAL_AT_RELEASE",IF(COUNTIFS('51_版本配置事实'!$B$6:$B$127,"PC-N70-MAX-CAND",'51_版本配置事实'!$C$6:$C$127,$A35,'51_版本配置事实'!$I$6:$I$127,"SEPARATE_PURCHASE")&gt;0,"SEPARATE_PURCHASE",IF(COUNTIFS('51_版本配置事实'!$B$6:$B$127,"PC-N70-MAX-CAND",'51_版本配置事实'!$C$6:$C$127,$A35,'51_版本配置事实'!$I$6:$I$127,"EQUIPPED_STANDARD_UNCONFIRMED")&gt;0,"EQUIPPED_STANDARD_UNCONFIRMED",IF(COUNTIFS('51_版本配置事实'!$B$6:$B$127,"PC-N70-MAX-CAND",'51_版本配置事实'!$C$6:$C$127,$A35,'51_版本配置事实'!$I$6:$I$127,"SERIES_CAPABILITY")&gt;0,"SERIES_CAPABILITY",IF(COUNTIFS('51_版本配置事实'!$B$6:$B$127,"PC-N70-MAX-CAND",'51_版本配置事实'!$C$6:$C$127,$A35,'51_版本配置事实'!$I$6:$I$127,"NOT_DISCLOSED")&gt;0,"NOT_DISCLOSED","NOT_DISCLOSED")))))))</x:f>
        <x:v>NOT_DISCLOSED</x:v>
      </x:c>
      <x:c r="F35" s="369" t="str">
        <x:f>IF(COUNTIFS('51_版本配置事实'!$B$6:$B$127,"PC-N70-MAX-CAND",'51_版本配置事实'!$C$6:$C$127,$A35,'51_版本配置事实'!$J$6:$J$127,"STANDARD_CURRENT")&gt;0,"STANDARD_CURRENT","NOT_EVIDENCED")</x:f>
        <x:v>NOT_EVIDENCED</x:v>
      </x:c>
      <x:c r="G35" s="369" t="str">
        <x:f>IF(COUNTIFS('51_版本配置事实'!$B$6:$B$127,"PC-N90-MAX-CAND",'51_版本配置事实'!$C$6:$C$127,$A35,'51_版本配置事实'!$T$6:$T$127,"&lt;&gt;NONE")&gt;0,"CONFLICTED",IF(COUNTIFS('51_版本配置事实'!$B$6:$B$127,"PC-N90-MAX-CAND",'51_版本配置事实'!$C$6:$C$127,$A35,'51_版本配置事实'!$I$6:$I$127,"STANDARD_AT_RELEASE")&gt;0,"STANDARD_AT_RELEASE",IF(COUNTIFS('51_版本配置事实'!$B$6:$B$127,"PC-N90-MAX-CAND",'51_版本配置事实'!$C$6:$C$127,$A35,'51_版本配置事实'!$I$6:$I$127,"OPTIONAL_AT_RELEASE")&gt;0,"OPTIONAL_AT_RELEASE",IF(COUNTIFS('51_版本配置事实'!$B$6:$B$127,"PC-N90-MAX-CAND",'51_版本配置事实'!$C$6:$C$127,$A35,'51_版本配置事实'!$I$6:$I$127,"SEPARATE_PURCHASE")&gt;0,"SEPARATE_PURCHASE",IF(COUNTIFS('51_版本配置事实'!$B$6:$B$127,"PC-N90-MAX-CAND",'51_版本配置事实'!$C$6:$C$127,$A35,'51_版本配置事实'!$I$6:$I$127,"EQUIPPED_STANDARD_UNCONFIRMED")&gt;0,"EQUIPPED_STANDARD_UNCONFIRMED",IF(COUNTIFS('51_版本配置事实'!$B$6:$B$127,"PC-N90-MAX-CAND",'51_版本配置事实'!$C$6:$C$127,$A35,'51_版本配置事实'!$I$6:$I$127,"SERIES_CAPABILITY")&gt;0,"SERIES_CAPABILITY",IF(COUNTIFS('51_版本配置事实'!$B$6:$B$127,"PC-N90-MAX-CAND",'51_版本配置事实'!$C$6:$C$127,$A35,'51_版本配置事实'!$I$6:$I$127,"NOT_DISCLOSED")&gt;0,"NOT_DISCLOSED","NOT_DISCLOSED")))))))</x:f>
        <x:v>EQUIPPED_STANDARD_UNCONFIRMED</x:v>
      </x:c>
      <x:c r="H35" s="369" t="str">
        <x:f>IF(COUNTIFS('51_版本配置事实'!$B$6:$B$127,"PC-N90-MAX-CAND",'51_版本配置事实'!$C$6:$C$127,$A35,'51_版本配置事实'!$J$6:$J$127,"STANDARD_CURRENT")&gt;0,"STANDARD_CURRENT","NOT_EVIDENCED")</x:f>
        <x:v>NOT_EVIDENCED</x:v>
      </x:c>
      <x:c r="I35" s="369" t="str">
        <x:f>IF(COUNTIFS('51_版本配置事实'!$B$6:$B$127,"PC-N90-ROOF-CAND",'51_版本配置事实'!$C$6:$C$127,$A35,'51_版本配置事实'!$T$6:$T$127,"&lt;&gt;NONE")&gt;0,"CONFLICTED",IF(COUNTIFS('51_版本配置事实'!$B$6:$B$127,"PC-N90-ROOF-CAND",'51_版本配置事实'!$C$6:$C$127,$A35,'51_版本配置事实'!$I$6:$I$127,"STANDARD_AT_RELEASE")&gt;0,"STANDARD_AT_RELEASE",IF(COUNTIFS('51_版本配置事实'!$B$6:$B$127,"PC-N90-ROOF-CAND",'51_版本配置事实'!$C$6:$C$127,$A35,'51_版本配置事实'!$I$6:$I$127,"OPTIONAL_AT_RELEASE")&gt;0,"OPTIONAL_AT_RELEASE",IF(COUNTIFS('51_版本配置事实'!$B$6:$B$127,"PC-N90-ROOF-CAND",'51_版本配置事实'!$C$6:$C$127,$A35,'51_版本配置事实'!$I$6:$I$127,"SEPARATE_PURCHASE")&gt;0,"SEPARATE_PURCHASE",IF(COUNTIFS('51_版本配置事实'!$B$6:$B$127,"PC-N90-ROOF-CAND",'51_版本配置事实'!$C$6:$C$127,$A35,'51_版本配置事实'!$I$6:$I$127,"EQUIPPED_STANDARD_UNCONFIRMED")&gt;0,"EQUIPPED_STANDARD_UNCONFIRMED",IF(COUNTIFS('51_版本配置事实'!$B$6:$B$127,"PC-N90-ROOF-CAND",'51_版本配置事实'!$C$6:$C$127,$A35,'51_版本配置事实'!$I$6:$I$127,"SERIES_CAPABILITY")&gt;0,"SERIES_CAPABILITY",IF(COUNTIFS('51_版本配置事实'!$B$6:$B$127,"PC-N90-ROOF-CAND",'51_版本配置事实'!$C$6:$C$127,$A35,'51_版本配置事实'!$I$6:$I$127,"NOT_DISCLOSED")&gt;0,"NOT_DISCLOSED","NOT_DISCLOSED")))))))</x:f>
        <x:v>NOT_DISCLOSED</x:v>
      </x:c>
      <x:c r="J35" s="369" t="str">
        <x:f>IF(COUNTIFS('51_版本配置事实'!$B$6:$B$127,"PC-N90-ROOF-CAND",'51_版本配置事实'!$C$6:$C$127,$A35,'51_版本配置事实'!$J$6:$J$127,"STANDARD_CURRENT")&gt;0,"STANDARD_CURRENT","NOT_EVIDENCED")</x:f>
        <x:v>NOT_EVIDENCED</x:v>
      </x:c>
      <x:c r="K35" s="369" t="str">
        <x:f>IF(AND(E35=G35,E35&lt;&gt;"NOT_DISCLOSED",E35&lt;&gt;"CONFLICTED"),IF(COUNTIFS('50_发布会逐项主张'!$H$6:$H$137,$A35,'50_发布会逐项主张'!$O$6:$O$137,"ALL_PENGCHENG")&gt;0,"EXPLICIT_COMMON_ANNOUNCED_MAX","MATCHED_NOT_PROVED_COMMON"),"NOT_PROVED_COMMON")</x:f>
        <x:v>NOT_PROVED_COMMON</x:v>
      </x:c>
      <x:c r="L35" s="369" t="str">
        <x:f>IF(OR(C35="NOT_DISCLOSED",E35="NOT_DISCLOSED",C35="CONFLICTED",E35="CONFLICTED"),"UNRESOLVED",IF(C35=E35,"NO_CHANGE",IF(AND(C35="STANDARD_AT_RELEASE",E35="OPTIONAL_AT_RELEASE"),"STANDARD_TO_OPTIONAL",IF(AND(C35="OPTIONAL_AT_RELEASE",E35="STANDARD_AT_RELEASE"),"OPTIONAL_TO_STANDARD",IF(E35="STANDARD_AT_RELEASE","ADDED_STANDARD","REVIEW_CHANGE")))))</x:f>
        <x:v>UNRESOLVED</x:v>
      </x:c>
      <x:c r="M35" s="369" t="str">
        <x:f>IF(OR(E35="NOT_DISCLOSED",G35="NOT_DISCLOSED",E35="CONFLICTED",G35="CONFLICTED"),"UNRESOLVED",IF(E35=G35,"NO_CHANGE",IF(AND(E35="STANDARD_AT_RELEASE",G35="OPTIONAL_AT_RELEASE"),"STANDARD_TO_OPTIONAL",IF(AND(E35="OPTIONAL_AT_RELEASE",G35="STANDARD_AT_RELEASE"),"OPTIONAL_TO_STANDARD",IF(G35="STANDARD_AT_RELEASE","ADDED_STANDARD","REVIEW_CHANGE")))))</x:f>
        <x:v>UNRESOLVED</x:v>
      </x:c>
      <x:c r="N35" s="369" t="str">
        <x:f>IF(OR(G35="NOT_DISCLOSED",I35="NOT_DISCLOSED",G35="CONFLICTED",I35="CONFLICTED"),"UNRESOLVED",IF(G35=I35,"NO_CHANGE",IF(AND(G35="STANDARD_AT_RELEASE",I35="OPTIONAL_AT_RELEASE"),"STANDARD_TO_OPTIONAL",IF(AND(G35="OPTIONAL_AT_RELEASE",I35="STANDARD_AT_RELEASE"),"OPTIONAL_TO_STANDARD",IF(I35="STANDARD_AT_RELEASE","ADDED_STANDARD","REVIEW_CHANGE")))))</x:f>
        <x:v>UNRESOLVED</x:v>
      </x:c>
      <x:c r="O35" s="369" t="str">
        <x:v>ENERGY_SYSTEM</x:v>
      </x:c>
      <x:c r="P35" s="369" t="str">
        <x:v>DC_ENERGY_fast_charge_15min_range</x:v>
      </x:c>
      <x:c r="Q35" s="369" t="n">
        <x:f>COUNTIF('50_发布会逐项主张'!$H$6:$H$137,A35)</x:f>
        <x:v>1</x:v>
      </x:c>
      <x:c r="R35" s="369" t="str">
        <x:f>IF(COUNTIFS('50_发布会逐项主张'!$H$6:$H$137,A35,'50_发布会逐项主张'!$X$6:$X$137,"&lt;&gt;NONE")&gt;0,"CONFLICTED","NONE")</x:f>
        <x:v>NONE</x:v>
      </x:c>
    </x:row>
    <x:row r="36" ht="48" customHeight="1">
      <x:c r="A36" s="19" t="str">
        <x:v>fast_charge_rate</x:v>
      </x:c>
      <x:c r="B36" s="19" t="str">
        <x:v>ENERGY</x:v>
      </x:c>
      <x:c r="C36" s="19" t="str">
        <x:f>IF(COUNTIFS('51_版本配置事实'!$B$6:$B$127,"PC-N70-BASE-CAND",'51_版本配置事实'!$C$6:$C$127,$A36,'51_版本配置事实'!$T$6:$T$127,"&lt;&gt;NONE")&gt;0,"CONFLICTED",IF(COUNTIFS('51_版本配置事实'!$B$6:$B$127,"PC-N70-BASE-CAND",'51_版本配置事实'!$C$6:$C$127,$A36,'51_版本配置事实'!$I$6:$I$127,"STANDARD_AT_RELEASE")&gt;0,"STANDARD_AT_RELEASE",IF(COUNTIFS('51_版本配置事实'!$B$6:$B$127,"PC-N70-BASE-CAND",'51_版本配置事实'!$C$6:$C$127,$A36,'51_版本配置事实'!$I$6:$I$127,"OPTIONAL_AT_RELEASE")&gt;0,"OPTIONAL_AT_RELEASE",IF(COUNTIFS('51_版本配置事实'!$B$6:$B$127,"PC-N70-BASE-CAND",'51_版本配置事实'!$C$6:$C$127,$A36,'51_版本配置事实'!$I$6:$I$127,"SEPARATE_PURCHASE")&gt;0,"SEPARATE_PURCHASE",IF(COUNTIFS('51_版本配置事实'!$B$6:$B$127,"PC-N70-BASE-CAND",'51_版本配置事实'!$C$6:$C$127,$A36,'51_版本配置事实'!$I$6:$I$127,"EQUIPPED_STANDARD_UNCONFIRMED")&gt;0,"EQUIPPED_STANDARD_UNCONFIRMED",IF(COUNTIFS('51_版本配置事实'!$B$6:$B$127,"PC-N70-BASE-CAND",'51_版本配置事实'!$C$6:$C$127,$A36,'51_版本配置事实'!$I$6:$I$127,"SERIES_CAPABILITY")&gt;0,"SERIES_CAPABILITY",IF(COUNTIFS('51_版本配置事实'!$B$6:$B$127,"PC-N70-BASE-CAND",'51_版本配置事实'!$C$6:$C$127,$A36,'51_版本配置事实'!$I$6:$I$127,"NOT_DISCLOSED")&gt;0,"NOT_DISCLOSED","NOT_DISCLOSED")))))))</x:f>
        <x:v>NOT_DISCLOSED</x:v>
      </x:c>
      <x:c r="D36" s="19" t="str">
        <x:f>IF(COUNTIFS('51_版本配置事实'!$B$6:$B$127,"PC-N70-BASE-CAND",'51_版本配置事实'!$C$6:$C$127,$A36,'51_版本配置事实'!$J$6:$J$127,"STANDARD_CURRENT")&gt;0,"STANDARD_CURRENT","NOT_EVIDENCED")</x:f>
        <x:v>NOT_EVIDENCED</x:v>
      </x:c>
      <x:c r="E36" s="19" t="str">
        <x:f>IF(COUNTIFS('51_版本配置事实'!$B$6:$B$127,"PC-N70-MAX-CAND",'51_版本配置事实'!$C$6:$C$127,$A36,'51_版本配置事实'!$T$6:$T$127,"&lt;&gt;NONE")&gt;0,"CONFLICTED",IF(COUNTIFS('51_版本配置事实'!$B$6:$B$127,"PC-N70-MAX-CAND",'51_版本配置事实'!$C$6:$C$127,$A36,'51_版本配置事实'!$I$6:$I$127,"STANDARD_AT_RELEASE")&gt;0,"STANDARD_AT_RELEASE",IF(COUNTIFS('51_版本配置事实'!$B$6:$B$127,"PC-N70-MAX-CAND",'51_版本配置事实'!$C$6:$C$127,$A36,'51_版本配置事实'!$I$6:$I$127,"OPTIONAL_AT_RELEASE")&gt;0,"OPTIONAL_AT_RELEASE",IF(COUNTIFS('51_版本配置事实'!$B$6:$B$127,"PC-N70-MAX-CAND",'51_版本配置事实'!$C$6:$C$127,$A36,'51_版本配置事实'!$I$6:$I$127,"SEPARATE_PURCHASE")&gt;0,"SEPARATE_PURCHASE",IF(COUNTIFS('51_版本配置事实'!$B$6:$B$127,"PC-N70-MAX-CAND",'51_版本配置事实'!$C$6:$C$127,$A36,'51_版本配置事实'!$I$6:$I$127,"EQUIPPED_STANDARD_UNCONFIRMED")&gt;0,"EQUIPPED_STANDARD_UNCONFIRMED",IF(COUNTIFS('51_版本配置事实'!$B$6:$B$127,"PC-N70-MAX-CAND",'51_版本配置事实'!$C$6:$C$127,$A36,'51_版本配置事实'!$I$6:$I$127,"SERIES_CAPABILITY")&gt;0,"SERIES_CAPABILITY",IF(COUNTIFS('51_版本配置事实'!$B$6:$B$127,"PC-N70-MAX-CAND",'51_版本配置事实'!$C$6:$C$127,$A36,'51_版本配置事实'!$I$6:$I$127,"NOT_DISCLOSED")&gt;0,"NOT_DISCLOSED","NOT_DISCLOSED")))))))</x:f>
        <x:v>NOT_DISCLOSED</x:v>
      </x:c>
      <x:c r="F36" s="19" t="str">
        <x:f>IF(COUNTIFS('51_版本配置事实'!$B$6:$B$127,"PC-N70-MAX-CAND",'51_版本配置事实'!$C$6:$C$127,$A36,'51_版本配置事实'!$J$6:$J$127,"STANDARD_CURRENT")&gt;0,"STANDARD_CURRENT","NOT_EVIDENCED")</x:f>
        <x:v>NOT_EVIDENCED</x:v>
      </x:c>
      <x:c r="G36" s="19" t="str">
        <x:f>IF(COUNTIFS('51_版本配置事实'!$B$6:$B$127,"PC-N90-MAX-CAND",'51_版本配置事实'!$C$6:$C$127,$A36,'51_版本配置事实'!$T$6:$T$127,"&lt;&gt;NONE")&gt;0,"CONFLICTED",IF(COUNTIFS('51_版本配置事实'!$B$6:$B$127,"PC-N90-MAX-CAND",'51_版本配置事实'!$C$6:$C$127,$A36,'51_版本配置事实'!$I$6:$I$127,"STANDARD_AT_RELEASE")&gt;0,"STANDARD_AT_RELEASE",IF(COUNTIFS('51_版本配置事实'!$B$6:$B$127,"PC-N90-MAX-CAND",'51_版本配置事实'!$C$6:$C$127,$A36,'51_版本配置事实'!$I$6:$I$127,"OPTIONAL_AT_RELEASE")&gt;0,"OPTIONAL_AT_RELEASE",IF(COUNTIFS('51_版本配置事实'!$B$6:$B$127,"PC-N90-MAX-CAND",'51_版本配置事实'!$C$6:$C$127,$A36,'51_版本配置事实'!$I$6:$I$127,"SEPARATE_PURCHASE")&gt;0,"SEPARATE_PURCHASE",IF(COUNTIFS('51_版本配置事实'!$B$6:$B$127,"PC-N90-MAX-CAND",'51_版本配置事实'!$C$6:$C$127,$A36,'51_版本配置事实'!$I$6:$I$127,"EQUIPPED_STANDARD_UNCONFIRMED")&gt;0,"EQUIPPED_STANDARD_UNCONFIRMED",IF(COUNTIFS('51_版本配置事实'!$B$6:$B$127,"PC-N90-MAX-CAND",'51_版本配置事实'!$C$6:$C$127,$A36,'51_版本配置事实'!$I$6:$I$127,"SERIES_CAPABILITY")&gt;0,"SERIES_CAPABILITY",IF(COUNTIFS('51_版本配置事实'!$B$6:$B$127,"PC-N90-MAX-CAND",'51_版本配置事实'!$C$6:$C$127,$A36,'51_版本配置事实'!$I$6:$I$127,"NOT_DISCLOSED")&gt;0,"NOT_DISCLOSED","NOT_DISCLOSED")))))))</x:f>
        <x:v>NOT_DISCLOSED</x:v>
      </x:c>
      <x:c r="H36" s="19" t="str">
        <x:f>IF(COUNTIFS('51_版本配置事实'!$B$6:$B$127,"PC-N90-MAX-CAND",'51_版本配置事实'!$C$6:$C$127,$A36,'51_版本配置事实'!$J$6:$J$127,"STANDARD_CURRENT")&gt;0,"STANDARD_CURRENT","NOT_EVIDENCED")</x:f>
        <x:v>NOT_EVIDENCED</x:v>
      </x:c>
      <x:c r="I36" s="19" t="str">
        <x:f>IF(COUNTIFS('51_版本配置事实'!$B$6:$B$127,"PC-N90-ROOF-CAND",'51_版本配置事实'!$C$6:$C$127,$A36,'51_版本配置事实'!$T$6:$T$127,"&lt;&gt;NONE")&gt;0,"CONFLICTED",IF(COUNTIFS('51_版本配置事实'!$B$6:$B$127,"PC-N90-ROOF-CAND",'51_版本配置事实'!$C$6:$C$127,$A36,'51_版本配置事实'!$I$6:$I$127,"STANDARD_AT_RELEASE")&gt;0,"STANDARD_AT_RELEASE",IF(COUNTIFS('51_版本配置事实'!$B$6:$B$127,"PC-N90-ROOF-CAND",'51_版本配置事实'!$C$6:$C$127,$A36,'51_版本配置事实'!$I$6:$I$127,"OPTIONAL_AT_RELEASE")&gt;0,"OPTIONAL_AT_RELEASE",IF(COUNTIFS('51_版本配置事实'!$B$6:$B$127,"PC-N90-ROOF-CAND",'51_版本配置事实'!$C$6:$C$127,$A36,'51_版本配置事实'!$I$6:$I$127,"SEPARATE_PURCHASE")&gt;0,"SEPARATE_PURCHASE",IF(COUNTIFS('51_版本配置事实'!$B$6:$B$127,"PC-N90-ROOF-CAND",'51_版本配置事实'!$C$6:$C$127,$A36,'51_版本配置事实'!$I$6:$I$127,"EQUIPPED_STANDARD_UNCONFIRMED")&gt;0,"EQUIPPED_STANDARD_UNCONFIRMED",IF(COUNTIFS('51_版本配置事实'!$B$6:$B$127,"PC-N90-ROOF-CAND",'51_版本配置事实'!$C$6:$C$127,$A36,'51_版本配置事实'!$I$6:$I$127,"SERIES_CAPABILITY")&gt;0,"SERIES_CAPABILITY",IF(COUNTIFS('51_版本配置事实'!$B$6:$B$127,"PC-N90-ROOF-CAND",'51_版本配置事实'!$C$6:$C$127,$A36,'51_版本配置事实'!$I$6:$I$127,"NOT_DISCLOSED")&gt;0,"NOT_DISCLOSED","NOT_DISCLOSED")))))))</x:f>
        <x:v>NOT_DISCLOSED</x:v>
      </x:c>
      <x:c r="J36" s="19" t="str">
        <x:f>IF(COUNTIFS('51_版本配置事实'!$B$6:$B$127,"PC-N90-ROOF-CAND",'51_版本配置事实'!$C$6:$C$127,$A36,'51_版本配置事实'!$J$6:$J$127,"STANDARD_CURRENT")&gt;0,"STANDARD_CURRENT","NOT_EVIDENCED")</x:f>
        <x:v>NOT_EVIDENCED</x:v>
      </x:c>
      <x:c r="K36" s="19" t="str">
        <x:f>IF(AND(E36=G36,E36&lt;&gt;"NOT_DISCLOSED",E36&lt;&gt;"CONFLICTED"),IF(COUNTIFS('50_发布会逐项主张'!$H$6:$H$137,$A36,'50_发布会逐项主张'!$O$6:$O$137,"ALL_PENGCHENG")&gt;0,"EXPLICIT_COMMON_ANNOUNCED_MAX","MATCHED_NOT_PROVED_COMMON"),"NOT_PROVED_COMMON")</x:f>
        <x:v>NOT_PROVED_COMMON</x:v>
      </x:c>
      <x:c r="L36" s="19" t="str">
        <x:f>IF(OR(C36="NOT_DISCLOSED",E36="NOT_DISCLOSED",C36="CONFLICTED",E36="CONFLICTED"),"UNRESOLVED",IF(C36=E36,"NO_CHANGE",IF(AND(C36="STANDARD_AT_RELEASE",E36="OPTIONAL_AT_RELEASE"),"STANDARD_TO_OPTIONAL",IF(AND(C36="OPTIONAL_AT_RELEASE",E36="STANDARD_AT_RELEASE"),"OPTIONAL_TO_STANDARD",IF(E36="STANDARD_AT_RELEASE","ADDED_STANDARD","REVIEW_CHANGE")))))</x:f>
        <x:v>UNRESOLVED</x:v>
      </x:c>
      <x:c r="M36" s="19" t="str">
        <x:f>IF(OR(E36="NOT_DISCLOSED",G36="NOT_DISCLOSED",E36="CONFLICTED",G36="CONFLICTED"),"UNRESOLVED",IF(E36=G36,"NO_CHANGE",IF(AND(E36="STANDARD_AT_RELEASE",G36="OPTIONAL_AT_RELEASE"),"STANDARD_TO_OPTIONAL",IF(AND(E36="OPTIONAL_AT_RELEASE",G36="STANDARD_AT_RELEASE"),"OPTIONAL_TO_STANDARD",IF(G36="STANDARD_AT_RELEASE","ADDED_STANDARD","REVIEW_CHANGE")))))</x:f>
        <x:v>UNRESOLVED</x:v>
      </x:c>
      <x:c r="N36" s="19" t="str">
        <x:f>IF(OR(G36="NOT_DISCLOSED",I36="NOT_DISCLOSED",G36="CONFLICTED",I36="CONFLICTED"),"UNRESOLVED",IF(G36=I36,"NO_CHANGE",IF(AND(G36="STANDARD_AT_RELEASE",I36="OPTIONAL_AT_RELEASE"),"STANDARD_TO_OPTIONAL",IF(AND(G36="OPTIONAL_AT_RELEASE",I36="STANDARD_AT_RELEASE"),"OPTIONAL_TO_STANDARD",IF(I36="STANDARD_AT_RELEASE","ADDED_STANDARD","REVIEW_CHANGE")))))</x:f>
        <x:v>UNRESOLVED</x:v>
      </x:c>
      <x:c r="O36" s="19" t="str">
        <x:v>ENERGY_SYSTEM</x:v>
      </x:c>
      <x:c r="P36" s="19" t="str">
        <x:v>DC_ENERGY_fast_charge_rate</x:v>
      </x:c>
      <x:c r="Q36" s="19" t="n">
        <x:f>COUNTIF('50_发布会逐项主张'!$H$6:$H$137,A36)</x:f>
        <x:v>1</x:v>
      </x:c>
      <x:c r="R36" s="19" t="str">
        <x:f>IF(COUNTIFS('50_发布会逐项主张'!$H$6:$H$137,A36,'50_发布会逐项主张'!$X$6:$X$137,"&lt;&gt;NONE")&gt;0,"CONFLICTED","NONE")</x:f>
        <x:v>NONE</x:v>
      </x:c>
    </x:row>
    <x:row r="37" ht="48" customHeight="1">
      <x:c r="A37" s="369" t="str">
        <x:v>flat_floor_long_rails</x:v>
      </x:c>
      <x:c r="B37" s="369" t="str">
        <x:v>BODY_SPACE</x:v>
      </x:c>
      <x:c r="C37" s="369" t="str">
        <x:f>IF(COUNTIFS('51_版本配置事实'!$B$6:$B$127,"PC-N70-BASE-CAND",'51_版本配置事实'!$C$6:$C$127,$A37,'51_版本配置事实'!$T$6:$T$127,"&lt;&gt;NONE")&gt;0,"CONFLICTED",IF(COUNTIFS('51_版本配置事实'!$B$6:$B$127,"PC-N70-BASE-CAND",'51_版本配置事实'!$C$6:$C$127,$A37,'51_版本配置事实'!$I$6:$I$127,"STANDARD_AT_RELEASE")&gt;0,"STANDARD_AT_RELEASE",IF(COUNTIFS('51_版本配置事实'!$B$6:$B$127,"PC-N70-BASE-CAND",'51_版本配置事实'!$C$6:$C$127,$A37,'51_版本配置事实'!$I$6:$I$127,"OPTIONAL_AT_RELEASE")&gt;0,"OPTIONAL_AT_RELEASE",IF(COUNTIFS('51_版本配置事实'!$B$6:$B$127,"PC-N70-BASE-CAND",'51_版本配置事实'!$C$6:$C$127,$A37,'51_版本配置事实'!$I$6:$I$127,"SEPARATE_PURCHASE")&gt;0,"SEPARATE_PURCHASE",IF(COUNTIFS('51_版本配置事实'!$B$6:$B$127,"PC-N70-BASE-CAND",'51_版本配置事实'!$C$6:$C$127,$A37,'51_版本配置事实'!$I$6:$I$127,"EQUIPPED_STANDARD_UNCONFIRMED")&gt;0,"EQUIPPED_STANDARD_UNCONFIRMED",IF(COUNTIFS('51_版本配置事实'!$B$6:$B$127,"PC-N70-BASE-CAND",'51_版本配置事实'!$C$6:$C$127,$A37,'51_版本配置事实'!$I$6:$I$127,"SERIES_CAPABILITY")&gt;0,"SERIES_CAPABILITY",IF(COUNTIFS('51_版本配置事实'!$B$6:$B$127,"PC-N70-BASE-CAND",'51_版本配置事实'!$C$6:$C$127,$A37,'51_版本配置事实'!$I$6:$I$127,"NOT_DISCLOSED")&gt;0,"NOT_DISCLOSED","NOT_DISCLOSED")))))))</x:f>
        <x:v>NOT_DISCLOSED</x:v>
      </x:c>
      <x:c r="D37" s="369" t="str">
        <x:f>IF(COUNTIFS('51_版本配置事实'!$B$6:$B$127,"PC-N70-BASE-CAND",'51_版本配置事实'!$C$6:$C$127,$A37,'51_版本配置事实'!$J$6:$J$127,"STANDARD_CURRENT")&gt;0,"STANDARD_CURRENT","NOT_EVIDENCED")</x:f>
        <x:v>NOT_EVIDENCED</x:v>
      </x:c>
      <x:c r="E37" s="369" t="str">
        <x:f>IF(COUNTIFS('51_版本配置事实'!$B$6:$B$127,"PC-N70-MAX-CAND",'51_版本配置事实'!$C$6:$C$127,$A37,'51_版本配置事实'!$T$6:$T$127,"&lt;&gt;NONE")&gt;0,"CONFLICTED",IF(COUNTIFS('51_版本配置事实'!$B$6:$B$127,"PC-N70-MAX-CAND",'51_版本配置事实'!$C$6:$C$127,$A37,'51_版本配置事实'!$I$6:$I$127,"STANDARD_AT_RELEASE")&gt;0,"STANDARD_AT_RELEASE",IF(COUNTIFS('51_版本配置事实'!$B$6:$B$127,"PC-N70-MAX-CAND",'51_版本配置事实'!$C$6:$C$127,$A37,'51_版本配置事实'!$I$6:$I$127,"OPTIONAL_AT_RELEASE")&gt;0,"OPTIONAL_AT_RELEASE",IF(COUNTIFS('51_版本配置事实'!$B$6:$B$127,"PC-N70-MAX-CAND",'51_版本配置事实'!$C$6:$C$127,$A37,'51_版本配置事实'!$I$6:$I$127,"SEPARATE_PURCHASE")&gt;0,"SEPARATE_PURCHASE",IF(COUNTIFS('51_版本配置事实'!$B$6:$B$127,"PC-N70-MAX-CAND",'51_版本配置事实'!$C$6:$C$127,$A37,'51_版本配置事实'!$I$6:$I$127,"EQUIPPED_STANDARD_UNCONFIRMED")&gt;0,"EQUIPPED_STANDARD_UNCONFIRMED",IF(COUNTIFS('51_版本配置事实'!$B$6:$B$127,"PC-N70-MAX-CAND",'51_版本配置事实'!$C$6:$C$127,$A37,'51_版本配置事实'!$I$6:$I$127,"SERIES_CAPABILITY")&gt;0,"SERIES_CAPABILITY",IF(COUNTIFS('51_版本配置事实'!$B$6:$B$127,"PC-N70-MAX-CAND",'51_版本配置事实'!$C$6:$C$127,$A37,'51_版本配置事实'!$I$6:$I$127,"NOT_DISCLOSED")&gt;0,"NOT_DISCLOSED","NOT_DISCLOSED")))))))</x:f>
        <x:v>SERIES_CAPABILITY</x:v>
      </x:c>
      <x:c r="F37" s="369" t="str">
        <x:f>IF(COUNTIFS('51_版本配置事实'!$B$6:$B$127,"PC-N70-MAX-CAND",'51_版本配置事实'!$C$6:$C$127,$A37,'51_版本配置事实'!$J$6:$J$127,"STANDARD_CURRENT")&gt;0,"STANDARD_CURRENT","NOT_EVIDENCED")</x:f>
        <x:v>NOT_EVIDENCED</x:v>
      </x:c>
      <x:c r="G37" s="369" t="str">
        <x:f>IF(COUNTIFS('51_版本配置事实'!$B$6:$B$127,"PC-N90-MAX-CAND",'51_版本配置事实'!$C$6:$C$127,$A37,'51_版本配置事实'!$T$6:$T$127,"&lt;&gt;NONE")&gt;0,"CONFLICTED",IF(COUNTIFS('51_版本配置事实'!$B$6:$B$127,"PC-N90-MAX-CAND",'51_版本配置事实'!$C$6:$C$127,$A37,'51_版本配置事实'!$I$6:$I$127,"STANDARD_AT_RELEASE")&gt;0,"STANDARD_AT_RELEASE",IF(COUNTIFS('51_版本配置事实'!$B$6:$B$127,"PC-N90-MAX-CAND",'51_版本配置事实'!$C$6:$C$127,$A37,'51_版本配置事实'!$I$6:$I$127,"OPTIONAL_AT_RELEASE")&gt;0,"OPTIONAL_AT_RELEASE",IF(COUNTIFS('51_版本配置事实'!$B$6:$B$127,"PC-N90-MAX-CAND",'51_版本配置事实'!$C$6:$C$127,$A37,'51_版本配置事实'!$I$6:$I$127,"SEPARATE_PURCHASE")&gt;0,"SEPARATE_PURCHASE",IF(COUNTIFS('51_版本配置事实'!$B$6:$B$127,"PC-N90-MAX-CAND",'51_版本配置事实'!$C$6:$C$127,$A37,'51_版本配置事实'!$I$6:$I$127,"EQUIPPED_STANDARD_UNCONFIRMED")&gt;0,"EQUIPPED_STANDARD_UNCONFIRMED",IF(COUNTIFS('51_版本配置事实'!$B$6:$B$127,"PC-N90-MAX-CAND",'51_版本配置事实'!$C$6:$C$127,$A37,'51_版本配置事实'!$I$6:$I$127,"SERIES_CAPABILITY")&gt;0,"SERIES_CAPABILITY",IF(COUNTIFS('51_版本配置事实'!$B$6:$B$127,"PC-N90-MAX-CAND",'51_版本配置事实'!$C$6:$C$127,$A37,'51_版本配置事实'!$I$6:$I$127,"NOT_DISCLOSED")&gt;0,"NOT_DISCLOSED","NOT_DISCLOSED")))))))</x:f>
        <x:v>SERIES_CAPABILITY</x:v>
      </x:c>
      <x:c r="H37" s="369" t="str">
        <x:f>IF(COUNTIFS('51_版本配置事实'!$B$6:$B$127,"PC-N90-MAX-CAND",'51_版本配置事实'!$C$6:$C$127,$A37,'51_版本配置事实'!$J$6:$J$127,"STANDARD_CURRENT")&gt;0,"STANDARD_CURRENT","NOT_EVIDENCED")</x:f>
        <x:v>NOT_EVIDENCED</x:v>
      </x:c>
      <x:c r="I37" s="369" t="str">
        <x:f>IF(COUNTIFS('51_版本配置事实'!$B$6:$B$127,"PC-N90-ROOF-CAND",'51_版本配置事实'!$C$6:$C$127,$A37,'51_版本配置事实'!$T$6:$T$127,"&lt;&gt;NONE")&gt;0,"CONFLICTED",IF(COUNTIFS('51_版本配置事实'!$B$6:$B$127,"PC-N90-ROOF-CAND",'51_版本配置事实'!$C$6:$C$127,$A37,'51_版本配置事实'!$I$6:$I$127,"STANDARD_AT_RELEASE")&gt;0,"STANDARD_AT_RELEASE",IF(COUNTIFS('51_版本配置事实'!$B$6:$B$127,"PC-N90-ROOF-CAND",'51_版本配置事实'!$C$6:$C$127,$A37,'51_版本配置事实'!$I$6:$I$127,"OPTIONAL_AT_RELEASE")&gt;0,"OPTIONAL_AT_RELEASE",IF(COUNTIFS('51_版本配置事实'!$B$6:$B$127,"PC-N90-ROOF-CAND",'51_版本配置事实'!$C$6:$C$127,$A37,'51_版本配置事实'!$I$6:$I$127,"SEPARATE_PURCHASE")&gt;0,"SEPARATE_PURCHASE",IF(COUNTIFS('51_版本配置事实'!$B$6:$B$127,"PC-N90-ROOF-CAND",'51_版本配置事实'!$C$6:$C$127,$A37,'51_版本配置事实'!$I$6:$I$127,"EQUIPPED_STANDARD_UNCONFIRMED")&gt;0,"EQUIPPED_STANDARD_UNCONFIRMED",IF(COUNTIFS('51_版本配置事实'!$B$6:$B$127,"PC-N90-ROOF-CAND",'51_版本配置事实'!$C$6:$C$127,$A37,'51_版本配置事实'!$I$6:$I$127,"SERIES_CAPABILITY")&gt;0,"SERIES_CAPABILITY",IF(COUNTIFS('51_版本配置事实'!$B$6:$B$127,"PC-N90-ROOF-CAND",'51_版本配置事实'!$C$6:$C$127,$A37,'51_版本配置事实'!$I$6:$I$127,"NOT_DISCLOSED")&gt;0,"NOT_DISCLOSED","NOT_DISCLOSED")))))))</x:f>
        <x:v>NOT_DISCLOSED</x:v>
      </x:c>
      <x:c r="J37" s="369" t="str">
        <x:f>IF(COUNTIFS('51_版本配置事实'!$B$6:$B$127,"PC-N90-ROOF-CAND",'51_版本配置事实'!$C$6:$C$127,$A37,'51_版本配置事实'!$J$6:$J$127,"STANDARD_CURRENT")&gt;0,"STANDARD_CURRENT","NOT_EVIDENCED")</x:f>
        <x:v>NOT_EVIDENCED</x:v>
      </x:c>
      <x:c r="K37" s="369" t="str">
        <x:f>IF(AND(E37=G37,E37&lt;&gt;"NOT_DISCLOSED",E37&lt;&gt;"CONFLICTED"),IF(COUNTIFS('50_发布会逐项主张'!$H$6:$H$137,$A37,'50_发布会逐项主张'!$O$6:$O$137,"ALL_PENGCHENG")&gt;0,"EXPLICIT_COMMON_ANNOUNCED_MAX","MATCHED_NOT_PROVED_COMMON"),"NOT_PROVED_COMMON")</x:f>
        <x:v>MATCHED_NOT_PROVED_COMMON</x:v>
      </x:c>
      <x:c r="L37" s="369" t="str">
        <x:f>IF(OR(C37="NOT_DISCLOSED",E37="NOT_DISCLOSED",C37="CONFLICTED",E37="CONFLICTED"),"UNRESOLVED",IF(C37=E37,"NO_CHANGE",IF(AND(C37="STANDARD_AT_RELEASE",E37="OPTIONAL_AT_RELEASE"),"STANDARD_TO_OPTIONAL",IF(AND(C37="OPTIONAL_AT_RELEASE",E37="STANDARD_AT_RELEASE"),"OPTIONAL_TO_STANDARD",IF(E37="STANDARD_AT_RELEASE","ADDED_STANDARD","REVIEW_CHANGE")))))</x:f>
        <x:v>UNRESOLVED</x:v>
      </x:c>
      <x:c r="M37" s="369" t="str">
        <x:f>IF(OR(E37="NOT_DISCLOSED",G37="NOT_DISCLOSED",E37="CONFLICTED",G37="CONFLICTED"),"UNRESOLVED",IF(E37=G37,"NO_CHANGE",IF(AND(E37="STANDARD_AT_RELEASE",G37="OPTIONAL_AT_RELEASE"),"STANDARD_TO_OPTIONAL",IF(AND(E37="OPTIONAL_AT_RELEASE",G37="STANDARD_AT_RELEASE"),"OPTIONAL_TO_STANDARD",IF(G37="STANDARD_AT_RELEASE","ADDED_STANDARD","REVIEW_CHANGE")))))</x:f>
        <x:v>NO_CHANGE</x:v>
      </x:c>
      <x:c r="N37" s="369" t="str">
        <x:f>IF(OR(G37="NOT_DISCLOSED",I37="NOT_DISCLOSED",G37="CONFLICTED",I37="CONFLICTED"),"UNRESOLVED",IF(G37=I37,"NO_CHANGE",IF(AND(G37="STANDARD_AT_RELEASE",I37="OPTIONAL_AT_RELEASE"),"STANDARD_TO_OPTIONAL",IF(AND(G37="OPTIONAL_AT_RELEASE",I37="STANDARD_AT_RELEASE"),"OPTIONAL_TO_STANDARD",IF(I37="STANDARD_AT_RELEASE","ADDED_STANDARD","REVIEW_CHANGE")))))</x:f>
        <x:v>UNRESOLVED</x:v>
      </x:c>
      <x:c r="O37" s="369" t="str">
        <x:v>BODY_SPACE_SAFETY</x:v>
      </x:c>
      <x:c r="P37" s="369" t="str">
        <x:v>DC_BODY_SPACE_flat_floor_long_rails</x:v>
      </x:c>
      <x:c r="Q37" s="369" t="n">
        <x:f>COUNTIF('50_发布会逐项主张'!$H$6:$H$137,A37)</x:f>
        <x:v>1</x:v>
      </x:c>
      <x:c r="R37" s="369" t="str">
        <x:f>IF(COUNTIFS('50_发布会逐项主张'!$H$6:$H$137,A37,'50_发布会逐项主张'!$X$6:$X$137,"&lt;&gt;NONE")&gt;0,"CONFLICTED","NONE")</x:f>
        <x:v>NONE</x:v>
      </x:c>
    </x:row>
    <x:row r="38" ht="48" customHeight="1">
      <x:c r="A38" s="19" t="str">
        <x:v>flyback_low_voltage</x:v>
      </x:c>
      <x:c r="B38" s="19" t="str">
        <x:v>ELECTRONICS</x:v>
      </x:c>
      <x:c r="C38" s="19" t="str">
        <x:f>IF(COUNTIFS('51_版本配置事实'!$B$6:$B$127,"PC-N70-BASE-CAND",'51_版本配置事实'!$C$6:$C$127,$A38,'51_版本配置事实'!$T$6:$T$127,"&lt;&gt;NONE")&gt;0,"CONFLICTED",IF(COUNTIFS('51_版本配置事实'!$B$6:$B$127,"PC-N70-BASE-CAND",'51_版本配置事实'!$C$6:$C$127,$A38,'51_版本配置事实'!$I$6:$I$127,"STANDARD_AT_RELEASE")&gt;0,"STANDARD_AT_RELEASE",IF(COUNTIFS('51_版本配置事实'!$B$6:$B$127,"PC-N70-BASE-CAND",'51_版本配置事实'!$C$6:$C$127,$A38,'51_版本配置事实'!$I$6:$I$127,"OPTIONAL_AT_RELEASE")&gt;0,"OPTIONAL_AT_RELEASE",IF(COUNTIFS('51_版本配置事实'!$B$6:$B$127,"PC-N70-BASE-CAND",'51_版本配置事实'!$C$6:$C$127,$A38,'51_版本配置事实'!$I$6:$I$127,"SEPARATE_PURCHASE")&gt;0,"SEPARATE_PURCHASE",IF(COUNTIFS('51_版本配置事实'!$B$6:$B$127,"PC-N70-BASE-CAND",'51_版本配置事实'!$C$6:$C$127,$A38,'51_版本配置事实'!$I$6:$I$127,"EQUIPPED_STANDARD_UNCONFIRMED")&gt;0,"EQUIPPED_STANDARD_UNCONFIRMED",IF(COUNTIFS('51_版本配置事实'!$B$6:$B$127,"PC-N70-BASE-CAND",'51_版本配置事实'!$C$6:$C$127,$A38,'51_版本配置事实'!$I$6:$I$127,"SERIES_CAPABILITY")&gt;0,"SERIES_CAPABILITY",IF(COUNTIFS('51_版本配置事实'!$B$6:$B$127,"PC-N70-BASE-CAND",'51_版本配置事实'!$C$6:$C$127,$A38,'51_版本配置事实'!$I$6:$I$127,"NOT_DISCLOSED")&gt;0,"NOT_DISCLOSED","NOT_DISCLOSED")))))))</x:f>
        <x:v>NOT_DISCLOSED</x:v>
      </x:c>
      <x:c r="D38" s="19" t="str">
        <x:f>IF(COUNTIFS('51_版本配置事实'!$B$6:$B$127,"PC-N70-BASE-CAND",'51_版本配置事实'!$C$6:$C$127,$A38,'51_版本配置事实'!$J$6:$J$127,"STANDARD_CURRENT")&gt;0,"STANDARD_CURRENT","NOT_EVIDENCED")</x:f>
        <x:v>NOT_EVIDENCED</x:v>
      </x:c>
      <x:c r="E38" s="19" t="str">
        <x:f>IF(COUNTIFS('51_版本配置事实'!$B$6:$B$127,"PC-N70-MAX-CAND",'51_版本配置事实'!$C$6:$C$127,$A38,'51_版本配置事实'!$T$6:$T$127,"&lt;&gt;NONE")&gt;0,"CONFLICTED",IF(COUNTIFS('51_版本配置事实'!$B$6:$B$127,"PC-N70-MAX-CAND",'51_版本配置事实'!$C$6:$C$127,$A38,'51_版本配置事实'!$I$6:$I$127,"STANDARD_AT_RELEASE")&gt;0,"STANDARD_AT_RELEASE",IF(COUNTIFS('51_版本配置事实'!$B$6:$B$127,"PC-N70-MAX-CAND",'51_版本配置事实'!$C$6:$C$127,$A38,'51_版本配置事实'!$I$6:$I$127,"OPTIONAL_AT_RELEASE")&gt;0,"OPTIONAL_AT_RELEASE",IF(COUNTIFS('51_版本配置事实'!$B$6:$B$127,"PC-N70-MAX-CAND",'51_版本配置事实'!$C$6:$C$127,$A38,'51_版本配置事实'!$I$6:$I$127,"SEPARATE_PURCHASE")&gt;0,"SEPARATE_PURCHASE",IF(COUNTIFS('51_版本配置事实'!$B$6:$B$127,"PC-N70-MAX-CAND",'51_版本配置事实'!$C$6:$C$127,$A38,'51_版本配置事实'!$I$6:$I$127,"EQUIPPED_STANDARD_UNCONFIRMED")&gt;0,"EQUIPPED_STANDARD_UNCONFIRMED",IF(COUNTIFS('51_版本配置事实'!$B$6:$B$127,"PC-N70-MAX-CAND",'51_版本配置事实'!$C$6:$C$127,$A38,'51_版本配置事实'!$I$6:$I$127,"SERIES_CAPABILITY")&gt;0,"SERIES_CAPABILITY",IF(COUNTIFS('51_版本配置事实'!$B$6:$B$127,"PC-N70-MAX-CAND",'51_版本配置事实'!$C$6:$C$127,$A38,'51_版本配置事实'!$I$6:$I$127,"NOT_DISCLOSED")&gt;0,"NOT_DISCLOSED","NOT_DISCLOSED")))))))</x:f>
        <x:v>NOT_DISCLOSED</x:v>
      </x:c>
      <x:c r="F38" s="19" t="str">
        <x:f>IF(COUNTIFS('51_版本配置事实'!$B$6:$B$127,"PC-N70-MAX-CAND",'51_版本配置事实'!$C$6:$C$127,$A38,'51_版本配置事实'!$J$6:$J$127,"STANDARD_CURRENT")&gt;0,"STANDARD_CURRENT","NOT_EVIDENCED")</x:f>
        <x:v>NOT_EVIDENCED</x:v>
      </x:c>
      <x:c r="G38" s="19" t="str">
        <x:f>IF(COUNTIFS('51_版本配置事实'!$B$6:$B$127,"PC-N90-MAX-CAND",'51_版本配置事实'!$C$6:$C$127,$A38,'51_版本配置事实'!$T$6:$T$127,"&lt;&gt;NONE")&gt;0,"CONFLICTED",IF(COUNTIFS('51_版本配置事实'!$B$6:$B$127,"PC-N90-MAX-CAND",'51_版本配置事实'!$C$6:$C$127,$A38,'51_版本配置事实'!$I$6:$I$127,"STANDARD_AT_RELEASE")&gt;0,"STANDARD_AT_RELEASE",IF(COUNTIFS('51_版本配置事实'!$B$6:$B$127,"PC-N90-MAX-CAND",'51_版本配置事实'!$C$6:$C$127,$A38,'51_版本配置事实'!$I$6:$I$127,"OPTIONAL_AT_RELEASE")&gt;0,"OPTIONAL_AT_RELEASE",IF(COUNTIFS('51_版本配置事实'!$B$6:$B$127,"PC-N90-MAX-CAND",'51_版本配置事实'!$C$6:$C$127,$A38,'51_版本配置事实'!$I$6:$I$127,"SEPARATE_PURCHASE")&gt;0,"SEPARATE_PURCHASE",IF(COUNTIFS('51_版本配置事实'!$B$6:$B$127,"PC-N90-MAX-CAND",'51_版本配置事实'!$C$6:$C$127,$A38,'51_版本配置事实'!$I$6:$I$127,"EQUIPPED_STANDARD_UNCONFIRMED")&gt;0,"EQUIPPED_STANDARD_UNCONFIRMED",IF(COUNTIFS('51_版本配置事实'!$B$6:$B$127,"PC-N90-MAX-CAND",'51_版本配置事实'!$C$6:$C$127,$A38,'51_版本配置事实'!$I$6:$I$127,"SERIES_CAPABILITY")&gt;0,"SERIES_CAPABILITY",IF(COUNTIFS('51_版本配置事实'!$B$6:$B$127,"PC-N90-MAX-CAND",'51_版本配置事实'!$C$6:$C$127,$A38,'51_版本配置事实'!$I$6:$I$127,"NOT_DISCLOSED")&gt;0,"NOT_DISCLOSED","NOT_DISCLOSED")))))))</x:f>
        <x:v>STANDARD_AT_RELEASE</x:v>
      </x:c>
      <x:c r="H38" s="19" t="str">
        <x:f>IF(COUNTIFS('51_版本配置事实'!$B$6:$B$127,"PC-N90-MAX-CAND",'51_版本配置事实'!$C$6:$C$127,$A38,'51_版本配置事实'!$J$6:$J$127,"STANDARD_CURRENT")&gt;0,"STANDARD_CURRENT","NOT_EVIDENCED")</x:f>
        <x:v>NOT_EVIDENCED</x:v>
      </x:c>
      <x:c r="I38" s="19" t="str">
        <x:f>IF(COUNTIFS('51_版本配置事实'!$B$6:$B$127,"PC-N90-ROOF-CAND",'51_版本配置事实'!$C$6:$C$127,$A38,'51_版本配置事实'!$T$6:$T$127,"&lt;&gt;NONE")&gt;0,"CONFLICTED",IF(COUNTIFS('51_版本配置事实'!$B$6:$B$127,"PC-N90-ROOF-CAND",'51_版本配置事实'!$C$6:$C$127,$A38,'51_版本配置事实'!$I$6:$I$127,"STANDARD_AT_RELEASE")&gt;0,"STANDARD_AT_RELEASE",IF(COUNTIFS('51_版本配置事实'!$B$6:$B$127,"PC-N90-ROOF-CAND",'51_版本配置事实'!$C$6:$C$127,$A38,'51_版本配置事实'!$I$6:$I$127,"OPTIONAL_AT_RELEASE")&gt;0,"OPTIONAL_AT_RELEASE",IF(COUNTIFS('51_版本配置事实'!$B$6:$B$127,"PC-N90-ROOF-CAND",'51_版本配置事实'!$C$6:$C$127,$A38,'51_版本配置事实'!$I$6:$I$127,"SEPARATE_PURCHASE")&gt;0,"SEPARATE_PURCHASE",IF(COUNTIFS('51_版本配置事实'!$B$6:$B$127,"PC-N90-ROOF-CAND",'51_版本配置事实'!$C$6:$C$127,$A38,'51_版本配置事实'!$I$6:$I$127,"EQUIPPED_STANDARD_UNCONFIRMED")&gt;0,"EQUIPPED_STANDARD_UNCONFIRMED",IF(COUNTIFS('51_版本配置事实'!$B$6:$B$127,"PC-N90-ROOF-CAND",'51_版本配置事实'!$C$6:$C$127,$A38,'51_版本配置事实'!$I$6:$I$127,"SERIES_CAPABILITY")&gt;0,"SERIES_CAPABILITY",IF(COUNTIFS('51_版本配置事实'!$B$6:$B$127,"PC-N90-ROOF-CAND",'51_版本配置事实'!$C$6:$C$127,$A38,'51_版本配置事实'!$I$6:$I$127,"NOT_DISCLOSED")&gt;0,"NOT_DISCLOSED","NOT_DISCLOSED")))))))</x:f>
        <x:v>NOT_DISCLOSED</x:v>
      </x:c>
      <x:c r="J38" s="19" t="str">
        <x:f>IF(COUNTIFS('51_版本配置事实'!$B$6:$B$127,"PC-N90-ROOF-CAND",'51_版本配置事实'!$C$6:$C$127,$A38,'51_版本配置事实'!$J$6:$J$127,"STANDARD_CURRENT")&gt;0,"STANDARD_CURRENT","NOT_EVIDENCED")</x:f>
        <x:v>NOT_EVIDENCED</x:v>
      </x:c>
      <x:c r="K38" s="19" t="str">
        <x:f>IF(AND(E38=G38,E38&lt;&gt;"NOT_DISCLOSED",E38&lt;&gt;"CONFLICTED"),IF(COUNTIFS('50_发布会逐项主张'!$H$6:$H$137,$A38,'50_发布会逐项主张'!$O$6:$O$137,"ALL_PENGCHENG")&gt;0,"EXPLICIT_COMMON_ANNOUNCED_MAX","MATCHED_NOT_PROVED_COMMON"),"NOT_PROVED_COMMON")</x:f>
        <x:v>NOT_PROVED_COMMON</x:v>
      </x:c>
      <x:c r="L38" s="19" t="str">
        <x:f>IF(OR(C38="NOT_DISCLOSED",E38="NOT_DISCLOSED",C38="CONFLICTED",E38="CONFLICTED"),"UNRESOLVED",IF(C38=E38,"NO_CHANGE",IF(AND(C38="STANDARD_AT_RELEASE",E38="OPTIONAL_AT_RELEASE"),"STANDARD_TO_OPTIONAL",IF(AND(C38="OPTIONAL_AT_RELEASE",E38="STANDARD_AT_RELEASE"),"OPTIONAL_TO_STANDARD",IF(E38="STANDARD_AT_RELEASE","ADDED_STANDARD","REVIEW_CHANGE")))))</x:f>
        <x:v>UNRESOLVED</x:v>
      </x:c>
      <x:c r="M38" s="19" t="str">
        <x:f>IF(OR(E38="NOT_DISCLOSED",G38="NOT_DISCLOSED",E38="CONFLICTED",G38="CONFLICTED"),"UNRESOLVED",IF(E38=G38,"NO_CHANGE",IF(AND(E38="STANDARD_AT_RELEASE",G38="OPTIONAL_AT_RELEASE"),"STANDARD_TO_OPTIONAL",IF(AND(E38="OPTIONAL_AT_RELEASE",G38="STANDARD_AT_RELEASE"),"OPTIONAL_TO_STANDARD",IF(G38="STANDARD_AT_RELEASE","ADDED_STANDARD","REVIEW_CHANGE")))))</x:f>
        <x:v>UNRESOLVED</x:v>
      </x:c>
      <x:c r="N38" s="19" t="str">
        <x:f>IF(OR(G38="NOT_DISCLOSED",I38="NOT_DISCLOSED",G38="CONFLICTED",I38="CONFLICTED"),"UNRESOLVED",IF(G38=I38,"NO_CHANGE",IF(AND(G38="STANDARD_AT_RELEASE",I38="OPTIONAL_AT_RELEASE"),"STANDARD_TO_OPTIONAL",IF(AND(G38="OPTIONAL_AT_RELEASE",I38="STANDARD_AT_RELEASE"),"OPTIONAL_TO_STANDARD",IF(I38="STANDARD_AT_RELEASE","ADDED_STANDARD","REVIEW_CHANGE")))))</x:f>
        <x:v>UNRESOLVED</x:v>
      </x:c>
      <x:c r="O38" s="19" t="str">
        <x:v>INTELLIGENCE_EE</x:v>
      </x:c>
      <x:c r="P38" s="19" t="str">
        <x:v>DC_ELECTRONICS_flyback_low_voltage</x:v>
      </x:c>
      <x:c r="Q38" s="19" t="n">
        <x:f>COUNTIF('50_发布会逐项主张'!$H$6:$H$137,A38)</x:f>
        <x:v>1</x:v>
      </x:c>
      <x:c r="R38" s="19" t="str">
        <x:f>IF(COUNTIFS('50_发布会逐项主张'!$H$6:$H$137,A38,'50_发布会逐项主张'!$X$6:$X$137,"&lt;&gt;NONE")&gt;0,"CONFLICTED","NONE")</x:f>
        <x:v>NONE</x:v>
      </x:c>
    </x:row>
    <x:row r="39" ht="48" customHeight="1">
      <x:c r="A39" s="369" t="str">
        <x:v>four_seat_space</x:v>
      </x:c>
      <x:c r="B39" s="369" t="str">
        <x:v>BODY_SPACE</x:v>
      </x:c>
      <x:c r="C39" s="369" t="str">
        <x:f>IF(COUNTIFS('51_版本配置事实'!$B$6:$B$127,"PC-N70-BASE-CAND",'51_版本配置事实'!$C$6:$C$127,$A39,'51_版本配置事实'!$T$6:$T$127,"&lt;&gt;NONE")&gt;0,"CONFLICTED",IF(COUNTIFS('51_版本配置事实'!$B$6:$B$127,"PC-N70-BASE-CAND",'51_版本配置事实'!$C$6:$C$127,$A39,'51_版本配置事实'!$I$6:$I$127,"STANDARD_AT_RELEASE")&gt;0,"STANDARD_AT_RELEASE",IF(COUNTIFS('51_版本配置事实'!$B$6:$B$127,"PC-N70-BASE-CAND",'51_版本配置事实'!$C$6:$C$127,$A39,'51_版本配置事实'!$I$6:$I$127,"OPTIONAL_AT_RELEASE")&gt;0,"OPTIONAL_AT_RELEASE",IF(COUNTIFS('51_版本配置事实'!$B$6:$B$127,"PC-N70-BASE-CAND",'51_版本配置事实'!$C$6:$C$127,$A39,'51_版本配置事实'!$I$6:$I$127,"SEPARATE_PURCHASE")&gt;0,"SEPARATE_PURCHASE",IF(COUNTIFS('51_版本配置事实'!$B$6:$B$127,"PC-N70-BASE-CAND",'51_版本配置事实'!$C$6:$C$127,$A39,'51_版本配置事实'!$I$6:$I$127,"EQUIPPED_STANDARD_UNCONFIRMED")&gt;0,"EQUIPPED_STANDARD_UNCONFIRMED",IF(COUNTIFS('51_版本配置事实'!$B$6:$B$127,"PC-N70-BASE-CAND",'51_版本配置事实'!$C$6:$C$127,$A39,'51_版本配置事实'!$I$6:$I$127,"SERIES_CAPABILITY")&gt;0,"SERIES_CAPABILITY",IF(COUNTIFS('51_版本配置事实'!$B$6:$B$127,"PC-N70-BASE-CAND",'51_版本配置事实'!$C$6:$C$127,$A39,'51_版本配置事实'!$I$6:$I$127,"NOT_DISCLOSED")&gt;0,"NOT_DISCLOSED","NOT_DISCLOSED")))))))</x:f>
        <x:v>NOT_DISCLOSED</x:v>
      </x:c>
      <x:c r="D39" s="369" t="str">
        <x:f>IF(COUNTIFS('51_版本配置事实'!$B$6:$B$127,"PC-N70-BASE-CAND",'51_版本配置事实'!$C$6:$C$127,$A39,'51_版本配置事实'!$J$6:$J$127,"STANDARD_CURRENT")&gt;0,"STANDARD_CURRENT","NOT_EVIDENCED")</x:f>
        <x:v>NOT_EVIDENCED</x:v>
      </x:c>
      <x:c r="E39" s="369" t="str">
        <x:f>IF(COUNTIFS('51_版本配置事实'!$B$6:$B$127,"PC-N70-MAX-CAND",'51_版本配置事实'!$C$6:$C$127,$A39,'51_版本配置事实'!$T$6:$T$127,"&lt;&gt;NONE")&gt;0,"CONFLICTED",IF(COUNTIFS('51_版本配置事实'!$B$6:$B$127,"PC-N70-MAX-CAND",'51_版本配置事实'!$C$6:$C$127,$A39,'51_版本配置事实'!$I$6:$I$127,"STANDARD_AT_RELEASE")&gt;0,"STANDARD_AT_RELEASE",IF(COUNTIFS('51_版本配置事实'!$B$6:$B$127,"PC-N70-MAX-CAND",'51_版本配置事实'!$C$6:$C$127,$A39,'51_版本配置事实'!$I$6:$I$127,"OPTIONAL_AT_RELEASE")&gt;0,"OPTIONAL_AT_RELEASE",IF(COUNTIFS('51_版本配置事实'!$B$6:$B$127,"PC-N70-MAX-CAND",'51_版本配置事实'!$C$6:$C$127,$A39,'51_版本配置事实'!$I$6:$I$127,"SEPARATE_PURCHASE")&gt;0,"SEPARATE_PURCHASE",IF(COUNTIFS('51_版本配置事实'!$B$6:$B$127,"PC-N70-MAX-CAND",'51_版本配置事实'!$C$6:$C$127,$A39,'51_版本配置事实'!$I$6:$I$127,"EQUIPPED_STANDARD_UNCONFIRMED")&gt;0,"EQUIPPED_STANDARD_UNCONFIRMED",IF(COUNTIFS('51_版本配置事实'!$B$6:$B$127,"PC-N70-MAX-CAND",'51_版本配置事实'!$C$6:$C$127,$A39,'51_版本配置事实'!$I$6:$I$127,"SERIES_CAPABILITY")&gt;0,"SERIES_CAPABILITY",IF(COUNTIFS('51_版本配置事实'!$B$6:$B$127,"PC-N70-MAX-CAND",'51_版本配置事实'!$C$6:$C$127,$A39,'51_版本配置事实'!$I$6:$I$127,"NOT_DISCLOSED")&gt;0,"NOT_DISCLOSED","NOT_DISCLOSED")))))))</x:f>
        <x:v>NOT_DISCLOSED</x:v>
      </x:c>
      <x:c r="F39" s="369" t="str">
        <x:f>IF(COUNTIFS('51_版本配置事实'!$B$6:$B$127,"PC-N70-MAX-CAND",'51_版本配置事实'!$C$6:$C$127,$A39,'51_版本配置事实'!$J$6:$J$127,"STANDARD_CURRENT")&gt;0,"STANDARD_CURRENT","NOT_EVIDENCED")</x:f>
        <x:v>NOT_EVIDENCED</x:v>
      </x:c>
      <x:c r="G39" s="369" t="str">
        <x:f>IF(COUNTIFS('51_版本配置事实'!$B$6:$B$127,"PC-N90-MAX-CAND",'51_版本配置事实'!$C$6:$C$127,$A39,'51_版本配置事实'!$T$6:$T$127,"&lt;&gt;NONE")&gt;0,"CONFLICTED",IF(COUNTIFS('51_版本配置事实'!$B$6:$B$127,"PC-N90-MAX-CAND",'51_版本配置事实'!$C$6:$C$127,$A39,'51_版本配置事实'!$I$6:$I$127,"STANDARD_AT_RELEASE")&gt;0,"STANDARD_AT_RELEASE",IF(COUNTIFS('51_版本配置事实'!$B$6:$B$127,"PC-N90-MAX-CAND",'51_版本配置事实'!$C$6:$C$127,$A39,'51_版本配置事实'!$I$6:$I$127,"OPTIONAL_AT_RELEASE")&gt;0,"OPTIONAL_AT_RELEASE",IF(COUNTIFS('51_版本配置事实'!$B$6:$B$127,"PC-N90-MAX-CAND",'51_版本配置事实'!$C$6:$C$127,$A39,'51_版本配置事实'!$I$6:$I$127,"SEPARATE_PURCHASE")&gt;0,"SEPARATE_PURCHASE",IF(COUNTIFS('51_版本配置事实'!$B$6:$B$127,"PC-N90-MAX-CAND",'51_版本配置事实'!$C$6:$C$127,$A39,'51_版本配置事实'!$I$6:$I$127,"EQUIPPED_STANDARD_UNCONFIRMED")&gt;0,"EQUIPPED_STANDARD_UNCONFIRMED",IF(COUNTIFS('51_版本配置事实'!$B$6:$B$127,"PC-N90-MAX-CAND",'51_版本配置事实'!$C$6:$C$127,$A39,'51_版本配置事实'!$I$6:$I$127,"SERIES_CAPABILITY")&gt;0,"SERIES_CAPABILITY",IF(COUNTIFS('51_版本配置事实'!$B$6:$B$127,"PC-N90-MAX-CAND",'51_版本配置事实'!$C$6:$C$127,$A39,'51_版本配置事实'!$I$6:$I$127,"NOT_DISCLOSED")&gt;0,"NOT_DISCLOSED","NOT_DISCLOSED")))))))</x:f>
        <x:v>EQUIPPED_STANDARD_UNCONFIRMED</x:v>
      </x:c>
      <x:c r="H39" s="369" t="str">
        <x:f>IF(COUNTIFS('51_版本配置事实'!$B$6:$B$127,"PC-N90-MAX-CAND",'51_版本配置事实'!$C$6:$C$127,$A39,'51_版本配置事实'!$J$6:$J$127,"STANDARD_CURRENT")&gt;0,"STANDARD_CURRENT","NOT_EVIDENCED")</x:f>
        <x:v>NOT_EVIDENCED</x:v>
      </x:c>
      <x:c r="I39" s="369" t="str">
        <x:f>IF(COUNTIFS('51_版本配置事实'!$B$6:$B$127,"PC-N90-ROOF-CAND",'51_版本配置事实'!$C$6:$C$127,$A39,'51_版本配置事实'!$T$6:$T$127,"&lt;&gt;NONE")&gt;0,"CONFLICTED",IF(COUNTIFS('51_版本配置事实'!$B$6:$B$127,"PC-N90-ROOF-CAND",'51_版本配置事实'!$C$6:$C$127,$A39,'51_版本配置事实'!$I$6:$I$127,"STANDARD_AT_RELEASE")&gt;0,"STANDARD_AT_RELEASE",IF(COUNTIFS('51_版本配置事实'!$B$6:$B$127,"PC-N90-ROOF-CAND",'51_版本配置事实'!$C$6:$C$127,$A39,'51_版本配置事实'!$I$6:$I$127,"OPTIONAL_AT_RELEASE")&gt;0,"OPTIONAL_AT_RELEASE",IF(COUNTIFS('51_版本配置事实'!$B$6:$B$127,"PC-N90-ROOF-CAND",'51_版本配置事实'!$C$6:$C$127,$A39,'51_版本配置事实'!$I$6:$I$127,"SEPARATE_PURCHASE")&gt;0,"SEPARATE_PURCHASE",IF(COUNTIFS('51_版本配置事实'!$B$6:$B$127,"PC-N90-ROOF-CAND",'51_版本配置事实'!$C$6:$C$127,$A39,'51_版本配置事实'!$I$6:$I$127,"EQUIPPED_STANDARD_UNCONFIRMED")&gt;0,"EQUIPPED_STANDARD_UNCONFIRMED",IF(COUNTIFS('51_版本配置事实'!$B$6:$B$127,"PC-N90-ROOF-CAND",'51_版本配置事实'!$C$6:$C$127,$A39,'51_版本配置事实'!$I$6:$I$127,"SERIES_CAPABILITY")&gt;0,"SERIES_CAPABILITY",IF(COUNTIFS('51_版本配置事实'!$B$6:$B$127,"PC-N90-ROOF-CAND",'51_版本配置事实'!$C$6:$C$127,$A39,'51_版本配置事实'!$I$6:$I$127,"NOT_DISCLOSED")&gt;0,"NOT_DISCLOSED","NOT_DISCLOSED")))))))</x:f>
        <x:v>NOT_DISCLOSED</x:v>
      </x:c>
      <x:c r="J39" s="369" t="str">
        <x:f>IF(COUNTIFS('51_版本配置事实'!$B$6:$B$127,"PC-N90-ROOF-CAND",'51_版本配置事实'!$C$6:$C$127,$A39,'51_版本配置事实'!$J$6:$J$127,"STANDARD_CURRENT")&gt;0,"STANDARD_CURRENT","NOT_EVIDENCED")</x:f>
        <x:v>NOT_EVIDENCED</x:v>
      </x:c>
      <x:c r="K39" s="369" t="str">
        <x:f>IF(AND(E39=G39,E39&lt;&gt;"NOT_DISCLOSED",E39&lt;&gt;"CONFLICTED"),IF(COUNTIFS('50_发布会逐项主张'!$H$6:$H$137,$A39,'50_发布会逐项主张'!$O$6:$O$137,"ALL_PENGCHENG")&gt;0,"EXPLICIT_COMMON_ANNOUNCED_MAX","MATCHED_NOT_PROVED_COMMON"),"NOT_PROVED_COMMON")</x:f>
        <x:v>NOT_PROVED_COMMON</x:v>
      </x:c>
      <x:c r="L39" s="369" t="str">
        <x:f>IF(OR(C39="NOT_DISCLOSED",E39="NOT_DISCLOSED",C39="CONFLICTED",E39="CONFLICTED"),"UNRESOLVED",IF(C39=E39,"NO_CHANGE",IF(AND(C39="STANDARD_AT_RELEASE",E39="OPTIONAL_AT_RELEASE"),"STANDARD_TO_OPTIONAL",IF(AND(C39="OPTIONAL_AT_RELEASE",E39="STANDARD_AT_RELEASE"),"OPTIONAL_TO_STANDARD",IF(E39="STANDARD_AT_RELEASE","ADDED_STANDARD","REVIEW_CHANGE")))))</x:f>
        <x:v>UNRESOLVED</x:v>
      </x:c>
      <x:c r="M39" s="369" t="str">
        <x:f>IF(OR(E39="NOT_DISCLOSED",G39="NOT_DISCLOSED",E39="CONFLICTED",G39="CONFLICTED"),"UNRESOLVED",IF(E39=G39,"NO_CHANGE",IF(AND(E39="STANDARD_AT_RELEASE",G39="OPTIONAL_AT_RELEASE"),"STANDARD_TO_OPTIONAL",IF(AND(E39="OPTIONAL_AT_RELEASE",G39="STANDARD_AT_RELEASE"),"OPTIONAL_TO_STANDARD",IF(G39="STANDARD_AT_RELEASE","ADDED_STANDARD","REVIEW_CHANGE")))))</x:f>
        <x:v>UNRESOLVED</x:v>
      </x:c>
      <x:c r="N39" s="369" t="str">
        <x:f>IF(OR(G39="NOT_DISCLOSED",I39="NOT_DISCLOSED",G39="CONFLICTED",I39="CONFLICTED"),"UNRESOLVED",IF(G39=I39,"NO_CHANGE",IF(AND(G39="STANDARD_AT_RELEASE",I39="OPTIONAL_AT_RELEASE"),"STANDARD_TO_OPTIONAL",IF(AND(G39="OPTIONAL_AT_RELEASE",I39="STANDARD_AT_RELEASE"),"OPTIONAL_TO_STANDARD",IF(I39="STANDARD_AT_RELEASE","ADDED_STANDARD","REVIEW_CHANGE")))))</x:f>
        <x:v>UNRESOLVED</x:v>
      </x:c>
      <x:c r="O39" s="369" t="str">
        <x:v>BODY_SPACE_SAFETY</x:v>
      </x:c>
      <x:c r="P39" s="369" t="str">
        <x:v>DC_BODY_SPACE_four_seat_space</x:v>
      </x:c>
      <x:c r="Q39" s="369" t="n">
        <x:f>COUNTIF('50_发布会逐项主张'!$H$6:$H$137,A39)</x:f>
        <x:v>1</x:v>
      </x:c>
      <x:c r="R39" s="369" t="str">
        <x:f>IF(COUNTIFS('50_发布会逐项主张'!$H$6:$H$137,A39,'50_发布会逐项主张'!$X$6:$X$137,"&lt;&gt;NONE")&gt;0,"CONFLICTED","NONE")</x:f>
        <x:v>NONE</x:v>
      </x:c>
    </x:row>
    <x:row r="40" ht="48" customHeight="1">
      <x:c r="A40" s="19" t="str">
        <x:v>fridge_capacity</x:v>
      </x:c>
      <x:c r="B40" s="19" t="str">
        <x:v>CABIN</x:v>
      </x:c>
      <x:c r="C40" s="19" t="str">
        <x:f>IF(COUNTIFS('51_版本配置事实'!$B$6:$B$127,"PC-N70-BASE-CAND",'51_版本配置事实'!$C$6:$C$127,$A40,'51_版本配置事实'!$T$6:$T$127,"&lt;&gt;NONE")&gt;0,"CONFLICTED",IF(COUNTIFS('51_版本配置事实'!$B$6:$B$127,"PC-N70-BASE-CAND",'51_版本配置事实'!$C$6:$C$127,$A40,'51_版本配置事实'!$I$6:$I$127,"STANDARD_AT_RELEASE")&gt;0,"STANDARD_AT_RELEASE",IF(COUNTIFS('51_版本配置事实'!$B$6:$B$127,"PC-N70-BASE-CAND",'51_版本配置事实'!$C$6:$C$127,$A40,'51_版本配置事实'!$I$6:$I$127,"OPTIONAL_AT_RELEASE")&gt;0,"OPTIONAL_AT_RELEASE",IF(COUNTIFS('51_版本配置事实'!$B$6:$B$127,"PC-N70-BASE-CAND",'51_版本配置事实'!$C$6:$C$127,$A40,'51_版本配置事实'!$I$6:$I$127,"SEPARATE_PURCHASE")&gt;0,"SEPARATE_PURCHASE",IF(COUNTIFS('51_版本配置事实'!$B$6:$B$127,"PC-N70-BASE-CAND",'51_版本配置事实'!$C$6:$C$127,$A40,'51_版本配置事实'!$I$6:$I$127,"EQUIPPED_STANDARD_UNCONFIRMED")&gt;0,"EQUIPPED_STANDARD_UNCONFIRMED",IF(COUNTIFS('51_版本配置事实'!$B$6:$B$127,"PC-N70-BASE-CAND",'51_版本配置事实'!$C$6:$C$127,$A40,'51_版本配置事实'!$I$6:$I$127,"SERIES_CAPABILITY")&gt;0,"SERIES_CAPABILITY",IF(COUNTIFS('51_版本配置事实'!$B$6:$B$127,"PC-N70-BASE-CAND",'51_版本配置事实'!$C$6:$C$127,$A40,'51_版本配置事实'!$I$6:$I$127,"NOT_DISCLOSED")&gt;0,"NOT_DISCLOSED","NOT_DISCLOSED")))))))</x:f>
        <x:v>NOT_DISCLOSED</x:v>
      </x:c>
      <x:c r="D40" s="19" t="str">
        <x:f>IF(COUNTIFS('51_版本配置事实'!$B$6:$B$127,"PC-N70-BASE-CAND",'51_版本配置事实'!$C$6:$C$127,$A40,'51_版本配置事实'!$J$6:$J$127,"STANDARD_CURRENT")&gt;0,"STANDARD_CURRENT","NOT_EVIDENCED")</x:f>
        <x:v>NOT_EVIDENCED</x:v>
      </x:c>
      <x:c r="E40" s="19" t="str">
        <x:f>IF(COUNTIFS('51_版本配置事实'!$B$6:$B$127,"PC-N70-MAX-CAND",'51_版本配置事实'!$C$6:$C$127,$A40,'51_版本配置事实'!$T$6:$T$127,"&lt;&gt;NONE")&gt;0,"CONFLICTED",IF(COUNTIFS('51_版本配置事实'!$B$6:$B$127,"PC-N70-MAX-CAND",'51_版本配置事实'!$C$6:$C$127,$A40,'51_版本配置事实'!$I$6:$I$127,"STANDARD_AT_RELEASE")&gt;0,"STANDARD_AT_RELEASE",IF(COUNTIFS('51_版本配置事实'!$B$6:$B$127,"PC-N70-MAX-CAND",'51_版本配置事实'!$C$6:$C$127,$A40,'51_版本配置事实'!$I$6:$I$127,"OPTIONAL_AT_RELEASE")&gt;0,"OPTIONAL_AT_RELEASE",IF(COUNTIFS('51_版本配置事实'!$B$6:$B$127,"PC-N70-MAX-CAND",'51_版本配置事实'!$C$6:$C$127,$A40,'51_版本配置事实'!$I$6:$I$127,"SEPARATE_PURCHASE")&gt;0,"SEPARATE_PURCHASE",IF(COUNTIFS('51_版本配置事实'!$B$6:$B$127,"PC-N70-MAX-CAND",'51_版本配置事实'!$C$6:$C$127,$A40,'51_版本配置事实'!$I$6:$I$127,"EQUIPPED_STANDARD_UNCONFIRMED")&gt;0,"EQUIPPED_STANDARD_UNCONFIRMED",IF(COUNTIFS('51_版本配置事实'!$B$6:$B$127,"PC-N70-MAX-CAND",'51_版本配置事实'!$C$6:$C$127,$A40,'51_版本配置事实'!$I$6:$I$127,"SERIES_CAPABILITY")&gt;0,"SERIES_CAPABILITY",IF(COUNTIFS('51_版本配置事实'!$B$6:$B$127,"PC-N70-MAX-CAND",'51_版本配置事实'!$C$6:$C$127,$A40,'51_版本配置事实'!$I$6:$I$127,"NOT_DISCLOSED")&gt;0,"NOT_DISCLOSED","NOT_DISCLOSED")))))))</x:f>
        <x:v>NOT_DISCLOSED</x:v>
      </x:c>
      <x:c r="F40" s="19" t="str">
        <x:f>IF(COUNTIFS('51_版本配置事实'!$B$6:$B$127,"PC-N70-MAX-CAND",'51_版本配置事实'!$C$6:$C$127,$A40,'51_版本配置事实'!$J$6:$J$127,"STANDARD_CURRENT")&gt;0,"STANDARD_CURRENT","NOT_EVIDENCED")</x:f>
        <x:v>NOT_EVIDENCED</x:v>
      </x:c>
      <x:c r="G40" s="19" t="str">
        <x:f>IF(COUNTIFS('51_版本配置事实'!$B$6:$B$127,"PC-N90-MAX-CAND",'51_版本配置事实'!$C$6:$C$127,$A40,'51_版本配置事实'!$T$6:$T$127,"&lt;&gt;NONE")&gt;0,"CONFLICTED",IF(COUNTIFS('51_版本配置事实'!$B$6:$B$127,"PC-N90-MAX-CAND",'51_版本配置事实'!$C$6:$C$127,$A40,'51_版本配置事实'!$I$6:$I$127,"STANDARD_AT_RELEASE")&gt;0,"STANDARD_AT_RELEASE",IF(COUNTIFS('51_版本配置事实'!$B$6:$B$127,"PC-N90-MAX-CAND",'51_版本配置事实'!$C$6:$C$127,$A40,'51_版本配置事实'!$I$6:$I$127,"OPTIONAL_AT_RELEASE")&gt;0,"OPTIONAL_AT_RELEASE",IF(COUNTIFS('51_版本配置事实'!$B$6:$B$127,"PC-N90-MAX-CAND",'51_版本配置事实'!$C$6:$C$127,$A40,'51_版本配置事实'!$I$6:$I$127,"SEPARATE_PURCHASE")&gt;0,"SEPARATE_PURCHASE",IF(COUNTIFS('51_版本配置事实'!$B$6:$B$127,"PC-N90-MAX-CAND",'51_版本配置事实'!$C$6:$C$127,$A40,'51_版本配置事实'!$I$6:$I$127,"EQUIPPED_STANDARD_UNCONFIRMED")&gt;0,"EQUIPPED_STANDARD_UNCONFIRMED",IF(COUNTIFS('51_版本配置事实'!$B$6:$B$127,"PC-N90-MAX-CAND",'51_版本配置事实'!$C$6:$C$127,$A40,'51_版本配置事实'!$I$6:$I$127,"SERIES_CAPABILITY")&gt;0,"SERIES_CAPABILITY",IF(COUNTIFS('51_版本配置事实'!$B$6:$B$127,"PC-N90-MAX-CAND",'51_版本配置事实'!$C$6:$C$127,$A40,'51_版本配置事实'!$I$6:$I$127,"NOT_DISCLOSED")&gt;0,"NOT_DISCLOSED","NOT_DISCLOSED")))))))</x:f>
        <x:v>EQUIPPED_STANDARD_UNCONFIRMED</x:v>
      </x:c>
      <x:c r="H40" s="19" t="str">
        <x:f>IF(COUNTIFS('51_版本配置事实'!$B$6:$B$127,"PC-N90-MAX-CAND",'51_版本配置事实'!$C$6:$C$127,$A40,'51_版本配置事实'!$J$6:$J$127,"STANDARD_CURRENT")&gt;0,"STANDARD_CURRENT","NOT_EVIDENCED")</x:f>
        <x:v>NOT_EVIDENCED</x:v>
      </x:c>
      <x:c r="I40" s="19" t="str">
        <x:f>IF(COUNTIFS('51_版本配置事实'!$B$6:$B$127,"PC-N90-ROOF-CAND",'51_版本配置事实'!$C$6:$C$127,$A40,'51_版本配置事实'!$T$6:$T$127,"&lt;&gt;NONE")&gt;0,"CONFLICTED",IF(COUNTIFS('51_版本配置事实'!$B$6:$B$127,"PC-N90-ROOF-CAND",'51_版本配置事实'!$C$6:$C$127,$A40,'51_版本配置事实'!$I$6:$I$127,"STANDARD_AT_RELEASE")&gt;0,"STANDARD_AT_RELEASE",IF(COUNTIFS('51_版本配置事实'!$B$6:$B$127,"PC-N90-ROOF-CAND",'51_版本配置事实'!$C$6:$C$127,$A40,'51_版本配置事实'!$I$6:$I$127,"OPTIONAL_AT_RELEASE")&gt;0,"OPTIONAL_AT_RELEASE",IF(COUNTIFS('51_版本配置事实'!$B$6:$B$127,"PC-N90-ROOF-CAND",'51_版本配置事实'!$C$6:$C$127,$A40,'51_版本配置事实'!$I$6:$I$127,"SEPARATE_PURCHASE")&gt;0,"SEPARATE_PURCHASE",IF(COUNTIFS('51_版本配置事实'!$B$6:$B$127,"PC-N90-ROOF-CAND",'51_版本配置事实'!$C$6:$C$127,$A40,'51_版本配置事实'!$I$6:$I$127,"EQUIPPED_STANDARD_UNCONFIRMED")&gt;0,"EQUIPPED_STANDARD_UNCONFIRMED",IF(COUNTIFS('51_版本配置事实'!$B$6:$B$127,"PC-N90-ROOF-CAND",'51_版本配置事实'!$C$6:$C$127,$A40,'51_版本配置事实'!$I$6:$I$127,"SERIES_CAPABILITY")&gt;0,"SERIES_CAPABILITY",IF(COUNTIFS('51_版本配置事实'!$B$6:$B$127,"PC-N90-ROOF-CAND",'51_版本配置事实'!$C$6:$C$127,$A40,'51_版本配置事实'!$I$6:$I$127,"NOT_DISCLOSED")&gt;0,"NOT_DISCLOSED","NOT_DISCLOSED")))))))</x:f>
        <x:v>NOT_DISCLOSED</x:v>
      </x:c>
      <x:c r="J40" s="19" t="str">
        <x:f>IF(COUNTIFS('51_版本配置事实'!$B$6:$B$127,"PC-N90-ROOF-CAND",'51_版本配置事实'!$C$6:$C$127,$A40,'51_版本配置事实'!$J$6:$J$127,"STANDARD_CURRENT")&gt;0,"STANDARD_CURRENT","NOT_EVIDENCED")</x:f>
        <x:v>NOT_EVIDENCED</x:v>
      </x:c>
      <x:c r="K40" s="19" t="str">
        <x:f>IF(AND(E40=G40,E40&lt;&gt;"NOT_DISCLOSED",E40&lt;&gt;"CONFLICTED"),IF(COUNTIFS('50_发布会逐项主张'!$H$6:$H$137,$A40,'50_发布会逐项主张'!$O$6:$O$137,"ALL_PENGCHENG")&gt;0,"EXPLICIT_COMMON_ANNOUNCED_MAX","MATCHED_NOT_PROVED_COMMON"),"NOT_PROVED_COMMON")</x:f>
        <x:v>NOT_PROVED_COMMON</x:v>
      </x:c>
      <x:c r="L40" s="19" t="str">
        <x:f>IF(OR(C40="NOT_DISCLOSED",E40="NOT_DISCLOSED",C40="CONFLICTED",E40="CONFLICTED"),"UNRESOLVED",IF(C40=E40,"NO_CHANGE",IF(AND(C40="STANDARD_AT_RELEASE",E40="OPTIONAL_AT_RELEASE"),"STANDARD_TO_OPTIONAL",IF(AND(C40="OPTIONAL_AT_RELEASE",E40="STANDARD_AT_RELEASE"),"OPTIONAL_TO_STANDARD",IF(E40="STANDARD_AT_RELEASE","ADDED_STANDARD","REVIEW_CHANGE")))))</x:f>
        <x:v>UNRESOLVED</x:v>
      </x:c>
      <x:c r="M40" s="19" t="str">
        <x:f>IF(OR(E40="NOT_DISCLOSED",G40="NOT_DISCLOSED",E40="CONFLICTED",G40="CONFLICTED"),"UNRESOLVED",IF(E40=G40,"NO_CHANGE",IF(AND(E40="STANDARD_AT_RELEASE",G40="OPTIONAL_AT_RELEASE"),"STANDARD_TO_OPTIONAL",IF(AND(E40="OPTIONAL_AT_RELEASE",G40="STANDARD_AT_RELEASE"),"OPTIONAL_TO_STANDARD",IF(G40="STANDARD_AT_RELEASE","ADDED_STANDARD","REVIEW_CHANGE")))))</x:f>
        <x:v>UNRESOLVED</x:v>
      </x:c>
      <x:c r="N40" s="19" t="str">
        <x:f>IF(OR(G40="NOT_DISCLOSED",I40="NOT_DISCLOSED",G40="CONFLICTED",I40="CONFLICTED"),"UNRESOLVED",IF(G40=I40,"NO_CHANGE",IF(AND(G40="STANDARD_AT_RELEASE",I40="OPTIONAL_AT_RELEASE"),"STANDARD_TO_OPTIONAL",IF(AND(G40="OPTIONAL_AT_RELEASE",I40="STANDARD_AT_RELEASE"),"OPTIONAL_TO_STANDARD",IF(I40="STANDARD_AT_RELEASE","ADDED_STANDARD","REVIEW_CHANGE")))))</x:f>
        <x:v>UNRESOLVED</x:v>
      </x:c>
      <x:c r="O40" s="19" t="str">
        <x:v>CABIN_COMFORT</x:v>
      </x:c>
      <x:c r="P40" s="19" t="str">
        <x:v>DC_CABIN_fridge_capacity</x:v>
      </x:c>
      <x:c r="Q40" s="19" t="n">
        <x:f>COUNTIF('50_发布会逐项主张'!$H$6:$H$137,A40)</x:f>
        <x:v>2</x:v>
      </x:c>
      <x:c r="R40" s="19" t="str">
        <x:f>IF(COUNTIFS('50_发布会逐项主张'!$H$6:$H$137,A40,'50_发布会逐项主张'!$X$6:$X$137,"&lt;&gt;NONE")&gt;0,"CONFLICTED","NONE")</x:f>
        <x:v>NONE</x:v>
      </x:c>
    </x:row>
    <x:row r="41" ht="48" customHeight="1">
      <x:c r="A41" s="369" t="str">
        <x:v>fridge_temperature</x:v>
      </x:c>
      <x:c r="B41" s="369" t="str">
        <x:v>CABIN</x:v>
      </x:c>
      <x:c r="C41" s="369" t="str">
        <x:f>IF(COUNTIFS('51_版本配置事实'!$B$6:$B$127,"PC-N70-BASE-CAND",'51_版本配置事实'!$C$6:$C$127,$A41,'51_版本配置事实'!$T$6:$T$127,"&lt;&gt;NONE")&gt;0,"CONFLICTED",IF(COUNTIFS('51_版本配置事实'!$B$6:$B$127,"PC-N70-BASE-CAND",'51_版本配置事实'!$C$6:$C$127,$A41,'51_版本配置事实'!$I$6:$I$127,"STANDARD_AT_RELEASE")&gt;0,"STANDARD_AT_RELEASE",IF(COUNTIFS('51_版本配置事实'!$B$6:$B$127,"PC-N70-BASE-CAND",'51_版本配置事实'!$C$6:$C$127,$A41,'51_版本配置事实'!$I$6:$I$127,"OPTIONAL_AT_RELEASE")&gt;0,"OPTIONAL_AT_RELEASE",IF(COUNTIFS('51_版本配置事实'!$B$6:$B$127,"PC-N70-BASE-CAND",'51_版本配置事实'!$C$6:$C$127,$A41,'51_版本配置事实'!$I$6:$I$127,"SEPARATE_PURCHASE")&gt;0,"SEPARATE_PURCHASE",IF(COUNTIFS('51_版本配置事实'!$B$6:$B$127,"PC-N70-BASE-CAND",'51_版本配置事实'!$C$6:$C$127,$A41,'51_版本配置事实'!$I$6:$I$127,"EQUIPPED_STANDARD_UNCONFIRMED")&gt;0,"EQUIPPED_STANDARD_UNCONFIRMED",IF(COUNTIFS('51_版本配置事实'!$B$6:$B$127,"PC-N70-BASE-CAND",'51_版本配置事实'!$C$6:$C$127,$A41,'51_版本配置事实'!$I$6:$I$127,"SERIES_CAPABILITY")&gt;0,"SERIES_CAPABILITY",IF(COUNTIFS('51_版本配置事实'!$B$6:$B$127,"PC-N70-BASE-CAND",'51_版本配置事实'!$C$6:$C$127,$A41,'51_版本配置事实'!$I$6:$I$127,"NOT_DISCLOSED")&gt;0,"NOT_DISCLOSED","NOT_DISCLOSED")))))))</x:f>
        <x:v>NOT_DISCLOSED</x:v>
      </x:c>
      <x:c r="D41" s="369" t="str">
        <x:f>IF(COUNTIFS('51_版本配置事实'!$B$6:$B$127,"PC-N70-BASE-CAND",'51_版本配置事实'!$C$6:$C$127,$A41,'51_版本配置事实'!$J$6:$J$127,"STANDARD_CURRENT")&gt;0,"STANDARD_CURRENT","NOT_EVIDENCED")</x:f>
        <x:v>NOT_EVIDENCED</x:v>
      </x:c>
      <x:c r="E41" s="369" t="str">
        <x:f>IF(COUNTIFS('51_版本配置事实'!$B$6:$B$127,"PC-N70-MAX-CAND",'51_版本配置事实'!$C$6:$C$127,$A41,'51_版本配置事实'!$T$6:$T$127,"&lt;&gt;NONE")&gt;0,"CONFLICTED",IF(COUNTIFS('51_版本配置事实'!$B$6:$B$127,"PC-N70-MAX-CAND",'51_版本配置事实'!$C$6:$C$127,$A41,'51_版本配置事实'!$I$6:$I$127,"STANDARD_AT_RELEASE")&gt;0,"STANDARD_AT_RELEASE",IF(COUNTIFS('51_版本配置事实'!$B$6:$B$127,"PC-N70-MAX-CAND",'51_版本配置事实'!$C$6:$C$127,$A41,'51_版本配置事实'!$I$6:$I$127,"OPTIONAL_AT_RELEASE")&gt;0,"OPTIONAL_AT_RELEASE",IF(COUNTIFS('51_版本配置事实'!$B$6:$B$127,"PC-N70-MAX-CAND",'51_版本配置事实'!$C$6:$C$127,$A41,'51_版本配置事实'!$I$6:$I$127,"SEPARATE_PURCHASE")&gt;0,"SEPARATE_PURCHASE",IF(COUNTIFS('51_版本配置事实'!$B$6:$B$127,"PC-N70-MAX-CAND",'51_版本配置事实'!$C$6:$C$127,$A41,'51_版本配置事实'!$I$6:$I$127,"EQUIPPED_STANDARD_UNCONFIRMED")&gt;0,"EQUIPPED_STANDARD_UNCONFIRMED",IF(COUNTIFS('51_版本配置事实'!$B$6:$B$127,"PC-N70-MAX-CAND",'51_版本配置事实'!$C$6:$C$127,$A41,'51_版本配置事实'!$I$6:$I$127,"SERIES_CAPABILITY")&gt;0,"SERIES_CAPABILITY",IF(COUNTIFS('51_版本配置事实'!$B$6:$B$127,"PC-N70-MAX-CAND",'51_版本配置事实'!$C$6:$C$127,$A41,'51_版本配置事实'!$I$6:$I$127,"NOT_DISCLOSED")&gt;0,"NOT_DISCLOSED","NOT_DISCLOSED")))))))</x:f>
        <x:v>NOT_DISCLOSED</x:v>
      </x:c>
      <x:c r="F41" s="369" t="str">
        <x:f>IF(COUNTIFS('51_版本配置事实'!$B$6:$B$127,"PC-N70-MAX-CAND",'51_版本配置事实'!$C$6:$C$127,$A41,'51_版本配置事实'!$J$6:$J$127,"STANDARD_CURRENT")&gt;0,"STANDARD_CURRENT","NOT_EVIDENCED")</x:f>
        <x:v>NOT_EVIDENCED</x:v>
      </x:c>
      <x:c r="G41" s="369" t="str">
        <x:f>IF(COUNTIFS('51_版本配置事实'!$B$6:$B$127,"PC-N90-MAX-CAND",'51_版本配置事实'!$C$6:$C$127,$A41,'51_版本配置事实'!$T$6:$T$127,"&lt;&gt;NONE")&gt;0,"CONFLICTED",IF(COUNTIFS('51_版本配置事实'!$B$6:$B$127,"PC-N90-MAX-CAND",'51_版本配置事实'!$C$6:$C$127,$A41,'51_版本配置事实'!$I$6:$I$127,"STANDARD_AT_RELEASE")&gt;0,"STANDARD_AT_RELEASE",IF(COUNTIFS('51_版本配置事实'!$B$6:$B$127,"PC-N90-MAX-CAND",'51_版本配置事实'!$C$6:$C$127,$A41,'51_版本配置事实'!$I$6:$I$127,"OPTIONAL_AT_RELEASE")&gt;0,"OPTIONAL_AT_RELEASE",IF(COUNTIFS('51_版本配置事实'!$B$6:$B$127,"PC-N90-MAX-CAND",'51_版本配置事实'!$C$6:$C$127,$A41,'51_版本配置事实'!$I$6:$I$127,"SEPARATE_PURCHASE")&gt;0,"SEPARATE_PURCHASE",IF(COUNTIFS('51_版本配置事实'!$B$6:$B$127,"PC-N90-MAX-CAND",'51_版本配置事实'!$C$6:$C$127,$A41,'51_版本配置事实'!$I$6:$I$127,"EQUIPPED_STANDARD_UNCONFIRMED")&gt;0,"EQUIPPED_STANDARD_UNCONFIRMED",IF(COUNTIFS('51_版本配置事实'!$B$6:$B$127,"PC-N90-MAX-CAND",'51_版本配置事实'!$C$6:$C$127,$A41,'51_版本配置事实'!$I$6:$I$127,"SERIES_CAPABILITY")&gt;0,"SERIES_CAPABILITY",IF(COUNTIFS('51_版本配置事实'!$B$6:$B$127,"PC-N90-MAX-CAND",'51_版本配置事实'!$C$6:$C$127,$A41,'51_版本配置事实'!$I$6:$I$127,"NOT_DISCLOSED")&gt;0,"NOT_DISCLOSED","NOT_DISCLOSED")))))))</x:f>
        <x:v>EQUIPPED_STANDARD_UNCONFIRMED</x:v>
      </x:c>
      <x:c r="H41" s="369" t="str">
        <x:f>IF(COUNTIFS('51_版本配置事实'!$B$6:$B$127,"PC-N90-MAX-CAND",'51_版本配置事实'!$C$6:$C$127,$A41,'51_版本配置事实'!$J$6:$J$127,"STANDARD_CURRENT")&gt;0,"STANDARD_CURRENT","NOT_EVIDENCED")</x:f>
        <x:v>NOT_EVIDENCED</x:v>
      </x:c>
      <x:c r="I41" s="369" t="str">
        <x:f>IF(COUNTIFS('51_版本配置事实'!$B$6:$B$127,"PC-N90-ROOF-CAND",'51_版本配置事实'!$C$6:$C$127,$A41,'51_版本配置事实'!$T$6:$T$127,"&lt;&gt;NONE")&gt;0,"CONFLICTED",IF(COUNTIFS('51_版本配置事实'!$B$6:$B$127,"PC-N90-ROOF-CAND",'51_版本配置事实'!$C$6:$C$127,$A41,'51_版本配置事实'!$I$6:$I$127,"STANDARD_AT_RELEASE")&gt;0,"STANDARD_AT_RELEASE",IF(COUNTIFS('51_版本配置事实'!$B$6:$B$127,"PC-N90-ROOF-CAND",'51_版本配置事实'!$C$6:$C$127,$A41,'51_版本配置事实'!$I$6:$I$127,"OPTIONAL_AT_RELEASE")&gt;0,"OPTIONAL_AT_RELEASE",IF(COUNTIFS('51_版本配置事实'!$B$6:$B$127,"PC-N90-ROOF-CAND",'51_版本配置事实'!$C$6:$C$127,$A41,'51_版本配置事实'!$I$6:$I$127,"SEPARATE_PURCHASE")&gt;0,"SEPARATE_PURCHASE",IF(COUNTIFS('51_版本配置事实'!$B$6:$B$127,"PC-N90-ROOF-CAND",'51_版本配置事实'!$C$6:$C$127,$A41,'51_版本配置事实'!$I$6:$I$127,"EQUIPPED_STANDARD_UNCONFIRMED")&gt;0,"EQUIPPED_STANDARD_UNCONFIRMED",IF(COUNTIFS('51_版本配置事实'!$B$6:$B$127,"PC-N90-ROOF-CAND",'51_版本配置事实'!$C$6:$C$127,$A41,'51_版本配置事实'!$I$6:$I$127,"SERIES_CAPABILITY")&gt;0,"SERIES_CAPABILITY",IF(COUNTIFS('51_版本配置事实'!$B$6:$B$127,"PC-N90-ROOF-CAND",'51_版本配置事实'!$C$6:$C$127,$A41,'51_版本配置事实'!$I$6:$I$127,"NOT_DISCLOSED")&gt;0,"NOT_DISCLOSED","NOT_DISCLOSED")))))))</x:f>
        <x:v>NOT_DISCLOSED</x:v>
      </x:c>
      <x:c r="J41" s="369" t="str">
        <x:f>IF(COUNTIFS('51_版本配置事实'!$B$6:$B$127,"PC-N90-ROOF-CAND",'51_版本配置事实'!$C$6:$C$127,$A41,'51_版本配置事实'!$J$6:$J$127,"STANDARD_CURRENT")&gt;0,"STANDARD_CURRENT","NOT_EVIDENCED")</x:f>
        <x:v>NOT_EVIDENCED</x:v>
      </x:c>
      <x:c r="K41" s="369" t="str">
        <x:f>IF(AND(E41=G41,E41&lt;&gt;"NOT_DISCLOSED",E41&lt;&gt;"CONFLICTED"),IF(COUNTIFS('50_发布会逐项主张'!$H$6:$H$137,$A41,'50_发布会逐项主张'!$O$6:$O$137,"ALL_PENGCHENG")&gt;0,"EXPLICIT_COMMON_ANNOUNCED_MAX","MATCHED_NOT_PROVED_COMMON"),"NOT_PROVED_COMMON")</x:f>
        <x:v>NOT_PROVED_COMMON</x:v>
      </x:c>
      <x:c r="L41" s="369" t="str">
        <x:f>IF(OR(C41="NOT_DISCLOSED",E41="NOT_DISCLOSED",C41="CONFLICTED",E41="CONFLICTED"),"UNRESOLVED",IF(C41=E41,"NO_CHANGE",IF(AND(C41="STANDARD_AT_RELEASE",E41="OPTIONAL_AT_RELEASE"),"STANDARD_TO_OPTIONAL",IF(AND(C41="OPTIONAL_AT_RELEASE",E41="STANDARD_AT_RELEASE"),"OPTIONAL_TO_STANDARD",IF(E41="STANDARD_AT_RELEASE","ADDED_STANDARD","REVIEW_CHANGE")))))</x:f>
        <x:v>UNRESOLVED</x:v>
      </x:c>
      <x:c r="M41" s="369" t="str">
        <x:f>IF(OR(E41="NOT_DISCLOSED",G41="NOT_DISCLOSED",E41="CONFLICTED",G41="CONFLICTED"),"UNRESOLVED",IF(E41=G41,"NO_CHANGE",IF(AND(E41="STANDARD_AT_RELEASE",G41="OPTIONAL_AT_RELEASE"),"STANDARD_TO_OPTIONAL",IF(AND(E41="OPTIONAL_AT_RELEASE",G41="STANDARD_AT_RELEASE"),"OPTIONAL_TO_STANDARD",IF(G41="STANDARD_AT_RELEASE","ADDED_STANDARD","REVIEW_CHANGE")))))</x:f>
        <x:v>UNRESOLVED</x:v>
      </x:c>
      <x:c r="N41" s="369" t="str">
        <x:f>IF(OR(G41="NOT_DISCLOSED",I41="NOT_DISCLOSED",G41="CONFLICTED",I41="CONFLICTED"),"UNRESOLVED",IF(G41=I41,"NO_CHANGE",IF(AND(G41="STANDARD_AT_RELEASE",I41="OPTIONAL_AT_RELEASE"),"STANDARD_TO_OPTIONAL",IF(AND(G41="OPTIONAL_AT_RELEASE",I41="STANDARD_AT_RELEASE"),"OPTIONAL_TO_STANDARD",IF(I41="STANDARD_AT_RELEASE","ADDED_STANDARD","REVIEW_CHANGE")))))</x:f>
        <x:v>UNRESOLVED</x:v>
      </x:c>
      <x:c r="O41" s="369" t="str">
        <x:v>CABIN_COMFORT</x:v>
      </x:c>
      <x:c r="P41" s="369" t="str">
        <x:v>DC_CABIN_fridge_temperature</x:v>
      </x:c>
      <x:c r="Q41" s="369" t="n">
        <x:f>COUNTIF('50_发布会逐项主张'!$H$6:$H$137,A41)</x:f>
        <x:v>1</x:v>
      </x:c>
      <x:c r="R41" s="369" t="str">
        <x:f>IF(COUNTIFS('50_发布会逐项主张'!$H$6:$H$137,A41,'50_发布会逐项主张'!$X$6:$X$137,"&lt;&gt;NONE")&gt;0,"CONFLICTED","NONE")</x:f>
        <x:v>NONE</x:v>
      </x:c>
    </x:row>
    <x:row r="42" ht="48" customHeight="1">
      <x:c r="A42" s="19" t="str">
        <x:v>front_swivel_seats</x:v>
      </x:c>
      <x:c r="B42" s="19" t="str">
        <x:v>COMFORT</x:v>
      </x:c>
      <x:c r="C42" s="19" t="str">
        <x:f>IF(COUNTIFS('51_版本配置事实'!$B$6:$B$127,"PC-N70-BASE-CAND",'51_版本配置事实'!$C$6:$C$127,$A42,'51_版本配置事实'!$T$6:$T$127,"&lt;&gt;NONE")&gt;0,"CONFLICTED",IF(COUNTIFS('51_版本配置事实'!$B$6:$B$127,"PC-N70-BASE-CAND",'51_版本配置事实'!$C$6:$C$127,$A42,'51_版本配置事实'!$I$6:$I$127,"STANDARD_AT_RELEASE")&gt;0,"STANDARD_AT_RELEASE",IF(COUNTIFS('51_版本配置事实'!$B$6:$B$127,"PC-N70-BASE-CAND",'51_版本配置事实'!$C$6:$C$127,$A42,'51_版本配置事实'!$I$6:$I$127,"OPTIONAL_AT_RELEASE")&gt;0,"OPTIONAL_AT_RELEASE",IF(COUNTIFS('51_版本配置事实'!$B$6:$B$127,"PC-N70-BASE-CAND",'51_版本配置事实'!$C$6:$C$127,$A42,'51_版本配置事实'!$I$6:$I$127,"SEPARATE_PURCHASE")&gt;0,"SEPARATE_PURCHASE",IF(COUNTIFS('51_版本配置事实'!$B$6:$B$127,"PC-N70-BASE-CAND",'51_版本配置事实'!$C$6:$C$127,$A42,'51_版本配置事实'!$I$6:$I$127,"EQUIPPED_STANDARD_UNCONFIRMED")&gt;0,"EQUIPPED_STANDARD_UNCONFIRMED",IF(COUNTIFS('51_版本配置事实'!$B$6:$B$127,"PC-N70-BASE-CAND",'51_版本配置事实'!$C$6:$C$127,$A42,'51_版本配置事实'!$I$6:$I$127,"SERIES_CAPABILITY")&gt;0,"SERIES_CAPABILITY",IF(COUNTIFS('51_版本配置事实'!$B$6:$B$127,"PC-N70-BASE-CAND",'51_版本配置事实'!$C$6:$C$127,$A42,'51_版本配置事实'!$I$6:$I$127,"NOT_DISCLOSED")&gt;0,"NOT_DISCLOSED","NOT_DISCLOSED")))))))</x:f>
        <x:v>NOT_DISCLOSED</x:v>
      </x:c>
      <x:c r="D42" s="19" t="str">
        <x:f>IF(COUNTIFS('51_版本配置事实'!$B$6:$B$127,"PC-N70-BASE-CAND",'51_版本配置事实'!$C$6:$C$127,$A42,'51_版本配置事实'!$J$6:$J$127,"STANDARD_CURRENT")&gt;0,"STANDARD_CURRENT","NOT_EVIDENCED")</x:f>
        <x:v>NOT_EVIDENCED</x:v>
      </x:c>
      <x:c r="E42" s="19" t="str">
        <x:f>IF(COUNTIFS('51_版本配置事实'!$B$6:$B$127,"PC-N70-MAX-CAND",'51_版本配置事实'!$C$6:$C$127,$A42,'51_版本配置事实'!$T$6:$T$127,"&lt;&gt;NONE")&gt;0,"CONFLICTED",IF(COUNTIFS('51_版本配置事实'!$B$6:$B$127,"PC-N70-MAX-CAND",'51_版本配置事实'!$C$6:$C$127,$A42,'51_版本配置事实'!$I$6:$I$127,"STANDARD_AT_RELEASE")&gt;0,"STANDARD_AT_RELEASE",IF(COUNTIFS('51_版本配置事实'!$B$6:$B$127,"PC-N70-MAX-CAND",'51_版本配置事实'!$C$6:$C$127,$A42,'51_版本配置事实'!$I$6:$I$127,"OPTIONAL_AT_RELEASE")&gt;0,"OPTIONAL_AT_RELEASE",IF(COUNTIFS('51_版本配置事实'!$B$6:$B$127,"PC-N70-MAX-CAND",'51_版本配置事实'!$C$6:$C$127,$A42,'51_版本配置事实'!$I$6:$I$127,"SEPARATE_PURCHASE")&gt;0,"SEPARATE_PURCHASE",IF(COUNTIFS('51_版本配置事实'!$B$6:$B$127,"PC-N70-MAX-CAND",'51_版本配置事实'!$C$6:$C$127,$A42,'51_版本配置事实'!$I$6:$I$127,"EQUIPPED_STANDARD_UNCONFIRMED")&gt;0,"EQUIPPED_STANDARD_UNCONFIRMED",IF(COUNTIFS('51_版本配置事实'!$B$6:$B$127,"PC-N70-MAX-CAND",'51_版本配置事实'!$C$6:$C$127,$A42,'51_版本配置事实'!$I$6:$I$127,"SERIES_CAPABILITY")&gt;0,"SERIES_CAPABILITY",IF(COUNTIFS('51_版本配置事实'!$B$6:$B$127,"PC-N70-MAX-CAND",'51_版本配置事实'!$C$6:$C$127,$A42,'51_版本配置事实'!$I$6:$I$127,"NOT_DISCLOSED")&gt;0,"NOT_DISCLOSED","NOT_DISCLOSED")))))))</x:f>
        <x:v>NOT_DISCLOSED</x:v>
      </x:c>
      <x:c r="F42" s="19" t="str">
        <x:f>IF(COUNTIFS('51_版本配置事实'!$B$6:$B$127,"PC-N70-MAX-CAND",'51_版本配置事实'!$C$6:$C$127,$A42,'51_版本配置事实'!$J$6:$J$127,"STANDARD_CURRENT")&gt;0,"STANDARD_CURRENT","NOT_EVIDENCED")</x:f>
        <x:v>NOT_EVIDENCED</x:v>
      </x:c>
      <x:c r="G42" s="19" t="str">
        <x:f>IF(COUNTIFS('51_版本配置事实'!$B$6:$B$127,"PC-N90-MAX-CAND",'51_版本配置事实'!$C$6:$C$127,$A42,'51_版本配置事实'!$T$6:$T$127,"&lt;&gt;NONE")&gt;0,"CONFLICTED",IF(COUNTIFS('51_版本配置事实'!$B$6:$B$127,"PC-N90-MAX-CAND",'51_版本配置事实'!$C$6:$C$127,$A42,'51_版本配置事实'!$I$6:$I$127,"STANDARD_AT_RELEASE")&gt;0,"STANDARD_AT_RELEASE",IF(COUNTIFS('51_版本配置事实'!$B$6:$B$127,"PC-N90-MAX-CAND",'51_版本配置事实'!$C$6:$C$127,$A42,'51_版本配置事实'!$I$6:$I$127,"OPTIONAL_AT_RELEASE")&gt;0,"OPTIONAL_AT_RELEASE",IF(COUNTIFS('51_版本配置事实'!$B$6:$B$127,"PC-N90-MAX-CAND",'51_版本配置事实'!$C$6:$C$127,$A42,'51_版本配置事实'!$I$6:$I$127,"SEPARATE_PURCHASE")&gt;0,"SEPARATE_PURCHASE",IF(COUNTIFS('51_版本配置事实'!$B$6:$B$127,"PC-N90-MAX-CAND",'51_版本配置事实'!$C$6:$C$127,$A42,'51_版本配置事实'!$I$6:$I$127,"EQUIPPED_STANDARD_UNCONFIRMED")&gt;0,"EQUIPPED_STANDARD_UNCONFIRMED",IF(COUNTIFS('51_版本配置事实'!$B$6:$B$127,"PC-N90-MAX-CAND",'51_版本配置事实'!$C$6:$C$127,$A42,'51_版本配置事实'!$I$6:$I$127,"SERIES_CAPABILITY")&gt;0,"SERIES_CAPABILITY",IF(COUNTIFS('51_版本配置事实'!$B$6:$B$127,"PC-N90-MAX-CAND",'51_版本配置事实'!$C$6:$C$127,$A42,'51_版本配置事实'!$I$6:$I$127,"NOT_DISCLOSED")&gt;0,"NOT_DISCLOSED","NOT_DISCLOSED")))))))</x:f>
        <x:v>OPTIONAL_AT_RELEASE</x:v>
      </x:c>
      <x:c r="H42" s="19" t="str">
        <x:f>IF(COUNTIFS('51_版本配置事实'!$B$6:$B$127,"PC-N90-MAX-CAND",'51_版本配置事实'!$C$6:$C$127,$A42,'51_版本配置事实'!$J$6:$J$127,"STANDARD_CURRENT")&gt;0,"STANDARD_CURRENT","NOT_EVIDENCED")</x:f>
        <x:v>NOT_EVIDENCED</x:v>
      </x:c>
      <x:c r="I42" s="19" t="str">
        <x:f>IF(COUNTIFS('51_版本配置事实'!$B$6:$B$127,"PC-N90-ROOF-CAND",'51_版本配置事实'!$C$6:$C$127,$A42,'51_版本配置事实'!$T$6:$T$127,"&lt;&gt;NONE")&gt;0,"CONFLICTED",IF(COUNTIFS('51_版本配置事实'!$B$6:$B$127,"PC-N90-ROOF-CAND",'51_版本配置事实'!$C$6:$C$127,$A42,'51_版本配置事实'!$I$6:$I$127,"STANDARD_AT_RELEASE")&gt;0,"STANDARD_AT_RELEASE",IF(COUNTIFS('51_版本配置事实'!$B$6:$B$127,"PC-N90-ROOF-CAND",'51_版本配置事实'!$C$6:$C$127,$A42,'51_版本配置事实'!$I$6:$I$127,"OPTIONAL_AT_RELEASE")&gt;0,"OPTIONAL_AT_RELEASE",IF(COUNTIFS('51_版本配置事实'!$B$6:$B$127,"PC-N90-ROOF-CAND",'51_版本配置事实'!$C$6:$C$127,$A42,'51_版本配置事实'!$I$6:$I$127,"SEPARATE_PURCHASE")&gt;0,"SEPARATE_PURCHASE",IF(COUNTIFS('51_版本配置事实'!$B$6:$B$127,"PC-N90-ROOF-CAND",'51_版本配置事实'!$C$6:$C$127,$A42,'51_版本配置事实'!$I$6:$I$127,"EQUIPPED_STANDARD_UNCONFIRMED")&gt;0,"EQUIPPED_STANDARD_UNCONFIRMED",IF(COUNTIFS('51_版本配置事实'!$B$6:$B$127,"PC-N90-ROOF-CAND",'51_版本配置事实'!$C$6:$C$127,$A42,'51_版本配置事实'!$I$6:$I$127,"SERIES_CAPABILITY")&gt;0,"SERIES_CAPABILITY",IF(COUNTIFS('51_版本配置事实'!$B$6:$B$127,"PC-N90-ROOF-CAND",'51_版本配置事实'!$C$6:$C$127,$A42,'51_版本配置事实'!$I$6:$I$127,"NOT_DISCLOSED")&gt;0,"NOT_DISCLOSED","NOT_DISCLOSED")))))))</x:f>
        <x:v>NOT_DISCLOSED</x:v>
      </x:c>
      <x:c r="J42" s="19" t="str">
        <x:f>IF(COUNTIFS('51_版本配置事实'!$B$6:$B$127,"PC-N90-ROOF-CAND",'51_版本配置事实'!$C$6:$C$127,$A42,'51_版本配置事实'!$J$6:$J$127,"STANDARD_CURRENT")&gt;0,"STANDARD_CURRENT","NOT_EVIDENCED")</x:f>
        <x:v>NOT_EVIDENCED</x:v>
      </x:c>
      <x:c r="K42" s="19" t="str">
        <x:f>IF(AND(E42=G42,E42&lt;&gt;"NOT_DISCLOSED",E42&lt;&gt;"CONFLICTED"),IF(COUNTIFS('50_发布会逐项主张'!$H$6:$H$137,$A42,'50_发布会逐项主张'!$O$6:$O$137,"ALL_PENGCHENG")&gt;0,"EXPLICIT_COMMON_ANNOUNCED_MAX","MATCHED_NOT_PROVED_COMMON"),"NOT_PROVED_COMMON")</x:f>
        <x:v>NOT_PROVED_COMMON</x:v>
      </x:c>
      <x:c r="L42" s="19" t="str">
        <x:f>IF(OR(C42="NOT_DISCLOSED",E42="NOT_DISCLOSED",C42="CONFLICTED",E42="CONFLICTED"),"UNRESOLVED",IF(C42=E42,"NO_CHANGE",IF(AND(C42="STANDARD_AT_RELEASE",E42="OPTIONAL_AT_RELEASE"),"STANDARD_TO_OPTIONAL",IF(AND(C42="OPTIONAL_AT_RELEASE",E42="STANDARD_AT_RELEASE"),"OPTIONAL_TO_STANDARD",IF(E42="STANDARD_AT_RELEASE","ADDED_STANDARD","REVIEW_CHANGE")))))</x:f>
        <x:v>UNRESOLVED</x:v>
      </x:c>
      <x:c r="M42" s="19" t="str">
        <x:f>IF(OR(E42="NOT_DISCLOSED",G42="NOT_DISCLOSED",E42="CONFLICTED",G42="CONFLICTED"),"UNRESOLVED",IF(E42=G42,"NO_CHANGE",IF(AND(E42="STANDARD_AT_RELEASE",G42="OPTIONAL_AT_RELEASE"),"STANDARD_TO_OPTIONAL",IF(AND(E42="OPTIONAL_AT_RELEASE",G42="STANDARD_AT_RELEASE"),"OPTIONAL_TO_STANDARD",IF(G42="STANDARD_AT_RELEASE","ADDED_STANDARD","REVIEW_CHANGE")))))</x:f>
        <x:v>UNRESOLVED</x:v>
      </x:c>
      <x:c r="N42" s="19" t="str">
        <x:f>IF(OR(G42="NOT_DISCLOSED",I42="NOT_DISCLOSED",G42="CONFLICTED",I42="CONFLICTED"),"UNRESOLVED",IF(G42=I42,"NO_CHANGE",IF(AND(G42="STANDARD_AT_RELEASE",I42="OPTIONAL_AT_RELEASE"),"STANDARD_TO_OPTIONAL",IF(AND(G42="OPTIONAL_AT_RELEASE",I42="STANDARD_AT_RELEASE"),"OPTIONAL_TO_STANDARD",IF(I42="STANDARD_AT_RELEASE","ADDED_STANDARD","REVIEW_CHANGE")))))</x:f>
        <x:v>UNRESOLVED</x:v>
      </x:c>
      <x:c r="O42" s="19" t="str">
        <x:v>CABIN_COMFORT</x:v>
      </x:c>
      <x:c r="P42" s="19" t="str">
        <x:v>DC_COMFORT_front_swivel_seats</x:v>
      </x:c>
      <x:c r="Q42" s="19" t="n">
        <x:f>COUNTIF('50_发布会逐项主张'!$H$6:$H$137,A42)</x:f>
        <x:v>2</x:v>
      </x:c>
      <x:c r="R42" s="19" t="str">
        <x:f>IF(COUNTIFS('50_发布会逐项主张'!$H$6:$H$137,A42,'50_发布会逐项主张'!$X$6:$X$137,"&lt;&gt;NONE")&gt;0,"CONFLICTED","NONE")</x:f>
        <x:v>NONE</x:v>
      </x:c>
    </x:row>
    <x:row r="43" ht="48" customHeight="1">
      <x:c r="A43" s="369" t="str">
        <x:v>fuel_grade_support</x:v>
      </x:c>
      <x:c r="B43" s="369" t="str">
        <x:v>ENERGY</x:v>
      </x:c>
      <x:c r="C43" s="369" t="str">
        <x:f>IF(COUNTIFS('51_版本配置事实'!$B$6:$B$127,"PC-N70-BASE-CAND",'51_版本配置事实'!$C$6:$C$127,$A43,'51_版本配置事实'!$T$6:$T$127,"&lt;&gt;NONE")&gt;0,"CONFLICTED",IF(COUNTIFS('51_版本配置事实'!$B$6:$B$127,"PC-N70-BASE-CAND",'51_版本配置事实'!$C$6:$C$127,$A43,'51_版本配置事实'!$I$6:$I$127,"STANDARD_AT_RELEASE")&gt;0,"STANDARD_AT_RELEASE",IF(COUNTIFS('51_版本配置事实'!$B$6:$B$127,"PC-N70-BASE-CAND",'51_版本配置事实'!$C$6:$C$127,$A43,'51_版本配置事实'!$I$6:$I$127,"OPTIONAL_AT_RELEASE")&gt;0,"OPTIONAL_AT_RELEASE",IF(COUNTIFS('51_版本配置事实'!$B$6:$B$127,"PC-N70-BASE-CAND",'51_版本配置事实'!$C$6:$C$127,$A43,'51_版本配置事实'!$I$6:$I$127,"SEPARATE_PURCHASE")&gt;0,"SEPARATE_PURCHASE",IF(COUNTIFS('51_版本配置事实'!$B$6:$B$127,"PC-N70-BASE-CAND",'51_版本配置事实'!$C$6:$C$127,$A43,'51_版本配置事实'!$I$6:$I$127,"EQUIPPED_STANDARD_UNCONFIRMED")&gt;0,"EQUIPPED_STANDARD_UNCONFIRMED",IF(COUNTIFS('51_版本配置事实'!$B$6:$B$127,"PC-N70-BASE-CAND",'51_版本配置事实'!$C$6:$C$127,$A43,'51_版本配置事实'!$I$6:$I$127,"SERIES_CAPABILITY")&gt;0,"SERIES_CAPABILITY",IF(COUNTIFS('51_版本配置事实'!$B$6:$B$127,"PC-N70-BASE-CAND",'51_版本配置事实'!$C$6:$C$127,$A43,'51_版本配置事实'!$I$6:$I$127,"NOT_DISCLOSED")&gt;0,"NOT_DISCLOSED","NOT_DISCLOSED")))))))</x:f>
        <x:v>NOT_DISCLOSED</x:v>
      </x:c>
      <x:c r="D43" s="369" t="str">
        <x:f>IF(COUNTIFS('51_版本配置事实'!$B$6:$B$127,"PC-N70-BASE-CAND",'51_版本配置事实'!$C$6:$C$127,$A43,'51_版本配置事实'!$J$6:$J$127,"STANDARD_CURRENT")&gt;0,"STANDARD_CURRENT","NOT_EVIDENCED")</x:f>
        <x:v>NOT_EVIDENCED</x:v>
      </x:c>
      <x:c r="E43" s="369" t="str">
        <x:f>IF(COUNTIFS('51_版本配置事实'!$B$6:$B$127,"PC-N70-MAX-CAND",'51_版本配置事实'!$C$6:$C$127,$A43,'51_版本配置事实'!$T$6:$T$127,"&lt;&gt;NONE")&gt;0,"CONFLICTED",IF(COUNTIFS('51_版本配置事实'!$B$6:$B$127,"PC-N70-MAX-CAND",'51_版本配置事实'!$C$6:$C$127,$A43,'51_版本配置事实'!$I$6:$I$127,"STANDARD_AT_RELEASE")&gt;0,"STANDARD_AT_RELEASE",IF(COUNTIFS('51_版本配置事实'!$B$6:$B$127,"PC-N70-MAX-CAND",'51_版本配置事实'!$C$6:$C$127,$A43,'51_版本配置事实'!$I$6:$I$127,"OPTIONAL_AT_RELEASE")&gt;0,"OPTIONAL_AT_RELEASE",IF(COUNTIFS('51_版本配置事实'!$B$6:$B$127,"PC-N70-MAX-CAND",'51_版本配置事实'!$C$6:$C$127,$A43,'51_版本配置事实'!$I$6:$I$127,"SEPARATE_PURCHASE")&gt;0,"SEPARATE_PURCHASE",IF(COUNTIFS('51_版本配置事实'!$B$6:$B$127,"PC-N70-MAX-CAND",'51_版本配置事实'!$C$6:$C$127,$A43,'51_版本配置事实'!$I$6:$I$127,"EQUIPPED_STANDARD_UNCONFIRMED")&gt;0,"EQUIPPED_STANDARD_UNCONFIRMED",IF(COUNTIFS('51_版本配置事实'!$B$6:$B$127,"PC-N70-MAX-CAND",'51_版本配置事实'!$C$6:$C$127,$A43,'51_版本配置事实'!$I$6:$I$127,"SERIES_CAPABILITY")&gt;0,"SERIES_CAPABILITY",IF(COUNTIFS('51_版本配置事实'!$B$6:$B$127,"PC-N70-MAX-CAND",'51_版本配置事实'!$C$6:$C$127,$A43,'51_版本配置事实'!$I$6:$I$127,"NOT_DISCLOSED")&gt;0,"NOT_DISCLOSED","NOT_DISCLOSED")))))))</x:f>
        <x:v>NOT_DISCLOSED</x:v>
      </x:c>
      <x:c r="F43" s="369" t="str">
        <x:f>IF(COUNTIFS('51_版本配置事实'!$B$6:$B$127,"PC-N70-MAX-CAND",'51_版本配置事实'!$C$6:$C$127,$A43,'51_版本配置事实'!$J$6:$J$127,"STANDARD_CURRENT")&gt;0,"STANDARD_CURRENT","NOT_EVIDENCED")</x:f>
        <x:v>NOT_EVIDENCED</x:v>
      </x:c>
      <x:c r="G43" s="369" t="str">
        <x:f>IF(COUNTIFS('51_版本配置事实'!$B$6:$B$127,"PC-N90-MAX-CAND",'51_版本配置事实'!$C$6:$C$127,$A43,'51_版本配置事实'!$T$6:$T$127,"&lt;&gt;NONE")&gt;0,"CONFLICTED",IF(COUNTIFS('51_版本配置事实'!$B$6:$B$127,"PC-N90-MAX-CAND",'51_版本配置事实'!$C$6:$C$127,$A43,'51_版本配置事实'!$I$6:$I$127,"STANDARD_AT_RELEASE")&gt;0,"STANDARD_AT_RELEASE",IF(COUNTIFS('51_版本配置事实'!$B$6:$B$127,"PC-N90-MAX-CAND",'51_版本配置事实'!$C$6:$C$127,$A43,'51_版本配置事实'!$I$6:$I$127,"OPTIONAL_AT_RELEASE")&gt;0,"OPTIONAL_AT_RELEASE",IF(COUNTIFS('51_版本配置事实'!$B$6:$B$127,"PC-N90-MAX-CAND",'51_版本配置事实'!$C$6:$C$127,$A43,'51_版本配置事实'!$I$6:$I$127,"SEPARATE_PURCHASE")&gt;0,"SEPARATE_PURCHASE",IF(COUNTIFS('51_版本配置事实'!$B$6:$B$127,"PC-N90-MAX-CAND",'51_版本配置事实'!$C$6:$C$127,$A43,'51_版本配置事实'!$I$6:$I$127,"EQUIPPED_STANDARD_UNCONFIRMED")&gt;0,"EQUIPPED_STANDARD_UNCONFIRMED",IF(COUNTIFS('51_版本配置事实'!$B$6:$B$127,"PC-N90-MAX-CAND",'51_版本配置事实'!$C$6:$C$127,$A43,'51_版本配置事实'!$I$6:$I$127,"SERIES_CAPABILITY")&gt;0,"SERIES_CAPABILITY",IF(COUNTIFS('51_版本配置事实'!$B$6:$B$127,"PC-N90-MAX-CAND",'51_版本配置事实'!$C$6:$C$127,$A43,'51_版本配置事实'!$I$6:$I$127,"NOT_DISCLOSED")&gt;0,"NOT_DISCLOSED","NOT_DISCLOSED")))))))</x:f>
        <x:v>SERIES_CAPABILITY</x:v>
      </x:c>
      <x:c r="H43" s="369" t="str">
        <x:f>IF(COUNTIFS('51_版本配置事实'!$B$6:$B$127,"PC-N90-MAX-CAND",'51_版本配置事实'!$C$6:$C$127,$A43,'51_版本配置事实'!$J$6:$J$127,"STANDARD_CURRENT")&gt;0,"STANDARD_CURRENT","NOT_EVIDENCED")</x:f>
        <x:v>NOT_EVIDENCED</x:v>
      </x:c>
      <x:c r="I43" s="369" t="str">
        <x:f>IF(COUNTIFS('51_版本配置事实'!$B$6:$B$127,"PC-N90-ROOF-CAND",'51_版本配置事实'!$C$6:$C$127,$A43,'51_版本配置事实'!$T$6:$T$127,"&lt;&gt;NONE")&gt;0,"CONFLICTED",IF(COUNTIFS('51_版本配置事实'!$B$6:$B$127,"PC-N90-ROOF-CAND",'51_版本配置事实'!$C$6:$C$127,$A43,'51_版本配置事实'!$I$6:$I$127,"STANDARD_AT_RELEASE")&gt;0,"STANDARD_AT_RELEASE",IF(COUNTIFS('51_版本配置事实'!$B$6:$B$127,"PC-N90-ROOF-CAND",'51_版本配置事实'!$C$6:$C$127,$A43,'51_版本配置事实'!$I$6:$I$127,"OPTIONAL_AT_RELEASE")&gt;0,"OPTIONAL_AT_RELEASE",IF(COUNTIFS('51_版本配置事实'!$B$6:$B$127,"PC-N90-ROOF-CAND",'51_版本配置事实'!$C$6:$C$127,$A43,'51_版本配置事实'!$I$6:$I$127,"SEPARATE_PURCHASE")&gt;0,"SEPARATE_PURCHASE",IF(COUNTIFS('51_版本配置事实'!$B$6:$B$127,"PC-N90-ROOF-CAND",'51_版本配置事实'!$C$6:$C$127,$A43,'51_版本配置事实'!$I$6:$I$127,"EQUIPPED_STANDARD_UNCONFIRMED")&gt;0,"EQUIPPED_STANDARD_UNCONFIRMED",IF(COUNTIFS('51_版本配置事实'!$B$6:$B$127,"PC-N90-ROOF-CAND",'51_版本配置事实'!$C$6:$C$127,$A43,'51_版本配置事实'!$I$6:$I$127,"SERIES_CAPABILITY")&gt;0,"SERIES_CAPABILITY",IF(COUNTIFS('51_版本配置事实'!$B$6:$B$127,"PC-N90-ROOF-CAND",'51_版本配置事实'!$C$6:$C$127,$A43,'51_版本配置事实'!$I$6:$I$127,"NOT_DISCLOSED")&gt;0,"NOT_DISCLOSED","NOT_DISCLOSED")))))))</x:f>
        <x:v>NOT_DISCLOSED</x:v>
      </x:c>
      <x:c r="J43" s="369" t="str">
        <x:f>IF(COUNTIFS('51_版本配置事实'!$B$6:$B$127,"PC-N90-ROOF-CAND",'51_版本配置事实'!$C$6:$C$127,$A43,'51_版本配置事实'!$J$6:$J$127,"STANDARD_CURRENT")&gt;0,"STANDARD_CURRENT","NOT_EVIDENCED")</x:f>
        <x:v>NOT_EVIDENCED</x:v>
      </x:c>
      <x:c r="K43" s="369" t="str">
        <x:f>IF(AND(E43=G43,E43&lt;&gt;"NOT_DISCLOSED",E43&lt;&gt;"CONFLICTED"),IF(COUNTIFS('50_发布会逐项主张'!$H$6:$H$137,$A43,'50_发布会逐项主张'!$O$6:$O$137,"ALL_PENGCHENG")&gt;0,"EXPLICIT_COMMON_ANNOUNCED_MAX","MATCHED_NOT_PROVED_COMMON"),"NOT_PROVED_COMMON")</x:f>
        <x:v>NOT_PROVED_COMMON</x:v>
      </x:c>
      <x:c r="L43" s="369" t="str">
        <x:f>IF(OR(C43="NOT_DISCLOSED",E43="NOT_DISCLOSED",C43="CONFLICTED",E43="CONFLICTED"),"UNRESOLVED",IF(C43=E43,"NO_CHANGE",IF(AND(C43="STANDARD_AT_RELEASE",E43="OPTIONAL_AT_RELEASE"),"STANDARD_TO_OPTIONAL",IF(AND(C43="OPTIONAL_AT_RELEASE",E43="STANDARD_AT_RELEASE"),"OPTIONAL_TO_STANDARD",IF(E43="STANDARD_AT_RELEASE","ADDED_STANDARD","REVIEW_CHANGE")))))</x:f>
        <x:v>UNRESOLVED</x:v>
      </x:c>
      <x:c r="M43" s="369" t="str">
        <x:f>IF(OR(E43="NOT_DISCLOSED",G43="NOT_DISCLOSED",E43="CONFLICTED",G43="CONFLICTED"),"UNRESOLVED",IF(E43=G43,"NO_CHANGE",IF(AND(E43="STANDARD_AT_RELEASE",G43="OPTIONAL_AT_RELEASE"),"STANDARD_TO_OPTIONAL",IF(AND(E43="OPTIONAL_AT_RELEASE",G43="STANDARD_AT_RELEASE"),"OPTIONAL_TO_STANDARD",IF(G43="STANDARD_AT_RELEASE","ADDED_STANDARD","REVIEW_CHANGE")))))</x:f>
        <x:v>UNRESOLVED</x:v>
      </x:c>
      <x:c r="N43" s="369" t="str">
        <x:f>IF(OR(G43="NOT_DISCLOSED",I43="NOT_DISCLOSED",G43="CONFLICTED",I43="CONFLICTED"),"UNRESOLVED",IF(G43=I43,"NO_CHANGE",IF(AND(G43="STANDARD_AT_RELEASE",I43="OPTIONAL_AT_RELEASE"),"STANDARD_TO_OPTIONAL",IF(AND(G43="OPTIONAL_AT_RELEASE",I43="STANDARD_AT_RELEASE"),"OPTIONAL_TO_STANDARD",IF(I43="STANDARD_AT_RELEASE","ADDED_STANDARD","REVIEW_CHANGE")))))</x:f>
        <x:v>UNRESOLVED</x:v>
      </x:c>
      <x:c r="O43" s="369" t="str">
        <x:v>ENERGY_SYSTEM</x:v>
      </x:c>
      <x:c r="P43" s="369" t="str">
        <x:v>DC_ENERGY_fuel_grade_support</x:v>
      </x:c>
      <x:c r="Q43" s="369" t="n">
        <x:f>COUNTIF('50_发布会逐项主张'!$H$6:$H$137,A43)</x:f>
        <x:v>1</x:v>
      </x:c>
      <x:c r="R43" s="369" t="str">
        <x:f>IF(COUNTIFS('50_发布会逐项主张'!$H$6:$H$137,A43,'50_发布会逐项主张'!$X$6:$X$137,"&lt;&gt;NONE")&gt;0,"CONFLICTED","NONE")</x:f>
        <x:v>NONE</x:v>
      </x:c>
    </x:row>
    <x:row r="44" ht="48" customHeight="1">
      <x:c r="A44" s="19" t="str">
        <x:v>fuel_tank</x:v>
      </x:c>
      <x:c r="B44" s="19" t="str">
        <x:v>ENERGY</x:v>
      </x:c>
      <x:c r="C44" s="19" t="str">
        <x:f>IF(COUNTIFS('51_版本配置事实'!$B$6:$B$127,"PC-N70-BASE-CAND",'51_版本配置事实'!$C$6:$C$127,$A44,'51_版本配置事实'!$T$6:$T$127,"&lt;&gt;NONE")&gt;0,"CONFLICTED",IF(COUNTIFS('51_版本配置事实'!$B$6:$B$127,"PC-N70-BASE-CAND",'51_版本配置事实'!$C$6:$C$127,$A44,'51_版本配置事实'!$I$6:$I$127,"STANDARD_AT_RELEASE")&gt;0,"STANDARD_AT_RELEASE",IF(COUNTIFS('51_版本配置事实'!$B$6:$B$127,"PC-N70-BASE-CAND",'51_版本配置事实'!$C$6:$C$127,$A44,'51_版本配置事实'!$I$6:$I$127,"OPTIONAL_AT_RELEASE")&gt;0,"OPTIONAL_AT_RELEASE",IF(COUNTIFS('51_版本配置事实'!$B$6:$B$127,"PC-N70-BASE-CAND",'51_版本配置事实'!$C$6:$C$127,$A44,'51_版本配置事实'!$I$6:$I$127,"SEPARATE_PURCHASE")&gt;0,"SEPARATE_PURCHASE",IF(COUNTIFS('51_版本配置事实'!$B$6:$B$127,"PC-N70-BASE-CAND",'51_版本配置事实'!$C$6:$C$127,$A44,'51_版本配置事实'!$I$6:$I$127,"EQUIPPED_STANDARD_UNCONFIRMED")&gt;0,"EQUIPPED_STANDARD_UNCONFIRMED",IF(COUNTIFS('51_版本配置事实'!$B$6:$B$127,"PC-N70-BASE-CAND",'51_版本配置事实'!$C$6:$C$127,$A44,'51_版本配置事实'!$I$6:$I$127,"SERIES_CAPABILITY")&gt;0,"SERIES_CAPABILITY",IF(COUNTIFS('51_版本配置事实'!$B$6:$B$127,"PC-N70-BASE-CAND",'51_版本配置事实'!$C$6:$C$127,$A44,'51_版本配置事实'!$I$6:$I$127,"NOT_DISCLOSED")&gt;0,"NOT_DISCLOSED","NOT_DISCLOSED")))))))</x:f>
        <x:v>NOT_DISCLOSED</x:v>
      </x:c>
      <x:c r="D44" s="19" t="str">
        <x:f>IF(COUNTIFS('51_版本配置事实'!$B$6:$B$127,"PC-N70-BASE-CAND",'51_版本配置事实'!$C$6:$C$127,$A44,'51_版本配置事实'!$J$6:$J$127,"STANDARD_CURRENT")&gt;0,"STANDARD_CURRENT","NOT_EVIDENCED")</x:f>
        <x:v>NOT_EVIDENCED</x:v>
      </x:c>
      <x:c r="E44" s="19" t="str">
        <x:f>IF(COUNTIFS('51_版本配置事实'!$B$6:$B$127,"PC-N70-MAX-CAND",'51_版本配置事实'!$C$6:$C$127,$A44,'51_版本配置事实'!$T$6:$T$127,"&lt;&gt;NONE")&gt;0,"CONFLICTED",IF(COUNTIFS('51_版本配置事实'!$B$6:$B$127,"PC-N70-MAX-CAND",'51_版本配置事实'!$C$6:$C$127,$A44,'51_版本配置事实'!$I$6:$I$127,"STANDARD_AT_RELEASE")&gt;0,"STANDARD_AT_RELEASE",IF(COUNTIFS('51_版本配置事实'!$B$6:$B$127,"PC-N70-MAX-CAND",'51_版本配置事实'!$C$6:$C$127,$A44,'51_版本配置事实'!$I$6:$I$127,"OPTIONAL_AT_RELEASE")&gt;0,"OPTIONAL_AT_RELEASE",IF(COUNTIFS('51_版本配置事实'!$B$6:$B$127,"PC-N70-MAX-CAND",'51_版本配置事实'!$C$6:$C$127,$A44,'51_版本配置事实'!$I$6:$I$127,"SEPARATE_PURCHASE")&gt;0,"SEPARATE_PURCHASE",IF(COUNTIFS('51_版本配置事实'!$B$6:$B$127,"PC-N70-MAX-CAND",'51_版本配置事实'!$C$6:$C$127,$A44,'51_版本配置事实'!$I$6:$I$127,"EQUIPPED_STANDARD_UNCONFIRMED")&gt;0,"EQUIPPED_STANDARD_UNCONFIRMED",IF(COUNTIFS('51_版本配置事实'!$B$6:$B$127,"PC-N70-MAX-CAND",'51_版本配置事实'!$C$6:$C$127,$A44,'51_版本配置事实'!$I$6:$I$127,"SERIES_CAPABILITY")&gt;0,"SERIES_CAPABILITY",IF(COUNTIFS('51_版本配置事实'!$B$6:$B$127,"PC-N70-MAX-CAND",'51_版本配置事实'!$C$6:$C$127,$A44,'51_版本配置事实'!$I$6:$I$127,"NOT_DISCLOSED")&gt;0,"NOT_DISCLOSED","NOT_DISCLOSED")))))))</x:f>
        <x:v>NOT_DISCLOSED</x:v>
      </x:c>
      <x:c r="F44" s="19" t="str">
        <x:f>IF(COUNTIFS('51_版本配置事实'!$B$6:$B$127,"PC-N70-MAX-CAND",'51_版本配置事实'!$C$6:$C$127,$A44,'51_版本配置事实'!$J$6:$J$127,"STANDARD_CURRENT")&gt;0,"STANDARD_CURRENT","NOT_EVIDENCED")</x:f>
        <x:v>NOT_EVIDENCED</x:v>
      </x:c>
      <x:c r="G44" s="19" t="str">
        <x:f>IF(COUNTIFS('51_版本配置事实'!$B$6:$B$127,"PC-N90-MAX-CAND",'51_版本配置事实'!$C$6:$C$127,$A44,'51_版本配置事实'!$T$6:$T$127,"&lt;&gt;NONE")&gt;0,"CONFLICTED",IF(COUNTIFS('51_版本配置事实'!$B$6:$B$127,"PC-N90-MAX-CAND",'51_版本配置事实'!$C$6:$C$127,$A44,'51_版本配置事实'!$I$6:$I$127,"STANDARD_AT_RELEASE")&gt;0,"STANDARD_AT_RELEASE",IF(COUNTIFS('51_版本配置事实'!$B$6:$B$127,"PC-N90-MAX-CAND",'51_版本配置事实'!$C$6:$C$127,$A44,'51_版本配置事实'!$I$6:$I$127,"OPTIONAL_AT_RELEASE")&gt;0,"OPTIONAL_AT_RELEASE",IF(COUNTIFS('51_版本配置事实'!$B$6:$B$127,"PC-N90-MAX-CAND",'51_版本配置事实'!$C$6:$C$127,$A44,'51_版本配置事实'!$I$6:$I$127,"SEPARATE_PURCHASE")&gt;0,"SEPARATE_PURCHASE",IF(COUNTIFS('51_版本配置事实'!$B$6:$B$127,"PC-N90-MAX-CAND",'51_版本配置事实'!$C$6:$C$127,$A44,'51_版本配置事实'!$I$6:$I$127,"EQUIPPED_STANDARD_UNCONFIRMED")&gt;0,"EQUIPPED_STANDARD_UNCONFIRMED",IF(COUNTIFS('51_版本配置事实'!$B$6:$B$127,"PC-N90-MAX-CAND",'51_版本配置事实'!$C$6:$C$127,$A44,'51_版本配置事实'!$I$6:$I$127,"SERIES_CAPABILITY")&gt;0,"SERIES_CAPABILITY",IF(COUNTIFS('51_版本配置事实'!$B$6:$B$127,"PC-N90-MAX-CAND",'51_版本配置事实'!$C$6:$C$127,$A44,'51_版本配置事实'!$I$6:$I$127,"NOT_DISCLOSED")&gt;0,"NOT_DISCLOSED","NOT_DISCLOSED")))))))</x:f>
        <x:v>EQUIPPED_STANDARD_UNCONFIRMED</x:v>
      </x:c>
      <x:c r="H44" s="19" t="str">
        <x:f>IF(COUNTIFS('51_版本配置事实'!$B$6:$B$127,"PC-N90-MAX-CAND",'51_版本配置事实'!$C$6:$C$127,$A44,'51_版本配置事实'!$J$6:$J$127,"STANDARD_CURRENT")&gt;0,"STANDARD_CURRENT","NOT_EVIDENCED")</x:f>
        <x:v>NOT_EVIDENCED</x:v>
      </x:c>
      <x:c r="I44" s="19" t="str">
        <x:f>IF(COUNTIFS('51_版本配置事实'!$B$6:$B$127,"PC-N90-ROOF-CAND",'51_版本配置事实'!$C$6:$C$127,$A44,'51_版本配置事实'!$T$6:$T$127,"&lt;&gt;NONE")&gt;0,"CONFLICTED",IF(COUNTIFS('51_版本配置事实'!$B$6:$B$127,"PC-N90-ROOF-CAND",'51_版本配置事实'!$C$6:$C$127,$A44,'51_版本配置事实'!$I$6:$I$127,"STANDARD_AT_RELEASE")&gt;0,"STANDARD_AT_RELEASE",IF(COUNTIFS('51_版本配置事实'!$B$6:$B$127,"PC-N90-ROOF-CAND",'51_版本配置事实'!$C$6:$C$127,$A44,'51_版本配置事实'!$I$6:$I$127,"OPTIONAL_AT_RELEASE")&gt;0,"OPTIONAL_AT_RELEASE",IF(COUNTIFS('51_版本配置事实'!$B$6:$B$127,"PC-N90-ROOF-CAND",'51_版本配置事实'!$C$6:$C$127,$A44,'51_版本配置事实'!$I$6:$I$127,"SEPARATE_PURCHASE")&gt;0,"SEPARATE_PURCHASE",IF(COUNTIFS('51_版本配置事实'!$B$6:$B$127,"PC-N90-ROOF-CAND",'51_版本配置事实'!$C$6:$C$127,$A44,'51_版本配置事实'!$I$6:$I$127,"EQUIPPED_STANDARD_UNCONFIRMED")&gt;0,"EQUIPPED_STANDARD_UNCONFIRMED",IF(COUNTIFS('51_版本配置事实'!$B$6:$B$127,"PC-N90-ROOF-CAND",'51_版本配置事实'!$C$6:$C$127,$A44,'51_版本配置事实'!$I$6:$I$127,"SERIES_CAPABILITY")&gt;0,"SERIES_CAPABILITY",IF(COUNTIFS('51_版本配置事实'!$B$6:$B$127,"PC-N90-ROOF-CAND",'51_版本配置事实'!$C$6:$C$127,$A44,'51_版本配置事实'!$I$6:$I$127,"NOT_DISCLOSED")&gt;0,"NOT_DISCLOSED","NOT_DISCLOSED")))))))</x:f>
        <x:v>NOT_DISCLOSED</x:v>
      </x:c>
      <x:c r="J44" s="19" t="str">
        <x:f>IF(COUNTIFS('51_版本配置事实'!$B$6:$B$127,"PC-N90-ROOF-CAND",'51_版本配置事实'!$C$6:$C$127,$A44,'51_版本配置事实'!$J$6:$J$127,"STANDARD_CURRENT")&gt;0,"STANDARD_CURRENT","NOT_EVIDENCED")</x:f>
        <x:v>NOT_EVIDENCED</x:v>
      </x:c>
      <x:c r="K44" s="19" t="str">
        <x:f>IF(AND(E44=G44,E44&lt;&gt;"NOT_DISCLOSED",E44&lt;&gt;"CONFLICTED"),IF(COUNTIFS('50_发布会逐项主张'!$H$6:$H$137,$A44,'50_发布会逐项主张'!$O$6:$O$137,"ALL_PENGCHENG")&gt;0,"EXPLICIT_COMMON_ANNOUNCED_MAX","MATCHED_NOT_PROVED_COMMON"),"NOT_PROVED_COMMON")</x:f>
        <x:v>NOT_PROVED_COMMON</x:v>
      </x:c>
      <x:c r="L44" s="19" t="str">
        <x:f>IF(OR(C44="NOT_DISCLOSED",E44="NOT_DISCLOSED",C44="CONFLICTED",E44="CONFLICTED"),"UNRESOLVED",IF(C44=E44,"NO_CHANGE",IF(AND(C44="STANDARD_AT_RELEASE",E44="OPTIONAL_AT_RELEASE"),"STANDARD_TO_OPTIONAL",IF(AND(C44="OPTIONAL_AT_RELEASE",E44="STANDARD_AT_RELEASE"),"OPTIONAL_TO_STANDARD",IF(E44="STANDARD_AT_RELEASE","ADDED_STANDARD","REVIEW_CHANGE")))))</x:f>
        <x:v>UNRESOLVED</x:v>
      </x:c>
      <x:c r="M44" s="19" t="str">
        <x:f>IF(OR(E44="NOT_DISCLOSED",G44="NOT_DISCLOSED",E44="CONFLICTED",G44="CONFLICTED"),"UNRESOLVED",IF(E44=G44,"NO_CHANGE",IF(AND(E44="STANDARD_AT_RELEASE",G44="OPTIONAL_AT_RELEASE"),"STANDARD_TO_OPTIONAL",IF(AND(E44="OPTIONAL_AT_RELEASE",G44="STANDARD_AT_RELEASE"),"OPTIONAL_TO_STANDARD",IF(G44="STANDARD_AT_RELEASE","ADDED_STANDARD","REVIEW_CHANGE")))))</x:f>
        <x:v>UNRESOLVED</x:v>
      </x:c>
      <x:c r="N44" s="19" t="str">
        <x:f>IF(OR(G44="NOT_DISCLOSED",I44="NOT_DISCLOSED",G44="CONFLICTED",I44="CONFLICTED"),"UNRESOLVED",IF(G44=I44,"NO_CHANGE",IF(AND(G44="STANDARD_AT_RELEASE",I44="OPTIONAL_AT_RELEASE"),"STANDARD_TO_OPTIONAL",IF(AND(G44="OPTIONAL_AT_RELEASE",I44="STANDARD_AT_RELEASE"),"OPTIONAL_TO_STANDARD",IF(I44="STANDARD_AT_RELEASE","ADDED_STANDARD","REVIEW_CHANGE")))))</x:f>
        <x:v>UNRESOLVED</x:v>
      </x:c>
      <x:c r="O44" s="19" t="str">
        <x:v>ENERGY_SYSTEM</x:v>
      </x:c>
      <x:c r="P44" s="19" t="str">
        <x:v>DC_ENERGY_fuel_tank</x:v>
      </x:c>
      <x:c r="Q44" s="19" t="n">
        <x:f>COUNTIF('50_发布会逐项主张'!$H$6:$H$137,A44)</x:f>
        <x:v>1</x:v>
      </x:c>
      <x:c r="R44" s="19" t="str">
        <x:f>IF(COUNTIFS('50_发布会逐项主张'!$H$6:$H$137,A44,'50_发布会逐项主张'!$X$6:$X$137,"&lt;&gt;NONE")&gt;0,"CONFLICTED","NONE")</x:f>
        <x:v>NONE</x:v>
      </x:c>
    </x:row>
    <x:row r="45" ht="48" customHeight="1">
      <x:c r="A45" s="369" t="str">
        <x:v>glass_area</x:v>
      </x:c>
      <x:c r="B45" s="369" t="str">
        <x:v>BODY_SPACE</x:v>
      </x:c>
      <x:c r="C45" s="369" t="str">
        <x:f>IF(COUNTIFS('51_版本配置事实'!$B$6:$B$127,"PC-N70-BASE-CAND",'51_版本配置事实'!$C$6:$C$127,$A45,'51_版本配置事实'!$T$6:$T$127,"&lt;&gt;NONE")&gt;0,"CONFLICTED",IF(COUNTIFS('51_版本配置事实'!$B$6:$B$127,"PC-N70-BASE-CAND",'51_版本配置事实'!$C$6:$C$127,$A45,'51_版本配置事实'!$I$6:$I$127,"STANDARD_AT_RELEASE")&gt;0,"STANDARD_AT_RELEASE",IF(COUNTIFS('51_版本配置事实'!$B$6:$B$127,"PC-N70-BASE-CAND",'51_版本配置事实'!$C$6:$C$127,$A45,'51_版本配置事实'!$I$6:$I$127,"OPTIONAL_AT_RELEASE")&gt;0,"OPTIONAL_AT_RELEASE",IF(COUNTIFS('51_版本配置事实'!$B$6:$B$127,"PC-N70-BASE-CAND",'51_版本配置事实'!$C$6:$C$127,$A45,'51_版本配置事实'!$I$6:$I$127,"SEPARATE_PURCHASE")&gt;0,"SEPARATE_PURCHASE",IF(COUNTIFS('51_版本配置事实'!$B$6:$B$127,"PC-N70-BASE-CAND",'51_版本配置事实'!$C$6:$C$127,$A45,'51_版本配置事实'!$I$6:$I$127,"EQUIPPED_STANDARD_UNCONFIRMED")&gt;0,"EQUIPPED_STANDARD_UNCONFIRMED",IF(COUNTIFS('51_版本配置事实'!$B$6:$B$127,"PC-N70-BASE-CAND",'51_版本配置事实'!$C$6:$C$127,$A45,'51_版本配置事实'!$I$6:$I$127,"SERIES_CAPABILITY")&gt;0,"SERIES_CAPABILITY",IF(COUNTIFS('51_版本配置事实'!$B$6:$B$127,"PC-N70-BASE-CAND",'51_版本配置事实'!$C$6:$C$127,$A45,'51_版本配置事实'!$I$6:$I$127,"NOT_DISCLOSED")&gt;0,"NOT_DISCLOSED","NOT_DISCLOSED")))))))</x:f>
        <x:v>NOT_DISCLOSED</x:v>
      </x:c>
      <x:c r="D45" s="369" t="str">
        <x:f>IF(COUNTIFS('51_版本配置事实'!$B$6:$B$127,"PC-N70-BASE-CAND",'51_版本配置事实'!$C$6:$C$127,$A45,'51_版本配置事实'!$J$6:$J$127,"STANDARD_CURRENT")&gt;0,"STANDARD_CURRENT","NOT_EVIDENCED")</x:f>
        <x:v>NOT_EVIDENCED</x:v>
      </x:c>
      <x:c r="E45" s="369" t="str">
        <x:f>IF(COUNTIFS('51_版本配置事实'!$B$6:$B$127,"PC-N70-MAX-CAND",'51_版本配置事实'!$C$6:$C$127,$A45,'51_版本配置事实'!$T$6:$T$127,"&lt;&gt;NONE")&gt;0,"CONFLICTED",IF(COUNTIFS('51_版本配置事实'!$B$6:$B$127,"PC-N70-MAX-CAND",'51_版本配置事实'!$C$6:$C$127,$A45,'51_版本配置事实'!$I$6:$I$127,"STANDARD_AT_RELEASE")&gt;0,"STANDARD_AT_RELEASE",IF(COUNTIFS('51_版本配置事实'!$B$6:$B$127,"PC-N70-MAX-CAND",'51_版本配置事实'!$C$6:$C$127,$A45,'51_版本配置事实'!$I$6:$I$127,"OPTIONAL_AT_RELEASE")&gt;0,"OPTIONAL_AT_RELEASE",IF(COUNTIFS('51_版本配置事实'!$B$6:$B$127,"PC-N70-MAX-CAND",'51_版本配置事实'!$C$6:$C$127,$A45,'51_版本配置事实'!$I$6:$I$127,"SEPARATE_PURCHASE")&gt;0,"SEPARATE_PURCHASE",IF(COUNTIFS('51_版本配置事实'!$B$6:$B$127,"PC-N70-MAX-CAND",'51_版本配置事实'!$C$6:$C$127,$A45,'51_版本配置事实'!$I$6:$I$127,"EQUIPPED_STANDARD_UNCONFIRMED")&gt;0,"EQUIPPED_STANDARD_UNCONFIRMED",IF(COUNTIFS('51_版本配置事实'!$B$6:$B$127,"PC-N70-MAX-CAND",'51_版本配置事实'!$C$6:$C$127,$A45,'51_版本配置事实'!$I$6:$I$127,"SERIES_CAPABILITY")&gt;0,"SERIES_CAPABILITY",IF(COUNTIFS('51_版本配置事实'!$B$6:$B$127,"PC-N70-MAX-CAND",'51_版本配置事实'!$C$6:$C$127,$A45,'51_版本配置事实'!$I$6:$I$127,"NOT_DISCLOSED")&gt;0,"NOT_DISCLOSED","NOT_DISCLOSED")))))))</x:f>
        <x:v>NOT_DISCLOSED</x:v>
      </x:c>
      <x:c r="F45" s="369" t="str">
        <x:f>IF(COUNTIFS('51_版本配置事实'!$B$6:$B$127,"PC-N70-MAX-CAND",'51_版本配置事实'!$C$6:$C$127,$A45,'51_版本配置事实'!$J$6:$J$127,"STANDARD_CURRENT")&gt;0,"STANDARD_CURRENT","NOT_EVIDENCED")</x:f>
        <x:v>NOT_EVIDENCED</x:v>
      </x:c>
      <x:c r="G45" s="369" t="str">
        <x:f>IF(COUNTIFS('51_版本配置事实'!$B$6:$B$127,"PC-N90-MAX-CAND",'51_版本配置事实'!$C$6:$C$127,$A45,'51_版本配置事实'!$T$6:$T$127,"&lt;&gt;NONE")&gt;0,"CONFLICTED",IF(COUNTIFS('51_版本配置事实'!$B$6:$B$127,"PC-N90-MAX-CAND",'51_版本配置事实'!$C$6:$C$127,$A45,'51_版本配置事实'!$I$6:$I$127,"STANDARD_AT_RELEASE")&gt;0,"STANDARD_AT_RELEASE",IF(COUNTIFS('51_版本配置事实'!$B$6:$B$127,"PC-N90-MAX-CAND",'51_版本配置事实'!$C$6:$C$127,$A45,'51_版本配置事实'!$I$6:$I$127,"OPTIONAL_AT_RELEASE")&gt;0,"OPTIONAL_AT_RELEASE",IF(COUNTIFS('51_版本配置事实'!$B$6:$B$127,"PC-N90-MAX-CAND",'51_版本配置事实'!$C$6:$C$127,$A45,'51_版本配置事实'!$I$6:$I$127,"SEPARATE_PURCHASE")&gt;0,"SEPARATE_PURCHASE",IF(COUNTIFS('51_版本配置事实'!$B$6:$B$127,"PC-N90-MAX-CAND",'51_版本配置事实'!$C$6:$C$127,$A45,'51_版本配置事实'!$I$6:$I$127,"EQUIPPED_STANDARD_UNCONFIRMED")&gt;0,"EQUIPPED_STANDARD_UNCONFIRMED",IF(COUNTIFS('51_版本配置事实'!$B$6:$B$127,"PC-N90-MAX-CAND",'51_版本配置事实'!$C$6:$C$127,$A45,'51_版本配置事实'!$I$6:$I$127,"SERIES_CAPABILITY")&gt;0,"SERIES_CAPABILITY",IF(COUNTIFS('51_版本配置事实'!$B$6:$B$127,"PC-N90-MAX-CAND",'51_版本配置事实'!$C$6:$C$127,$A45,'51_版本配置事实'!$I$6:$I$127,"NOT_DISCLOSED")&gt;0,"NOT_DISCLOSED","NOT_DISCLOSED")))))))</x:f>
        <x:v>EQUIPPED_STANDARD_UNCONFIRMED</x:v>
      </x:c>
      <x:c r="H45" s="369" t="str">
        <x:f>IF(COUNTIFS('51_版本配置事实'!$B$6:$B$127,"PC-N90-MAX-CAND",'51_版本配置事实'!$C$6:$C$127,$A45,'51_版本配置事实'!$J$6:$J$127,"STANDARD_CURRENT")&gt;0,"STANDARD_CURRENT","NOT_EVIDENCED")</x:f>
        <x:v>NOT_EVIDENCED</x:v>
      </x:c>
      <x:c r="I45" s="369" t="str">
        <x:f>IF(COUNTIFS('51_版本配置事实'!$B$6:$B$127,"PC-N90-ROOF-CAND",'51_版本配置事实'!$C$6:$C$127,$A45,'51_版本配置事实'!$T$6:$T$127,"&lt;&gt;NONE")&gt;0,"CONFLICTED",IF(COUNTIFS('51_版本配置事实'!$B$6:$B$127,"PC-N90-ROOF-CAND",'51_版本配置事实'!$C$6:$C$127,$A45,'51_版本配置事实'!$I$6:$I$127,"STANDARD_AT_RELEASE")&gt;0,"STANDARD_AT_RELEASE",IF(COUNTIFS('51_版本配置事实'!$B$6:$B$127,"PC-N90-ROOF-CAND",'51_版本配置事实'!$C$6:$C$127,$A45,'51_版本配置事实'!$I$6:$I$127,"OPTIONAL_AT_RELEASE")&gt;0,"OPTIONAL_AT_RELEASE",IF(COUNTIFS('51_版本配置事实'!$B$6:$B$127,"PC-N90-ROOF-CAND",'51_版本配置事实'!$C$6:$C$127,$A45,'51_版本配置事实'!$I$6:$I$127,"SEPARATE_PURCHASE")&gt;0,"SEPARATE_PURCHASE",IF(COUNTIFS('51_版本配置事实'!$B$6:$B$127,"PC-N90-ROOF-CAND",'51_版本配置事实'!$C$6:$C$127,$A45,'51_版本配置事实'!$I$6:$I$127,"EQUIPPED_STANDARD_UNCONFIRMED")&gt;0,"EQUIPPED_STANDARD_UNCONFIRMED",IF(COUNTIFS('51_版本配置事实'!$B$6:$B$127,"PC-N90-ROOF-CAND",'51_版本配置事实'!$C$6:$C$127,$A45,'51_版本配置事实'!$I$6:$I$127,"SERIES_CAPABILITY")&gt;0,"SERIES_CAPABILITY",IF(COUNTIFS('51_版本配置事实'!$B$6:$B$127,"PC-N90-ROOF-CAND",'51_版本配置事实'!$C$6:$C$127,$A45,'51_版本配置事实'!$I$6:$I$127,"NOT_DISCLOSED")&gt;0,"NOT_DISCLOSED","NOT_DISCLOSED")))))))</x:f>
        <x:v>NOT_DISCLOSED</x:v>
      </x:c>
      <x:c r="J45" s="369" t="str">
        <x:f>IF(COUNTIFS('51_版本配置事实'!$B$6:$B$127,"PC-N90-ROOF-CAND",'51_版本配置事实'!$C$6:$C$127,$A45,'51_版本配置事实'!$J$6:$J$127,"STANDARD_CURRENT")&gt;0,"STANDARD_CURRENT","NOT_EVIDENCED")</x:f>
        <x:v>NOT_EVIDENCED</x:v>
      </x:c>
      <x:c r="K45" s="369" t="str">
        <x:f>IF(AND(E45=G45,E45&lt;&gt;"NOT_DISCLOSED",E45&lt;&gt;"CONFLICTED"),IF(COUNTIFS('50_发布会逐项主张'!$H$6:$H$137,$A45,'50_发布会逐项主张'!$O$6:$O$137,"ALL_PENGCHENG")&gt;0,"EXPLICIT_COMMON_ANNOUNCED_MAX","MATCHED_NOT_PROVED_COMMON"),"NOT_PROVED_COMMON")</x:f>
        <x:v>NOT_PROVED_COMMON</x:v>
      </x:c>
      <x:c r="L45" s="369" t="str">
        <x:f>IF(OR(C45="NOT_DISCLOSED",E45="NOT_DISCLOSED",C45="CONFLICTED",E45="CONFLICTED"),"UNRESOLVED",IF(C45=E45,"NO_CHANGE",IF(AND(C45="STANDARD_AT_RELEASE",E45="OPTIONAL_AT_RELEASE"),"STANDARD_TO_OPTIONAL",IF(AND(C45="OPTIONAL_AT_RELEASE",E45="STANDARD_AT_RELEASE"),"OPTIONAL_TO_STANDARD",IF(E45="STANDARD_AT_RELEASE","ADDED_STANDARD","REVIEW_CHANGE")))))</x:f>
        <x:v>UNRESOLVED</x:v>
      </x:c>
      <x:c r="M45" s="369" t="str">
        <x:f>IF(OR(E45="NOT_DISCLOSED",G45="NOT_DISCLOSED",E45="CONFLICTED",G45="CONFLICTED"),"UNRESOLVED",IF(E45=G45,"NO_CHANGE",IF(AND(E45="STANDARD_AT_RELEASE",G45="OPTIONAL_AT_RELEASE"),"STANDARD_TO_OPTIONAL",IF(AND(E45="OPTIONAL_AT_RELEASE",G45="STANDARD_AT_RELEASE"),"OPTIONAL_TO_STANDARD",IF(G45="STANDARD_AT_RELEASE","ADDED_STANDARD","REVIEW_CHANGE")))))</x:f>
        <x:v>UNRESOLVED</x:v>
      </x:c>
      <x:c r="N45" s="369" t="str">
        <x:f>IF(OR(G45="NOT_DISCLOSED",I45="NOT_DISCLOSED",G45="CONFLICTED",I45="CONFLICTED"),"UNRESOLVED",IF(G45=I45,"NO_CHANGE",IF(AND(G45="STANDARD_AT_RELEASE",I45="OPTIONAL_AT_RELEASE"),"STANDARD_TO_OPTIONAL",IF(AND(G45="OPTIONAL_AT_RELEASE",I45="STANDARD_AT_RELEASE"),"OPTIONAL_TO_STANDARD",IF(I45="STANDARD_AT_RELEASE","ADDED_STANDARD","REVIEW_CHANGE")))))</x:f>
        <x:v>UNRESOLVED</x:v>
      </x:c>
      <x:c r="O45" s="369" t="str">
        <x:v>BODY_SPACE_SAFETY</x:v>
      </x:c>
      <x:c r="P45" s="369" t="str">
        <x:v>DC_BODY_SPACE_glass_area</x:v>
      </x:c>
      <x:c r="Q45" s="369" t="n">
        <x:f>COUNTIF('50_发布会逐项主张'!$H$6:$H$137,A45)</x:f>
        <x:v>1</x:v>
      </x:c>
      <x:c r="R45" s="369" t="str">
        <x:f>IF(COUNTIFS('50_发布会逐项主张'!$H$6:$H$137,A45,'50_发布会逐项主张'!$X$6:$X$137,"&lt;&gt;NONE")&gt;0,"CONFLICTED","NONE")</x:f>
        <x:v>NONE</x:v>
      </x:c>
    </x:row>
    <x:row r="46" ht="48" customHeight="1">
      <x:c r="A46" s="19" t="str">
        <x:v>grille_trim</x:v>
      </x:c>
      <x:c r="B46" s="19" t="str">
        <x:v>EXTERIOR</x:v>
      </x:c>
      <x:c r="C46" s="19" t="str">
        <x:f>IF(COUNTIFS('51_版本配置事实'!$B$6:$B$127,"PC-N70-BASE-CAND",'51_版本配置事实'!$C$6:$C$127,$A46,'51_版本配置事实'!$T$6:$T$127,"&lt;&gt;NONE")&gt;0,"CONFLICTED",IF(COUNTIFS('51_版本配置事实'!$B$6:$B$127,"PC-N70-BASE-CAND",'51_版本配置事实'!$C$6:$C$127,$A46,'51_版本配置事实'!$I$6:$I$127,"STANDARD_AT_RELEASE")&gt;0,"STANDARD_AT_RELEASE",IF(COUNTIFS('51_版本配置事实'!$B$6:$B$127,"PC-N70-BASE-CAND",'51_版本配置事实'!$C$6:$C$127,$A46,'51_版本配置事实'!$I$6:$I$127,"OPTIONAL_AT_RELEASE")&gt;0,"OPTIONAL_AT_RELEASE",IF(COUNTIFS('51_版本配置事实'!$B$6:$B$127,"PC-N70-BASE-CAND",'51_版本配置事实'!$C$6:$C$127,$A46,'51_版本配置事实'!$I$6:$I$127,"SEPARATE_PURCHASE")&gt;0,"SEPARATE_PURCHASE",IF(COUNTIFS('51_版本配置事实'!$B$6:$B$127,"PC-N70-BASE-CAND",'51_版本配置事实'!$C$6:$C$127,$A46,'51_版本配置事实'!$I$6:$I$127,"EQUIPPED_STANDARD_UNCONFIRMED")&gt;0,"EQUIPPED_STANDARD_UNCONFIRMED",IF(COUNTIFS('51_版本配置事实'!$B$6:$B$127,"PC-N70-BASE-CAND",'51_版本配置事实'!$C$6:$C$127,$A46,'51_版本配置事实'!$I$6:$I$127,"SERIES_CAPABILITY")&gt;0,"SERIES_CAPABILITY",IF(COUNTIFS('51_版本配置事实'!$B$6:$B$127,"PC-N70-BASE-CAND",'51_版本配置事实'!$C$6:$C$127,$A46,'51_版本配置事实'!$I$6:$I$127,"NOT_DISCLOSED")&gt;0,"NOT_DISCLOSED","NOT_DISCLOSED")))))))</x:f>
        <x:v>NOT_DISCLOSED</x:v>
      </x:c>
      <x:c r="D46" s="19" t="str">
        <x:f>IF(COUNTIFS('51_版本配置事实'!$B$6:$B$127,"PC-N70-BASE-CAND",'51_版本配置事实'!$C$6:$C$127,$A46,'51_版本配置事实'!$J$6:$J$127,"STANDARD_CURRENT")&gt;0,"STANDARD_CURRENT","NOT_EVIDENCED")</x:f>
        <x:v>NOT_EVIDENCED</x:v>
      </x:c>
      <x:c r="E46" s="19" t="str">
        <x:f>IF(COUNTIFS('51_版本配置事实'!$B$6:$B$127,"PC-N70-MAX-CAND",'51_版本配置事实'!$C$6:$C$127,$A46,'51_版本配置事实'!$T$6:$T$127,"&lt;&gt;NONE")&gt;0,"CONFLICTED",IF(COUNTIFS('51_版本配置事实'!$B$6:$B$127,"PC-N70-MAX-CAND",'51_版本配置事实'!$C$6:$C$127,$A46,'51_版本配置事实'!$I$6:$I$127,"STANDARD_AT_RELEASE")&gt;0,"STANDARD_AT_RELEASE",IF(COUNTIFS('51_版本配置事实'!$B$6:$B$127,"PC-N70-MAX-CAND",'51_版本配置事实'!$C$6:$C$127,$A46,'51_版本配置事实'!$I$6:$I$127,"OPTIONAL_AT_RELEASE")&gt;0,"OPTIONAL_AT_RELEASE",IF(COUNTIFS('51_版本配置事实'!$B$6:$B$127,"PC-N70-MAX-CAND",'51_版本配置事实'!$C$6:$C$127,$A46,'51_版本配置事实'!$I$6:$I$127,"SEPARATE_PURCHASE")&gt;0,"SEPARATE_PURCHASE",IF(COUNTIFS('51_版本配置事实'!$B$6:$B$127,"PC-N70-MAX-CAND",'51_版本配置事实'!$C$6:$C$127,$A46,'51_版本配置事实'!$I$6:$I$127,"EQUIPPED_STANDARD_UNCONFIRMED")&gt;0,"EQUIPPED_STANDARD_UNCONFIRMED",IF(COUNTIFS('51_版本配置事实'!$B$6:$B$127,"PC-N70-MAX-CAND",'51_版本配置事实'!$C$6:$C$127,$A46,'51_版本配置事实'!$I$6:$I$127,"SERIES_CAPABILITY")&gt;0,"SERIES_CAPABILITY",IF(COUNTIFS('51_版本配置事实'!$B$6:$B$127,"PC-N70-MAX-CAND",'51_版本配置事实'!$C$6:$C$127,$A46,'51_版本配置事实'!$I$6:$I$127,"NOT_DISCLOSED")&gt;0,"NOT_DISCLOSED","NOT_DISCLOSED")))))))</x:f>
        <x:v>NOT_DISCLOSED</x:v>
      </x:c>
      <x:c r="F46" s="19" t="str">
        <x:f>IF(COUNTIFS('51_版本配置事实'!$B$6:$B$127,"PC-N70-MAX-CAND",'51_版本配置事实'!$C$6:$C$127,$A46,'51_版本配置事实'!$J$6:$J$127,"STANDARD_CURRENT")&gt;0,"STANDARD_CURRENT","NOT_EVIDENCED")</x:f>
        <x:v>NOT_EVIDENCED</x:v>
      </x:c>
      <x:c r="G46" s="19" t="str">
        <x:f>IF(COUNTIFS('51_版本配置事实'!$B$6:$B$127,"PC-N90-MAX-CAND",'51_版本配置事实'!$C$6:$C$127,$A46,'51_版本配置事实'!$T$6:$T$127,"&lt;&gt;NONE")&gt;0,"CONFLICTED",IF(COUNTIFS('51_版本配置事实'!$B$6:$B$127,"PC-N90-MAX-CAND",'51_版本配置事实'!$C$6:$C$127,$A46,'51_版本配置事实'!$I$6:$I$127,"STANDARD_AT_RELEASE")&gt;0,"STANDARD_AT_RELEASE",IF(COUNTIFS('51_版本配置事实'!$B$6:$B$127,"PC-N90-MAX-CAND",'51_版本配置事实'!$C$6:$C$127,$A46,'51_版本配置事实'!$I$6:$I$127,"OPTIONAL_AT_RELEASE")&gt;0,"OPTIONAL_AT_RELEASE",IF(COUNTIFS('51_版本配置事实'!$B$6:$B$127,"PC-N90-MAX-CAND",'51_版本配置事实'!$C$6:$C$127,$A46,'51_版本配置事实'!$I$6:$I$127,"SEPARATE_PURCHASE")&gt;0,"SEPARATE_PURCHASE",IF(COUNTIFS('51_版本配置事实'!$B$6:$B$127,"PC-N90-MAX-CAND",'51_版本配置事实'!$C$6:$C$127,$A46,'51_版本配置事实'!$I$6:$I$127,"EQUIPPED_STANDARD_UNCONFIRMED")&gt;0,"EQUIPPED_STANDARD_UNCONFIRMED",IF(COUNTIFS('51_版本配置事实'!$B$6:$B$127,"PC-N90-MAX-CAND",'51_版本配置事实'!$C$6:$C$127,$A46,'51_版本配置事实'!$I$6:$I$127,"SERIES_CAPABILITY")&gt;0,"SERIES_CAPABILITY",IF(COUNTIFS('51_版本配置事实'!$B$6:$B$127,"PC-N90-MAX-CAND",'51_版本配置事实'!$C$6:$C$127,$A46,'51_版本配置事实'!$I$6:$I$127,"NOT_DISCLOSED")&gt;0,"NOT_DISCLOSED","NOT_DISCLOSED")))))))</x:f>
        <x:v>OPTIONAL_AT_RELEASE</x:v>
      </x:c>
      <x:c r="H46" s="19" t="str">
        <x:f>IF(COUNTIFS('51_版本配置事实'!$B$6:$B$127,"PC-N90-MAX-CAND",'51_版本配置事实'!$C$6:$C$127,$A46,'51_版本配置事实'!$J$6:$J$127,"STANDARD_CURRENT")&gt;0,"STANDARD_CURRENT","NOT_EVIDENCED")</x:f>
        <x:v>NOT_EVIDENCED</x:v>
      </x:c>
      <x:c r="I46" s="19" t="str">
        <x:f>IF(COUNTIFS('51_版本配置事实'!$B$6:$B$127,"PC-N90-ROOF-CAND",'51_版本配置事实'!$C$6:$C$127,$A46,'51_版本配置事实'!$T$6:$T$127,"&lt;&gt;NONE")&gt;0,"CONFLICTED",IF(COUNTIFS('51_版本配置事实'!$B$6:$B$127,"PC-N90-ROOF-CAND",'51_版本配置事实'!$C$6:$C$127,$A46,'51_版本配置事实'!$I$6:$I$127,"STANDARD_AT_RELEASE")&gt;0,"STANDARD_AT_RELEASE",IF(COUNTIFS('51_版本配置事实'!$B$6:$B$127,"PC-N90-ROOF-CAND",'51_版本配置事实'!$C$6:$C$127,$A46,'51_版本配置事实'!$I$6:$I$127,"OPTIONAL_AT_RELEASE")&gt;0,"OPTIONAL_AT_RELEASE",IF(COUNTIFS('51_版本配置事实'!$B$6:$B$127,"PC-N90-ROOF-CAND",'51_版本配置事实'!$C$6:$C$127,$A46,'51_版本配置事实'!$I$6:$I$127,"SEPARATE_PURCHASE")&gt;0,"SEPARATE_PURCHASE",IF(COUNTIFS('51_版本配置事实'!$B$6:$B$127,"PC-N90-ROOF-CAND",'51_版本配置事实'!$C$6:$C$127,$A46,'51_版本配置事实'!$I$6:$I$127,"EQUIPPED_STANDARD_UNCONFIRMED")&gt;0,"EQUIPPED_STANDARD_UNCONFIRMED",IF(COUNTIFS('51_版本配置事实'!$B$6:$B$127,"PC-N90-ROOF-CAND",'51_版本配置事实'!$C$6:$C$127,$A46,'51_版本配置事实'!$I$6:$I$127,"SERIES_CAPABILITY")&gt;0,"SERIES_CAPABILITY",IF(COUNTIFS('51_版本配置事实'!$B$6:$B$127,"PC-N90-ROOF-CAND",'51_版本配置事实'!$C$6:$C$127,$A46,'51_版本配置事实'!$I$6:$I$127,"NOT_DISCLOSED")&gt;0,"NOT_DISCLOSED","NOT_DISCLOSED")))))))</x:f>
        <x:v>NOT_DISCLOSED</x:v>
      </x:c>
      <x:c r="J46" s="19" t="str">
        <x:f>IF(COUNTIFS('51_版本配置事实'!$B$6:$B$127,"PC-N90-ROOF-CAND",'51_版本配置事实'!$C$6:$C$127,$A46,'51_版本配置事实'!$J$6:$J$127,"STANDARD_CURRENT")&gt;0,"STANDARD_CURRENT","NOT_EVIDENCED")</x:f>
        <x:v>NOT_EVIDENCED</x:v>
      </x:c>
      <x:c r="K46" s="19" t="str">
        <x:f>IF(AND(E46=G46,E46&lt;&gt;"NOT_DISCLOSED",E46&lt;&gt;"CONFLICTED"),IF(COUNTIFS('50_发布会逐项主张'!$H$6:$H$137,$A46,'50_发布会逐项主张'!$O$6:$O$137,"ALL_PENGCHENG")&gt;0,"EXPLICIT_COMMON_ANNOUNCED_MAX","MATCHED_NOT_PROVED_COMMON"),"NOT_PROVED_COMMON")</x:f>
        <x:v>NOT_PROVED_COMMON</x:v>
      </x:c>
      <x:c r="L46" s="19" t="str">
        <x:f>IF(OR(C46="NOT_DISCLOSED",E46="NOT_DISCLOSED",C46="CONFLICTED",E46="CONFLICTED"),"UNRESOLVED",IF(C46=E46,"NO_CHANGE",IF(AND(C46="STANDARD_AT_RELEASE",E46="OPTIONAL_AT_RELEASE"),"STANDARD_TO_OPTIONAL",IF(AND(C46="OPTIONAL_AT_RELEASE",E46="STANDARD_AT_RELEASE"),"OPTIONAL_TO_STANDARD",IF(E46="STANDARD_AT_RELEASE","ADDED_STANDARD","REVIEW_CHANGE")))))</x:f>
        <x:v>UNRESOLVED</x:v>
      </x:c>
      <x:c r="M46" s="19" t="str">
        <x:f>IF(OR(E46="NOT_DISCLOSED",G46="NOT_DISCLOSED",E46="CONFLICTED",G46="CONFLICTED"),"UNRESOLVED",IF(E46=G46,"NO_CHANGE",IF(AND(E46="STANDARD_AT_RELEASE",G46="OPTIONAL_AT_RELEASE"),"STANDARD_TO_OPTIONAL",IF(AND(E46="OPTIONAL_AT_RELEASE",G46="STANDARD_AT_RELEASE"),"OPTIONAL_TO_STANDARD",IF(G46="STANDARD_AT_RELEASE","ADDED_STANDARD","REVIEW_CHANGE")))))</x:f>
        <x:v>UNRESOLVED</x:v>
      </x:c>
      <x:c r="N46" s="19" t="str">
        <x:f>IF(OR(G46="NOT_DISCLOSED",I46="NOT_DISCLOSED",G46="CONFLICTED",I46="CONFLICTED"),"UNRESOLVED",IF(G46=I46,"NO_CHANGE",IF(AND(G46="STANDARD_AT_RELEASE",I46="OPTIONAL_AT_RELEASE"),"STANDARD_TO_OPTIONAL",IF(AND(G46="OPTIONAL_AT_RELEASE",I46="STANDARD_AT_RELEASE"),"OPTIONAL_TO_STANDARD",IF(I46="STANDARD_AT_RELEASE","ADDED_STANDARD","REVIEW_CHANGE")))))</x:f>
        <x:v>UNRESOLVED</x:v>
      </x:c>
      <x:c r="O46" s="19" t="str">
        <x:v>OPTIONS_ACCESSORIES</x:v>
      </x:c>
      <x:c r="P46" s="19" t="str">
        <x:v>DC_EXTERIOR_grille_trim</x:v>
      </x:c>
      <x:c r="Q46" s="19" t="n">
        <x:f>COUNTIF('50_发布会逐项主张'!$H$6:$H$137,A46)</x:f>
        <x:v>1</x:v>
      </x:c>
      <x:c r="R46" s="19" t="str">
        <x:f>IF(COUNTIFS('50_发布会逐项主张'!$H$6:$H$137,A46,'50_发布会逐项主张'!$X$6:$X$137,"&lt;&gt;NONE")&gt;0,"CONFLICTED","NONE")</x:f>
        <x:v>NONE</x:v>
      </x:c>
    </x:row>
    <x:row r="47" ht="48" customHeight="1">
      <x:c r="A47" s="369" t="str">
        <x:v>heat_pump_hvac</x:v>
      </x:c>
      <x:c r="B47" s="369" t="str">
        <x:v>COMFORT</x:v>
      </x:c>
      <x:c r="C47" s="369" t="str">
        <x:f>IF(COUNTIFS('51_版本配置事实'!$B$6:$B$127,"PC-N70-BASE-CAND",'51_版本配置事实'!$C$6:$C$127,$A47,'51_版本配置事实'!$T$6:$T$127,"&lt;&gt;NONE")&gt;0,"CONFLICTED",IF(COUNTIFS('51_版本配置事实'!$B$6:$B$127,"PC-N70-BASE-CAND",'51_版本配置事实'!$C$6:$C$127,$A47,'51_版本配置事实'!$I$6:$I$127,"STANDARD_AT_RELEASE")&gt;0,"STANDARD_AT_RELEASE",IF(COUNTIFS('51_版本配置事实'!$B$6:$B$127,"PC-N70-BASE-CAND",'51_版本配置事实'!$C$6:$C$127,$A47,'51_版本配置事实'!$I$6:$I$127,"OPTIONAL_AT_RELEASE")&gt;0,"OPTIONAL_AT_RELEASE",IF(COUNTIFS('51_版本配置事实'!$B$6:$B$127,"PC-N70-BASE-CAND",'51_版本配置事实'!$C$6:$C$127,$A47,'51_版本配置事实'!$I$6:$I$127,"SEPARATE_PURCHASE")&gt;0,"SEPARATE_PURCHASE",IF(COUNTIFS('51_版本配置事实'!$B$6:$B$127,"PC-N70-BASE-CAND",'51_版本配置事实'!$C$6:$C$127,$A47,'51_版本配置事实'!$I$6:$I$127,"EQUIPPED_STANDARD_UNCONFIRMED")&gt;0,"EQUIPPED_STANDARD_UNCONFIRMED",IF(COUNTIFS('51_版本配置事实'!$B$6:$B$127,"PC-N70-BASE-CAND",'51_版本配置事实'!$C$6:$C$127,$A47,'51_版本配置事实'!$I$6:$I$127,"SERIES_CAPABILITY")&gt;0,"SERIES_CAPABILITY",IF(COUNTIFS('51_版本配置事实'!$B$6:$B$127,"PC-N70-BASE-CAND",'51_版本配置事实'!$C$6:$C$127,$A47,'51_版本配置事实'!$I$6:$I$127,"NOT_DISCLOSED")&gt;0,"NOT_DISCLOSED","NOT_DISCLOSED")))))))</x:f>
        <x:v>NOT_DISCLOSED</x:v>
      </x:c>
      <x:c r="D47" s="369" t="str">
        <x:f>IF(COUNTIFS('51_版本配置事实'!$B$6:$B$127,"PC-N70-BASE-CAND",'51_版本配置事实'!$C$6:$C$127,$A47,'51_版本配置事实'!$J$6:$J$127,"STANDARD_CURRENT")&gt;0,"STANDARD_CURRENT","NOT_EVIDENCED")</x:f>
        <x:v>NOT_EVIDENCED</x:v>
      </x:c>
      <x:c r="E47" s="369" t="str">
        <x:f>IF(COUNTIFS('51_版本配置事实'!$B$6:$B$127,"PC-N70-MAX-CAND",'51_版本配置事实'!$C$6:$C$127,$A47,'51_版本配置事实'!$T$6:$T$127,"&lt;&gt;NONE")&gt;0,"CONFLICTED",IF(COUNTIFS('51_版本配置事实'!$B$6:$B$127,"PC-N70-MAX-CAND",'51_版本配置事实'!$C$6:$C$127,$A47,'51_版本配置事实'!$I$6:$I$127,"STANDARD_AT_RELEASE")&gt;0,"STANDARD_AT_RELEASE",IF(COUNTIFS('51_版本配置事实'!$B$6:$B$127,"PC-N70-MAX-CAND",'51_版本配置事实'!$C$6:$C$127,$A47,'51_版本配置事实'!$I$6:$I$127,"OPTIONAL_AT_RELEASE")&gt;0,"OPTIONAL_AT_RELEASE",IF(COUNTIFS('51_版本配置事实'!$B$6:$B$127,"PC-N70-MAX-CAND",'51_版本配置事实'!$C$6:$C$127,$A47,'51_版本配置事实'!$I$6:$I$127,"SEPARATE_PURCHASE")&gt;0,"SEPARATE_PURCHASE",IF(COUNTIFS('51_版本配置事实'!$B$6:$B$127,"PC-N70-MAX-CAND",'51_版本配置事实'!$C$6:$C$127,$A47,'51_版本配置事实'!$I$6:$I$127,"EQUIPPED_STANDARD_UNCONFIRMED")&gt;0,"EQUIPPED_STANDARD_UNCONFIRMED",IF(COUNTIFS('51_版本配置事实'!$B$6:$B$127,"PC-N70-MAX-CAND",'51_版本配置事实'!$C$6:$C$127,$A47,'51_版本配置事实'!$I$6:$I$127,"SERIES_CAPABILITY")&gt;0,"SERIES_CAPABILITY",IF(COUNTIFS('51_版本配置事实'!$B$6:$B$127,"PC-N70-MAX-CAND",'51_版本配置事实'!$C$6:$C$127,$A47,'51_版本配置事实'!$I$6:$I$127,"NOT_DISCLOSED")&gt;0,"NOT_DISCLOSED","NOT_DISCLOSED")))))))</x:f>
        <x:v>NOT_DISCLOSED</x:v>
      </x:c>
      <x:c r="F47" s="369" t="str">
        <x:f>IF(COUNTIFS('51_版本配置事实'!$B$6:$B$127,"PC-N70-MAX-CAND",'51_版本配置事实'!$C$6:$C$127,$A47,'51_版本配置事实'!$J$6:$J$127,"STANDARD_CURRENT")&gt;0,"STANDARD_CURRENT","NOT_EVIDENCED")</x:f>
        <x:v>NOT_EVIDENCED</x:v>
      </x:c>
      <x:c r="G47" s="369" t="str">
        <x:f>IF(COUNTIFS('51_版本配置事实'!$B$6:$B$127,"PC-N90-MAX-CAND",'51_版本配置事实'!$C$6:$C$127,$A47,'51_版本配置事实'!$T$6:$T$127,"&lt;&gt;NONE")&gt;0,"CONFLICTED",IF(COUNTIFS('51_版本配置事实'!$B$6:$B$127,"PC-N90-MAX-CAND",'51_版本配置事实'!$C$6:$C$127,$A47,'51_版本配置事实'!$I$6:$I$127,"STANDARD_AT_RELEASE")&gt;0,"STANDARD_AT_RELEASE",IF(COUNTIFS('51_版本配置事实'!$B$6:$B$127,"PC-N90-MAX-CAND",'51_版本配置事实'!$C$6:$C$127,$A47,'51_版本配置事实'!$I$6:$I$127,"OPTIONAL_AT_RELEASE")&gt;0,"OPTIONAL_AT_RELEASE",IF(COUNTIFS('51_版本配置事实'!$B$6:$B$127,"PC-N90-MAX-CAND",'51_版本配置事实'!$C$6:$C$127,$A47,'51_版本配置事实'!$I$6:$I$127,"SEPARATE_PURCHASE")&gt;0,"SEPARATE_PURCHASE",IF(COUNTIFS('51_版本配置事实'!$B$6:$B$127,"PC-N90-MAX-CAND",'51_版本配置事实'!$C$6:$C$127,$A47,'51_版本配置事实'!$I$6:$I$127,"EQUIPPED_STANDARD_UNCONFIRMED")&gt;0,"EQUIPPED_STANDARD_UNCONFIRMED",IF(COUNTIFS('51_版本配置事实'!$B$6:$B$127,"PC-N90-MAX-CAND",'51_版本配置事实'!$C$6:$C$127,$A47,'51_版本配置事实'!$I$6:$I$127,"SERIES_CAPABILITY")&gt;0,"SERIES_CAPABILITY",IF(COUNTIFS('51_版本配置事实'!$B$6:$B$127,"PC-N90-MAX-CAND",'51_版本配置事实'!$C$6:$C$127,$A47,'51_版本配置事实'!$I$6:$I$127,"NOT_DISCLOSED")&gt;0,"NOT_DISCLOSED","NOT_DISCLOSED")))))))</x:f>
        <x:v>EQUIPPED_STANDARD_UNCONFIRMED</x:v>
      </x:c>
      <x:c r="H47" s="369" t="str">
        <x:f>IF(COUNTIFS('51_版本配置事实'!$B$6:$B$127,"PC-N90-MAX-CAND",'51_版本配置事实'!$C$6:$C$127,$A47,'51_版本配置事实'!$J$6:$J$127,"STANDARD_CURRENT")&gt;0,"STANDARD_CURRENT","NOT_EVIDENCED")</x:f>
        <x:v>NOT_EVIDENCED</x:v>
      </x:c>
      <x:c r="I47" s="369" t="str">
        <x:f>IF(COUNTIFS('51_版本配置事实'!$B$6:$B$127,"PC-N90-ROOF-CAND",'51_版本配置事实'!$C$6:$C$127,$A47,'51_版本配置事实'!$T$6:$T$127,"&lt;&gt;NONE")&gt;0,"CONFLICTED",IF(COUNTIFS('51_版本配置事实'!$B$6:$B$127,"PC-N90-ROOF-CAND",'51_版本配置事实'!$C$6:$C$127,$A47,'51_版本配置事实'!$I$6:$I$127,"STANDARD_AT_RELEASE")&gt;0,"STANDARD_AT_RELEASE",IF(COUNTIFS('51_版本配置事实'!$B$6:$B$127,"PC-N90-ROOF-CAND",'51_版本配置事实'!$C$6:$C$127,$A47,'51_版本配置事实'!$I$6:$I$127,"OPTIONAL_AT_RELEASE")&gt;0,"OPTIONAL_AT_RELEASE",IF(COUNTIFS('51_版本配置事实'!$B$6:$B$127,"PC-N90-ROOF-CAND",'51_版本配置事实'!$C$6:$C$127,$A47,'51_版本配置事实'!$I$6:$I$127,"SEPARATE_PURCHASE")&gt;0,"SEPARATE_PURCHASE",IF(COUNTIFS('51_版本配置事实'!$B$6:$B$127,"PC-N90-ROOF-CAND",'51_版本配置事实'!$C$6:$C$127,$A47,'51_版本配置事实'!$I$6:$I$127,"EQUIPPED_STANDARD_UNCONFIRMED")&gt;0,"EQUIPPED_STANDARD_UNCONFIRMED",IF(COUNTIFS('51_版本配置事实'!$B$6:$B$127,"PC-N90-ROOF-CAND",'51_版本配置事实'!$C$6:$C$127,$A47,'51_版本配置事实'!$I$6:$I$127,"SERIES_CAPABILITY")&gt;0,"SERIES_CAPABILITY",IF(COUNTIFS('51_版本配置事实'!$B$6:$B$127,"PC-N90-ROOF-CAND",'51_版本配置事实'!$C$6:$C$127,$A47,'51_版本配置事实'!$I$6:$I$127,"NOT_DISCLOSED")&gt;0,"NOT_DISCLOSED","NOT_DISCLOSED")))))))</x:f>
        <x:v>NOT_DISCLOSED</x:v>
      </x:c>
      <x:c r="J47" s="369" t="str">
        <x:f>IF(COUNTIFS('51_版本配置事实'!$B$6:$B$127,"PC-N90-ROOF-CAND",'51_版本配置事实'!$C$6:$C$127,$A47,'51_版本配置事实'!$J$6:$J$127,"STANDARD_CURRENT")&gt;0,"STANDARD_CURRENT","NOT_EVIDENCED")</x:f>
        <x:v>NOT_EVIDENCED</x:v>
      </x:c>
      <x:c r="K47" s="369" t="str">
        <x:f>IF(AND(E47=G47,E47&lt;&gt;"NOT_DISCLOSED",E47&lt;&gt;"CONFLICTED"),IF(COUNTIFS('50_发布会逐项主张'!$H$6:$H$137,$A47,'50_发布会逐项主张'!$O$6:$O$137,"ALL_PENGCHENG")&gt;0,"EXPLICIT_COMMON_ANNOUNCED_MAX","MATCHED_NOT_PROVED_COMMON"),"NOT_PROVED_COMMON")</x:f>
        <x:v>NOT_PROVED_COMMON</x:v>
      </x:c>
      <x:c r="L47" s="369" t="str">
        <x:f>IF(OR(C47="NOT_DISCLOSED",E47="NOT_DISCLOSED",C47="CONFLICTED",E47="CONFLICTED"),"UNRESOLVED",IF(C47=E47,"NO_CHANGE",IF(AND(C47="STANDARD_AT_RELEASE",E47="OPTIONAL_AT_RELEASE"),"STANDARD_TO_OPTIONAL",IF(AND(C47="OPTIONAL_AT_RELEASE",E47="STANDARD_AT_RELEASE"),"OPTIONAL_TO_STANDARD",IF(E47="STANDARD_AT_RELEASE","ADDED_STANDARD","REVIEW_CHANGE")))))</x:f>
        <x:v>UNRESOLVED</x:v>
      </x:c>
      <x:c r="M47" s="369" t="str">
        <x:f>IF(OR(E47="NOT_DISCLOSED",G47="NOT_DISCLOSED",E47="CONFLICTED",G47="CONFLICTED"),"UNRESOLVED",IF(E47=G47,"NO_CHANGE",IF(AND(E47="STANDARD_AT_RELEASE",G47="OPTIONAL_AT_RELEASE"),"STANDARD_TO_OPTIONAL",IF(AND(E47="OPTIONAL_AT_RELEASE",G47="STANDARD_AT_RELEASE"),"OPTIONAL_TO_STANDARD",IF(G47="STANDARD_AT_RELEASE","ADDED_STANDARD","REVIEW_CHANGE")))))</x:f>
        <x:v>UNRESOLVED</x:v>
      </x:c>
      <x:c r="N47" s="369" t="str">
        <x:f>IF(OR(G47="NOT_DISCLOSED",I47="NOT_DISCLOSED",G47="CONFLICTED",I47="CONFLICTED"),"UNRESOLVED",IF(G47=I47,"NO_CHANGE",IF(AND(G47="STANDARD_AT_RELEASE",I47="OPTIONAL_AT_RELEASE"),"STANDARD_TO_OPTIONAL",IF(AND(G47="OPTIONAL_AT_RELEASE",I47="STANDARD_AT_RELEASE"),"OPTIONAL_TO_STANDARD",IF(I47="STANDARD_AT_RELEASE","ADDED_STANDARD","REVIEW_CHANGE")))))</x:f>
        <x:v>UNRESOLVED</x:v>
      </x:c>
      <x:c r="O47" s="369" t="str">
        <x:v>CABIN_COMFORT</x:v>
      </x:c>
      <x:c r="P47" s="369" t="str">
        <x:v>DC_COMFORT_heat_pump_hvac</x:v>
      </x:c>
      <x:c r="Q47" s="369" t="n">
        <x:f>COUNTIF('50_发布会逐项主张'!$H$6:$H$137,A47)</x:f>
        <x:v>1</x:v>
      </x:c>
      <x:c r="R47" s="369" t="str">
        <x:f>IF(COUNTIFS('50_发布会逐项主张'!$H$6:$H$137,A47,'50_发布会逐项主张'!$X$6:$X$137,"&lt;&gt;NONE")&gt;0,"CONFLICTED","NONE")</x:f>
        <x:v>NONE</x:v>
      </x:c>
    </x:row>
    <x:row r="48" ht="48" customHeight="1">
      <x:c r="A48" s="19" t="str">
        <x:v>high_strength_material_ratio</x:v>
      </x:c>
      <x:c r="B48" s="19" t="str">
        <x:v>BODY_SAFETY</x:v>
      </x:c>
      <x:c r="C48" s="19" t="str">
        <x:f>IF(COUNTIFS('51_版本配置事实'!$B$6:$B$127,"PC-N70-BASE-CAND",'51_版本配置事实'!$C$6:$C$127,$A48,'51_版本配置事实'!$T$6:$T$127,"&lt;&gt;NONE")&gt;0,"CONFLICTED",IF(COUNTIFS('51_版本配置事实'!$B$6:$B$127,"PC-N70-BASE-CAND",'51_版本配置事实'!$C$6:$C$127,$A48,'51_版本配置事实'!$I$6:$I$127,"STANDARD_AT_RELEASE")&gt;0,"STANDARD_AT_RELEASE",IF(COUNTIFS('51_版本配置事实'!$B$6:$B$127,"PC-N70-BASE-CAND",'51_版本配置事实'!$C$6:$C$127,$A48,'51_版本配置事实'!$I$6:$I$127,"OPTIONAL_AT_RELEASE")&gt;0,"OPTIONAL_AT_RELEASE",IF(COUNTIFS('51_版本配置事实'!$B$6:$B$127,"PC-N70-BASE-CAND",'51_版本配置事实'!$C$6:$C$127,$A48,'51_版本配置事实'!$I$6:$I$127,"SEPARATE_PURCHASE")&gt;0,"SEPARATE_PURCHASE",IF(COUNTIFS('51_版本配置事实'!$B$6:$B$127,"PC-N70-BASE-CAND",'51_版本配置事实'!$C$6:$C$127,$A48,'51_版本配置事实'!$I$6:$I$127,"EQUIPPED_STANDARD_UNCONFIRMED")&gt;0,"EQUIPPED_STANDARD_UNCONFIRMED",IF(COUNTIFS('51_版本配置事实'!$B$6:$B$127,"PC-N70-BASE-CAND",'51_版本配置事实'!$C$6:$C$127,$A48,'51_版本配置事实'!$I$6:$I$127,"SERIES_CAPABILITY")&gt;0,"SERIES_CAPABILITY",IF(COUNTIFS('51_版本配置事实'!$B$6:$B$127,"PC-N70-BASE-CAND",'51_版本配置事实'!$C$6:$C$127,$A48,'51_版本配置事实'!$I$6:$I$127,"NOT_DISCLOSED")&gt;0,"NOT_DISCLOSED","NOT_DISCLOSED")))))))</x:f>
        <x:v>NOT_DISCLOSED</x:v>
      </x:c>
      <x:c r="D48" s="19" t="str">
        <x:f>IF(COUNTIFS('51_版本配置事实'!$B$6:$B$127,"PC-N70-BASE-CAND",'51_版本配置事实'!$C$6:$C$127,$A48,'51_版本配置事实'!$J$6:$J$127,"STANDARD_CURRENT")&gt;0,"STANDARD_CURRENT","NOT_EVIDENCED")</x:f>
        <x:v>NOT_EVIDENCED</x:v>
      </x:c>
      <x:c r="E48" s="19" t="str">
        <x:f>IF(COUNTIFS('51_版本配置事实'!$B$6:$B$127,"PC-N70-MAX-CAND",'51_版本配置事实'!$C$6:$C$127,$A48,'51_版本配置事实'!$T$6:$T$127,"&lt;&gt;NONE")&gt;0,"CONFLICTED",IF(COUNTIFS('51_版本配置事实'!$B$6:$B$127,"PC-N70-MAX-CAND",'51_版本配置事实'!$C$6:$C$127,$A48,'51_版本配置事实'!$I$6:$I$127,"STANDARD_AT_RELEASE")&gt;0,"STANDARD_AT_RELEASE",IF(COUNTIFS('51_版本配置事实'!$B$6:$B$127,"PC-N70-MAX-CAND",'51_版本配置事实'!$C$6:$C$127,$A48,'51_版本配置事实'!$I$6:$I$127,"OPTIONAL_AT_RELEASE")&gt;0,"OPTIONAL_AT_RELEASE",IF(COUNTIFS('51_版本配置事实'!$B$6:$B$127,"PC-N70-MAX-CAND",'51_版本配置事实'!$C$6:$C$127,$A48,'51_版本配置事实'!$I$6:$I$127,"SEPARATE_PURCHASE")&gt;0,"SEPARATE_PURCHASE",IF(COUNTIFS('51_版本配置事实'!$B$6:$B$127,"PC-N70-MAX-CAND",'51_版本配置事实'!$C$6:$C$127,$A48,'51_版本配置事实'!$I$6:$I$127,"EQUIPPED_STANDARD_UNCONFIRMED")&gt;0,"EQUIPPED_STANDARD_UNCONFIRMED",IF(COUNTIFS('51_版本配置事实'!$B$6:$B$127,"PC-N70-MAX-CAND",'51_版本配置事实'!$C$6:$C$127,$A48,'51_版本配置事实'!$I$6:$I$127,"SERIES_CAPABILITY")&gt;0,"SERIES_CAPABILITY",IF(COUNTIFS('51_版本配置事实'!$B$6:$B$127,"PC-N70-MAX-CAND",'51_版本配置事实'!$C$6:$C$127,$A48,'51_版本配置事实'!$I$6:$I$127,"NOT_DISCLOSED")&gt;0,"NOT_DISCLOSED","NOT_DISCLOSED")))))))</x:f>
        <x:v>NOT_DISCLOSED</x:v>
      </x:c>
      <x:c r="F48" s="19" t="str">
        <x:f>IF(COUNTIFS('51_版本配置事实'!$B$6:$B$127,"PC-N70-MAX-CAND",'51_版本配置事实'!$C$6:$C$127,$A48,'51_版本配置事实'!$J$6:$J$127,"STANDARD_CURRENT")&gt;0,"STANDARD_CURRENT","NOT_EVIDENCED")</x:f>
        <x:v>NOT_EVIDENCED</x:v>
      </x:c>
      <x:c r="G48" s="19" t="str">
        <x:f>IF(COUNTIFS('51_版本配置事实'!$B$6:$B$127,"PC-N90-MAX-CAND",'51_版本配置事实'!$C$6:$C$127,$A48,'51_版本配置事实'!$T$6:$T$127,"&lt;&gt;NONE")&gt;0,"CONFLICTED",IF(COUNTIFS('51_版本配置事实'!$B$6:$B$127,"PC-N90-MAX-CAND",'51_版本配置事实'!$C$6:$C$127,$A48,'51_版本配置事实'!$I$6:$I$127,"STANDARD_AT_RELEASE")&gt;0,"STANDARD_AT_RELEASE",IF(COUNTIFS('51_版本配置事实'!$B$6:$B$127,"PC-N90-MAX-CAND",'51_版本配置事实'!$C$6:$C$127,$A48,'51_版本配置事实'!$I$6:$I$127,"OPTIONAL_AT_RELEASE")&gt;0,"OPTIONAL_AT_RELEASE",IF(COUNTIFS('51_版本配置事实'!$B$6:$B$127,"PC-N90-MAX-CAND",'51_版本配置事实'!$C$6:$C$127,$A48,'51_版本配置事实'!$I$6:$I$127,"SEPARATE_PURCHASE")&gt;0,"SEPARATE_PURCHASE",IF(COUNTIFS('51_版本配置事实'!$B$6:$B$127,"PC-N90-MAX-CAND",'51_版本配置事实'!$C$6:$C$127,$A48,'51_版本配置事实'!$I$6:$I$127,"EQUIPPED_STANDARD_UNCONFIRMED")&gt;0,"EQUIPPED_STANDARD_UNCONFIRMED",IF(COUNTIFS('51_版本配置事实'!$B$6:$B$127,"PC-N90-MAX-CAND",'51_版本配置事实'!$C$6:$C$127,$A48,'51_版本配置事实'!$I$6:$I$127,"SERIES_CAPABILITY")&gt;0,"SERIES_CAPABILITY",IF(COUNTIFS('51_版本配置事实'!$B$6:$B$127,"PC-N90-MAX-CAND",'51_版本配置事实'!$C$6:$C$127,$A48,'51_版本配置事实'!$I$6:$I$127,"NOT_DISCLOSED")&gt;0,"NOT_DISCLOSED","NOT_DISCLOSED")))))))</x:f>
        <x:v>EQUIPPED_STANDARD_UNCONFIRMED</x:v>
      </x:c>
      <x:c r="H48" s="19" t="str">
        <x:f>IF(COUNTIFS('51_版本配置事实'!$B$6:$B$127,"PC-N90-MAX-CAND",'51_版本配置事实'!$C$6:$C$127,$A48,'51_版本配置事实'!$J$6:$J$127,"STANDARD_CURRENT")&gt;0,"STANDARD_CURRENT","NOT_EVIDENCED")</x:f>
        <x:v>NOT_EVIDENCED</x:v>
      </x:c>
      <x:c r="I48" s="19" t="str">
        <x:f>IF(COUNTIFS('51_版本配置事实'!$B$6:$B$127,"PC-N90-ROOF-CAND",'51_版本配置事实'!$C$6:$C$127,$A48,'51_版本配置事实'!$T$6:$T$127,"&lt;&gt;NONE")&gt;0,"CONFLICTED",IF(COUNTIFS('51_版本配置事实'!$B$6:$B$127,"PC-N90-ROOF-CAND",'51_版本配置事实'!$C$6:$C$127,$A48,'51_版本配置事实'!$I$6:$I$127,"STANDARD_AT_RELEASE")&gt;0,"STANDARD_AT_RELEASE",IF(COUNTIFS('51_版本配置事实'!$B$6:$B$127,"PC-N90-ROOF-CAND",'51_版本配置事实'!$C$6:$C$127,$A48,'51_版本配置事实'!$I$6:$I$127,"OPTIONAL_AT_RELEASE")&gt;0,"OPTIONAL_AT_RELEASE",IF(COUNTIFS('51_版本配置事实'!$B$6:$B$127,"PC-N90-ROOF-CAND",'51_版本配置事实'!$C$6:$C$127,$A48,'51_版本配置事实'!$I$6:$I$127,"SEPARATE_PURCHASE")&gt;0,"SEPARATE_PURCHASE",IF(COUNTIFS('51_版本配置事实'!$B$6:$B$127,"PC-N90-ROOF-CAND",'51_版本配置事实'!$C$6:$C$127,$A48,'51_版本配置事实'!$I$6:$I$127,"EQUIPPED_STANDARD_UNCONFIRMED")&gt;0,"EQUIPPED_STANDARD_UNCONFIRMED",IF(COUNTIFS('51_版本配置事实'!$B$6:$B$127,"PC-N90-ROOF-CAND",'51_版本配置事实'!$C$6:$C$127,$A48,'51_版本配置事实'!$I$6:$I$127,"SERIES_CAPABILITY")&gt;0,"SERIES_CAPABILITY",IF(COUNTIFS('51_版本配置事实'!$B$6:$B$127,"PC-N90-ROOF-CAND",'51_版本配置事实'!$C$6:$C$127,$A48,'51_版本配置事实'!$I$6:$I$127,"NOT_DISCLOSED")&gt;0,"NOT_DISCLOSED","NOT_DISCLOSED")))))))</x:f>
        <x:v>NOT_DISCLOSED</x:v>
      </x:c>
      <x:c r="J48" s="19" t="str">
        <x:f>IF(COUNTIFS('51_版本配置事实'!$B$6:$B$127,"PC-N90-ROOF-CAND",'51_版本配置事实'!$C$6:$C$127,$A48,'51_版本配置事实'!$J$6:$J$127,"STANDARD_CURRENT")&gt;0,"STANDARD_CURRENT","NOT_EVIDENCED")</x:f>
        <x:v>NOT_EVIDENCED</x:v>
      </x:c>
      <x:c r="K48" s="19" t="str">
        <x:f>IF(AND(E48=G48,E48&lt;&gt;"NOT_DISCLOSED",E48&lt;&gt;"CONFLICTED"),IF(COUNTIFS('50_发布会逐项主张'!$H$6:$H$137,$A48,'50_发布会逐项主张'!$O$6:$O$137,"ALL_PENGCHENG")&gt;0,"EXPLICIT_COMMON_ANNOUNCED_MAX","MATCHED_NOT_PROVED_COMMON"),"NOT_PROVED_COMMON")</x:f>
        <x:v>NOT_PROVED_COMMON</x:v>
      </x:c>
      <x:c r="L48" s="19" t="str">
        <x:f>IF(OR(C48="NOT_DISCLOSED",E48="NOT_DISCLOSED",C48="CONFLICTED",E48="CONFLICTED"),"UNRESOLVED",IF(C48=E48,"NO_CHANGE",IF(AND(C48="STANDARD_AT_RELEASE",E48="OPTIONAL_AT_RELEASE"),"STANDARD_TO_OPTIONAL",IF(AND(C48="OPTIONAL_AT_RELEASE",E48="STANDARD_AT_RELEASE"),"OPTIONAL_TO_STANDARD",IF(E48="STANDARD_AT_RELEASE","ADDED_STANDARD","REVIEW_CHANGE")))))</x:f>
        <x:v>UNRESOLVED</x:v>
      </x:c>
      <x:c r="M48" s="19" t="str">
        <x:f>IF(OR(E48="NOT_DISCLOSED",G48="NOT_DISCLOSED",E48="CONFLICTED",G48="CONFLICTED"),"UNRESOLVED",IF(E48=G48,"NO_CHANGE",IF(AND(E48="STANDARD_AT_RELEASE",G48="OPTIONAL_AT_RELEASE"),"STANDARD_TO_OPTIONAL",IF(AND(E48="OPTIONAL_AT_RELEASE",G48="STANDARD_AT_RELEASE"),"OPTIONAL_TO_STANDARD",IF(G48="STANDARD_AT_RELEASE","ADDED_STANDARD","REVIEW_CHANGE")))))</x:f>
        <x:v>UNRESOLVED</x:v>
      </x:c>
      <x:c r="N48" s="19" t="str">
        <x:f>IF(OR(G48="NOT_DISCLOSED",I48="NOT_DISCLOSED",G48="CONFLICTED",I48="CONFLICTED"),"UNRESOLVED",IF(G48=I48,"NO_CHANGE",IF(AND(G48="STANDARD_AT_RELEASE",I48="OPTIONAL_AT_RELEASE"),"STANDARD_TO_OPTIONAL",IF(AND(G48="OPTIONAL_AT_RELEASE",I48="STANDARD_AT_RELEASE"),"OPTIONAL_TO_STANDARD",IF(I48="STANDARD_AT_RELEASE","ADDED_STANDARD","REVIEW_CHANGE")))))</x:f>
        <x:v>UNRESOLVED</x:v>
      </x:c>
      <x:c r="O48" s="19" t="str">
        <x:v>BODY_SPACE_SAFETY</x:v>
      </x:c>
      <x:c r="P48" s="19" t="str">
        <x:v>DC_BODY_SAFETY_high_strength_material_ratio</x:v>
      </x:c>
      <x:c r="Q48" s="19" t="n">
        <x:f>COUNTIF('50_发布会逐项主张'!$H$6:$H$137,A48)</x:f>
        <x:v>1</x:v>
      </x:c>
      <x:c r="R48" s="19" t="str">
        <x:f>IF(COUNTIFS('50_发布会逐项主张'!$H$6:$H$137,A48,'50_发布会逐项主张'!$X$6:$X$137,"&lt;&gt;NONE")&gt;0,"CONFLICTED","NONE")</x:f>
        <x:v>NONE</x:v>
      </x:c>
    </x:row>
    <x:row r="49" ht="48" customHeight="1">
      <x:c r="A49" s="369" t="str">
        <x:v>hydraulic_bushing_count</x:v>
      </x:c>
      <x:c r="B49" s="369" t="str">
        <x:v>CHASSIS</x:v>
      </x:c>
      <x:c r="C49" s="369" t="str">
        <x:f>IF(COUNTIFS('51_版本配置事实'!$B$6:$B$127,"PC-N70-BASE-CAND",'51_版本配置事实'!$C$6:$C$127,$A49,'51_版本配置事实'!$T$6:$T$127,"&lt;&gt;NONE")&gt;0,"CONFLICTED",IF(COUNTIFS('51_版本配置事实'!$B$6:$B$127,"PC-N70-BASE-CAND",'51_版本配置事实'!$C$6:$C$127,$A49,'51_版本配置事实'!$I$6:$I$127,"STANDARD_AT_RELEASE")&gt;0,"STANDARD_AT_RELEASE",IF(COUNTIFS('51_版本配置事实'!$B$6:$B$127,"PC-N70-BASE-CAND",'51_版本配置事实'!$C$6:$C$127,$A49,'51_版本配置事实'!$I$6:$I$127,"OPTIONAL_AT_RELEASE")&gt;0,"OPTIONAL_AT_RELEASE",IF(COUNTIFS('51_版本配置事实'!$B$6:$B$127,"PC-N70-BASE-CAND",'51_版本配置事实'!$C$6:$C$127,$A49,'51_版本配置事实'!$I$6:$I$127,"SEPARATE_PURCHASE")&gt;0,"SEPARATE_PURCHASE",IF(COUNTIFS('51_版本配置事实'!$B$6:$B$127,"PC-N70-BASE-CAND",'51_版本配置事实'!$C$6:$C$127,$A49,'51_版本配置事实'!$I$6:$I$127,"EQUIPPED_STANDARD_UNCONFIRMED")&gt;0,"EQUIPPED_STANDARD_UNCONFIRMED",IF(COUNTIFS('51_版本配置事实'!$B$6:$B$127,"PC-N70-BASE-CAND",'51_版本配置事实'!$C$6:$C$127,$A49,'51_版本配置事实'!$I$6:$I$127,"SERIES_CAPABILITY")&gt;0,"SERIES_CAPABILITY",IF(COUNTIFS('51_版本配置事实'!$B$6:$B$127,"PC-N70-BASE-CAND",'51_版本配置事实'!$C$6:$C$127,$A49,'51_版本配置事实'!$I$6:$I$127,"NOT_DISCLOSED")&gt;0,"NOT_DISCLOSED","NOT_DISCLOSED")))))))</x:f>
        <x:v>NOT_DISCLOSED</x:v>
      </x:c>
      <x:c r="D49" s="369" t="str">
        <x:f>IF(COUNTIFS('51_版本配置事实'!$B$6:$B$127,"PC-N70-BASE-CAND",'51_版本配置事实'!$C$6:$C$127,$A49,'51_版本配置事实'!$J$6:$J$127,"STANDARD_CURRENT")&gt;0,"STANDARD_CURRENT","NOT_EVIDENCED")</x:f>
        <x:v>NOT_EVIDENCED</x:v>
      </x:c>
      <x:c r="E49" s="369" t="str">
        <x:f>IF(COUNTIFS('51_版本配置事实'!$B$6:$B$127,"PC-N70-MAX-CAND",'51_版本配置事实'!$C$6:$C$127,$A49,'51_版本配置事实'!$T$6:$T$127,"&lt;&gt;NONE")&gt;0,"CONFLICTED",IF(COUNTIFS('51_版本配置事实'!$B$6:$B$127,"PC-N70-MAX-CAND",'51_版本配置事实'!$C$6:$C$127,$A49,'51_版本配置事实'!$I$6:$I$127,"STANDARD_AT_RELEASE")&gt;0,"STANDARD_AT_RELEASE",IF(COUNTIFS('51_版本配置事实'!$B$6:$B$127,"PC-N70-MAX-CAND",'51_版本配置事实'!$C$6:$C$127,$A49,'51_版本配置事实'!$I$6:$I$127,"OPTIONAL_AT_RELEASE")&gt;0,"OPTIONAL_AT_RELEASE",IF(COUNTIFS('51_版本配置事实'!$B$6:$B$127,"PC-N70-MAX-CAND",'51_版本配置事实'!$C$6:$C$127,$A49,'51_版本配置事实'!$I$6:$I$127,"SEPARATE_PURCHASE")&gt;0,"SEPARATE_PURCHASE",IF(COUNTIFS('51_版本配置事实'!$B$6:$B$127,"PC-N70-MAX-CAND",'51_版本配置事实'!$C$6:$C$127,$A49,'51_版本配置事实'!$I$6:$I$127,"EQUIPPED_STANDARD_UNCONFIRMED")&gt;0,"EQUIPPED_STANDARD_UNCONFIRMED",IF(COUNTIFS('51_版本配置事实'!$B$6:$B$127,"PC-N70-MAX-CAND",'51_版本配置事实'!$C$6:$C$127,$A49,'51_版本配置事实'!$I$6:$I$127,"SERIES_CAPABILITY")&gt;0,"SERIES_CAPABILITY",IF(COUNTIFS('51_版本配置事实'!$B$6:$B$127,"PC-N70-MAX-CAND",'51_版本配置事实'!$C$6:$C$127,$A49,'51_版本配置事实'!$I$6:$I$127,"NOT_DISCLOSED")&gt;0,"NOT_DISCLOSED","NOT_DISCLOSED")))))))</x:f>
        <x:v>NOT_DISCLOSED</x:v>
      </x:c>
      <x:c r="F49" s="369" t="str">
        <x:f>IF(COUNTIFS('51_版本配置事实'!$B$6:$B$127,"PC-N70-MAX-CAND",'51_版本配置事实'!$C$6:$C$127,$A49,'51_版本配置事实'!$J$6:$J$127,"STANDARD_CURRENT")&gt;0,"STANDARD_CURRENT","NOT_EVIDENCED")</x:f>
        <x:v>NOT_EVIDENCED</x:v>
      </x:c>
      <x:c r="G49" s="369" t="str">
        <x:f>IF(COUNTIFS('51_版本配置事实'!$B$6:$B$127,"PC-N90-MAX-CAND",'51_版本配置事实'!$C$6:$C$127,$A49,'51_版本配置事实'!$T$6:$T$127,"&lt;&gt;NONE")&gt;0,"CONFLICTED",IF(COUNTIFS('51_版本配置事实'!$B$6:$B$127,"PC-N90-MAX-CAND",'51_版本配置事实'!$C$6:$C$127,$A49,'51_版本配置事实'!$I$6:$I$127,"STANDARD_AT_RELEASE")&gt;0,"STANDARD_AT_RELEASE",IF(COUNTIFS('51_版本配置事实'!$B$6:$B$127,"PC-N90-MAX-CAND",'51_版本配置事实'!$C$6:$C$127,$A49,'51_版本配置事实'!$I$6:$I$127,"OPTIONAL_AT_RELEASE")&gt;0,"OPTIONAL_AT_RELEASE",IF(COUNTIFS('51_版本配置事实'!$B$6:$B$127,"PC-N90-MAX-CAND",'51_版本配置事实'!$C$6:$C$127,$A49,'51_版本配置事实'!$I$6:$I$127,"SEPARATE_PURCHASE")&gt;0,"SEPARATE_PURCHASE",IF(COUNTIFS('51_版本配置事实'!$B$6:$B$127,"PC-N90-MAX-CAND",'51_版本配置事实'!$C$6:$C$127,$A49,'51_版本配置事实'!$I$6:$I$127,"EQUIPPED_STANDARD_UNCONFIRMED")&gt;0,"EQUIPPED_STANDARD_UNCONFIRMED",IF(COUNTIFS('51_版本配置事实'!$B$6:$B$127,"PC-N90-MAX-CAND",'51_版本配置事实'!$C$6:$C$127,$A49,'51_版本配置事实'!$I$6:$I$127,"SERIES_CAPABILITY")&gt;0,"SERIES_CAPABILITY",IF(COUNTIFS('51_版本配置事实'!$B$6:$B$127,"PC-N90-MAX-CAND",'51_版本配置事实'!$C$6:$C$127,$A49,'51_版本配置事实'!$I$6:$I$127,"NOT_DISCLOSED")&gt;0,"NOT_DISCLOSED","NOT_DISCLOSED")))))))</x:f>
        <x:v>EQUIPPED_STANDARD_UNCONFIRMED</x:v>
      </x:c>
      <x:c r="H49" s="369" t="str">
        <x:f>IF(COUNTIFS('51_版本配置事实'!$B$6:$B$127,"PC-N90-MAX-CAND",'51_版本配置事实'!$C$6:$C$127,$A49,'51_版本配置事实'!$J$6:$J$127,"STANDARD_CURRENT")&gt;0,"STANDARD_CURRENT","NOT_EVIDENCED")</x:f>
        <x:v>NOT_EVIDENCED</x:v>
      </x:c>
      <x:c r="I49" s="369" t="str">
        <x:f>IF(COUNTIFS('51_版本配置事实'!$B$6:$B$127,"PC-N90-ROOF-CAND",'51_版本配置事实'!$C$6:$C$127,$A49,'51_版本配置事实'!$T$6:$T$127,"&lt;&gt;NONE")&gt;0,"CONFLICTED",IF(COUNTIFS('51_版本配置事实'!$B$6:$B$127,"PC-N90-ROOF-CAND",'51_版本配置事实'!$C$6:$C$127,$A49,'51_版本配置事实'!$I$6:$I$127,"STANDARD_AT_RELEASE")&gt;0,"STANDARD_AT_RELEASE",IF(COUNTIFS('51_版本配置事实'!$B$6:$B$127,"PC-N90-ROOF-CAND",'51_版本配置事实'!$C$6:$C$127,$A49,'51_版本配置事实'!$I$6:$I$127,"OPTIONAL_AT_RELEASE")&gt;0,"OPTIONAL_AT_RELEASE",IF(COUNTIFS('51_版本配置事实'!$B$6:$B$127,"PC-N90-ROOF-CAND",'51_版本配置事实'!$C$6:$C$127,$A49,'51_版本配置事实'!$I$6:$I$127,"SEPARATE_PURCHASE")&gt;0,"SEPARATE_PURCHASE",IF(COUNTIFS('51_版本配置事实'!$B$6:$B$127,"PC-N90-ROOF-CAND",'51_版本配置事实'!$C$6:$C$127,$A49,'51_版本配置事实'!$I$6:$I$127,"EQUIPPED_STANDARD_UNCONFIRMED")&gt;0,"EQUIPPED_STANDARD_UNCONFIRMED",IF(COUNTIFS('51_版本配置事实'!$B$6:$B$127,"PC-N90-ROOF-CAND",'51_版本配置事实'!$C$6:$C$127,$A49,'51_版本配置事实'!$I$6:$I$127,"SERIES_CAPABILITY")&gt;0,"SERIES_CAPABILITY",IF(COUNTIFS('51_版本配置事实'!$B$6:$B$127,"PC-N90-ROOF-CAND",'51_版本配置事实'!$C$6:$C$127,$A49,'51_版本配置事实'!$I$6:$I$127,"NOT_DISCLOSED")&gt;0,"NOT_DISCLOSED","NOT_DISCLOSED")))))))</x:f>
        <x:v>NOT_DISCLOSED</x:v>
      </x:c>
      <x:c r="J49" s="369" t="str">
        <x:f>IF(COUNTIFS('51_版本配置事实'!$B$6:$B$127,"PC-N90-ROOF-CAND",'51_版本配置事实'!$C$6:$C$127,$A49,'51_版本配置事实'!$J$6:$J$127,"STANDARD_CURRENT")&gt;0,"STANDARD_CURRENT","NOT_EVIDENCED")</x:f>
        <x:v>NOT_EVIDENCED</x:v>
      </x:c>
      <x:c r="K49" s="369" t="str">
        <x:f>IF(AND(E49=G49,E49&lt;&gt;"NOT_DISCLOSED",E49&lt;&gt;"CONFLICTED"),IF(COUNTIFS('50_发布会逐项主张'!$H$6:$H$137,$A49,'50_发布会逐项主张'!$O$6:$O$137,"ALL_PENGCHENG")&gt;0,"EXPLICIT_COMMON_ANNOUNCED_MAX","MATCHED_NOT_PROVED_COMMON"),"NOT_PROVED_COMMON")</x:f>
        <x:v>NOT_PROVED_COMMON</x:v>
      </x:c>
      <x:c r="L49" s="369" t="str">
        <x:f>IF(OR(C49="NOT_DISCLOSED",E49="NOT_DISCLOSED",C49="CONFLICTED",E49="CONFLICTED"),"UNRESOLVED",IF(C49=E49,"NO_CHANGE",IF(AND(C49="STANDARD_AT_RELEASE",E49="OPTIONAL_AT_RELEASE"),"STANDARD_TO_OPTIONAL",IF(AND(C49="OPTIONAL_AT_RELEASE",E49="STANDARD_AT_RELEASE"),"OPTIONAL_TO_STANDARD",IF(E49="STANDARD_AT_RELEASE","ADDED_STANDARD","REVIEW_CHANGE")))))</x:f>
        <x:v>UNRESOLVED</x:v>
      </x:c>
      <x:c r="M49" s="369" t="str">
        <x:f>IF(OR(E49="NOT_DISCLOSED",G49="NOT_DISCLOSED",E49="CONFLICTED",G49="CONFLICTED"),"UNRESOLVED",IF(E49=G49,"NO_CHANGE",IF(AND(E49="STANDARD_AT_RELEASE",G49="OPTIONAL_AT_RELEASE"),"STANDARD_TO_OPTIONAL",IF(AND(E49="OPTIONAL_AT_RELEASE",G49="STANDARD_AT_RELEASE"),"OPTIONAL_TO_STANDARD",IF(G49="STANDARD_AT_RELEASE","ADDED_STANDARD","REVIEW_CHANGE")))))</x:f>
        <x:v>UNRESOLVED</x:v>
      </x:c>
      <x:c r="N49" s="369" t="str">
        <x:f>IF(OR(G49="NOT_DISCLOSED",I49="NOT_DISCLOSED",G49="CONFLICTED",I49="CONFLICTED"),"UNRESOLVED",IF(G49=I49,"NO_CHANGE",IF(AND(G49="STANDARD_AT_RELEASE",I49="OPTIONAL_AT_RELEASE"),"STANDARD_TO_OPTIONAL",IF(AND(G49="OPTIONAL_AT_RELEASE",I49="STANDARD_AT_RELEASE"),"OPTIONAL_TO_STANDARD",IF(I49="STANDARD_AT_RELEASE","ADDED_STANDARD","REVIEW_CHANGE")))))</x:f>
        <x:v>UNRESOLVED</x:v>
      </x:c>
      <x:c r="O49" s="369" t="str">
        <x:v>CHASSIS_HARDWARE</x:v>
      </x:c>
      <x:c r="P49" s="369" t="str">
        <x:v>DC_CHASSIS_SUSPENSION</x:v>
      </x:c>
      <x:c r="Q49" s="369" t="n">
        <x:f>COUNTIF('50_发布会逐项主张'!$H$6:$H$137,A49)</x:f>
        <x:v>1</x:v>
      </x:c>
      <x:c r="R49" s="369" t="str">
        <x:f>IF(COUNTIFS('50_发布会逐项主张'!$H$6:$H$137,A49,'50_发布会逐项主张'!$X$6:$X$137,"&lt;&gt;NONE")&gt;0,"CONFLICTED","NONE")</x:f>
        <x:v>NONE</x:v>
      </x:c>
    </x:row>
    <x:row r="50" ht="48" customHeight="1">
      <x:c r="A50" s="19" t="str">
        <x:v>hyperos_cabin</x:v>
      </x:c>
      <x:c r="B50" s="19" t="str">
        <x:v>CABIN</x:v>
      </x:c>
      <x:c r="C50" s="19" t="str">
        <x:f>IF(COUNTIFS('51_版本配置事实'!$B$6:$B$127,"PC-N70-BASE-CAND",'51_版本配置事实'!$C$6:$C$127,$A50,'51_版本配置事实'!$T$6:$T$127,"&lt;&gt;NONE")&gt;0,"CONFLICTED",IF(COUNTIFS('51_版本配置事实'!$B$6:$B$127,"PC-N70-BASE-CAND",'51_版本配置事实'!$C$6:$C$127,$A50,'51_版本配置事实'!$I$6:$I$127,"STANDARD_AT_RELEASE")&gt;0,"STANDARD_AT_RELEASE",IF(COUNTIFS('51_版本配置事实'!$B$6:$B$127,"PC-N70-BASE-CAND",'51_版本配置事实'!$C$6:$C$127,$A50,'51_版本配置事实'!$I$6:$I$127,"OPTIONAL_AT_RELEASE")&gt;0,"OPTIONAL_AT_RELEASE",IF(COUNTIFS('51_版本配置事实'!$B$6:$B$127,"PC-N70-BASE-CAND",'51_版本配置事实'!$C$6:$C$127,$A50,'51_版本配置事实'!$I$6:$I$127,"SEPARATE_PURCHASE")&gt;0,"SEPARATE_PURCHASE",IF(COUNTIFS('51_版本配置事实'!$B$6:$B$127,"PC-N70-BASE-CAND",'51_版本配置事实'!$C$6:$C$127,$A50,'51_版本配置事实'!$I$6:$I$127,"EQUIPPED_STANDARD_UNCONFIRMED")&gt;0,"EQUIPPED_STANDARD_UNCONFIRMED",IF(COUNTIFS('51_版本配置事实'!$B$6:$B$127,"PC-N70-BASE-CAND",'51_版本配置事实'!$C$6:$C$127,$A50,'51_版本配置事实'!$I$6:$I$127,"SERIES_CAPABILITY")&gt;0,"SERIES_CAPABILITY",IF(COUNTIFS('51_版本配置事实'!$B$6:$B$127,"PC-N70-BASE-CAND",'51_版本配置事实'!$C$6:$C$127,$A50,'51_版本配置事实'!$I$6:$I$127,"NOT_DISCLOSED")&gt;0,"NOT_DISCLOSED","NOT_DISCLOSED")))))))</x:f>
        <x:v>NOT_DISCLOSED</x:v>
      </x:c>
      <x:c r="D50" s="19" t="str">
        <x:f>IF(COUNTIFS('51_版本配置事实'!$B$6:$B$127,"PC-N70-BASE-CAND",'51_版本配置事实'!$C$6:$C$127,$A50,'51_版本配置事实'!$J$6:$J$127,"STANDARD_CURRENT")&gt;0,"STANDARD_CURRENT","NOT_EVIDENCED")</x:f>
        <x:v>NOT_EVIDENCED</x:v>
      </x:c>
      <x:c r="E50" s="19" t="str">
        <x:f>IF(COUNTIFS('51_版本配置事实'!$B$6:$B$127,"PC-N70-MAX-CAND",'51_版本配置事实'!$C$6:$C$127,$A50,'51_版本配置事实'!$T$6:$T$127,"&lt;&gt;NONE")&gt;0,"CONFLICTED",IF(COUNTIFS('51_版本配置事实'!$B$6:$B$127,"PC-N70-MAX-CAND",'51_版本配置事实'!$C$6:$C$127,$A50,'51_版本配置事实'!$I$6:$I$127,"STANDARD_AT_RELEASE")&gt;0,"STANDARD_AT_RELEASE",IF(COUNTIFS('51_版本配置事实'!$B$6:$B$127,"PC-N70-MAX-CAND",'51_版本配置事实'!$C$6:$C$127,$A50,'51_版本配置事实'!$I$6:$I$127,"OPTIONAL_AT_RELEASE")&gt;0,"OPTIONAL_AT_RELEASE",IF(COUNTIFS('51_版本配置事实'!$B$6:$B$127,"PC-N70-MAX-CAND",'51_版本配置事实'!$C$6:$C$127,$A50,'51_版本配置事实'!$I$6:$I$127,"SEPARATE_PURCHASE")&gt;0,"SEPARATE_PURCHASE",IF(COUNTIFS('51_版本配置事实'!$B$6:$B$127,"PC-N70-MAX-CAND",'51_版本配置事实'!$C$6:$C$127,$A50,'51_版本配置事实'!$I$6:$I$127,"EQUIPPED_STANDARD_UNCONFIRMED")&gt;0,"EQUIPPED_STANDARD_UNCONFIRMED",IF(COUNTIFS('51_版本配置事实'!$B$6:$B$127,"PC-N70-MAX-CAND",'51_版本配置事实'!$C$6:$C$127,$A50,'51_版本配置事实'!$I$6:$I$127,"SERIES_CAPABILITY")&gt;0,"SERIES_CAPABILITY",IF(COUNTIFS('51_版本配置事实'!$B$6:$B$127,"PC-N70-MAX-CAND",'51_版本配置事实'!$C$6:$C$127,$A50,'51_版本配置事实'!$I$6:$I$127,"NOT_DISCLOSED")&gt;0,"NOT_DISCLOSED","NOT_DISCLOSED")))))))</x:f>
        <x:v>SERIES_CAPABILITY</x:v>
      </x:c>
      <x:c r="F50" s="19" t="str">
        <x:f>IF(COUNTIFS('51_版本配置事实'!$B$6:$B$127,"PC-N70-MAX-CAND",'51_版本配置事实'!$C$6:$C$127,$A50,'51_版本配置事实'!$J$6:$J$127,"STANDARD_CURRENT")&gt;0,"STANDARD_CURRENT","NOT_EVIDENCED")</x:f>
        <x:v>NOT_EVIDENCED</x:v>
      </x:c>
      <x:c r="G50" s="19" t="str">
        <x:f>IF(COUNTIFS('51_版本配置事实'!$B$6:$B$127,"PC-N90-MAX-CAND",'51_版本配置事实'!$C$6:$C$127,$A50,'51_版本配置事实'!$T$6:$T$127,"&lt;&gt;NONE")&gt;0,"CONFLICTED",IF(COUNTIFS('51_版本配置事实'!$B$6:$B$127,"PC-N90-MAX-CAND",'51_版本配置事实'!$C$6:$C$127,$A50,'51_版本配置事实'!$I$6:$I$127,"STANDARD_AT_RELEASE")&gt;0,"STANDARD_AT_RELEASE",IF(COUNTIFS('51_版本配置事实'!$B$6:$B$127,"PC-N90-MAX-CAND",'51_版本配置事实'!$C$6:$C$127,$A50,'51_版本配置事实'!$I$6:$I$127,"OPTIONAL_AT_RELEASE")&gt;0,"OPTIONAL_AT_RELEASE",IF(COUNTIFS('51_版本配置事实'!$B$6:$B$127,"PC-N90-MAX-CAND",'51_版本配置事实'!$C$6:$C$127,$A50,'51_版本配置事实'!$I$6:$I$127,"SEPARATE_PURCHASE")&gt;0,"SEPARATE_PURCHASE",IF(COUNTIFS('51_版本配置事实'!$B$6:$B$127,"PC-N90-MAX-CAND",'51_版本配置事实'!$C$6:$C$127,$A50,'51_版本配置事实'!$I$6:$I$127,"EQUIPPED_STANDARD_UNCONFIRMED")&gt;0,"EQUIPPED_STANDARD_UNCONFIRMED",IF(COUNTIFS('51_版本配置事实'!$B$6:$B$127,"PC-N90-MAX-CAND",'51_版本配置事实'!$C$6:$C$127,$A50,'51_版本配置事实'!$I$6:$I$127,"SERIES_CAPABILITY")&gt;0,"SERIES_CAPABILITY",IF(COUNTIFS('51_版本配置事实'!$B$6:$B$127,"PC-N90-MAX-CAND",'51_版本配置事实'!$C$6:$C$127,$A50,'51_版本配置事实'!$I$6:$I$127,"NOT_DISCLOSED")&gt;0,"NOT_DISCLOSED","NOT_DISCLOSED")))))))</x:f>
        <x:v>EQUIPPED_STANDARD_UNCONFIRMED</x:v>
      </x:c>
      <x:c r="H50" s="19" t="str">
        <x:f>IF(COUNTIFS('51_版本配置事实'!$B$6:$B$127,"PC-N90-MAX-CAND",'51_版本配置事实'!$C$6:$C$127,$A50,'51_版本配置事实'!$J$6:$J$127,"STANDARD_CURRENT")&gt;0,"STANDARD_CURRENT","NOT_EVIDENCED")</x:f>
        <x:v>NOT_EVIDENCED</x:v>
      </x:c>
      <x:c r="I50" s="19" t="str">
        <x:f>IF(COUNTIFS('51_版本配置事实'!$B$6:$B$127,"PC-N90-ROOF-CAND",'51_版本配置事实'!$C$6:$C$127,$A50,'51_版本配置事实'!$T$6:$T$127,"&lt;&gt;NONE")&gt;0,"CONFLICTED",IF(COUNTIFS('51_版本配置事实'!$B$6:$B$127,"PC-N90-ROOF-CAND",'51_版本配置事实'!$C$6:$C$127,$A50,'51_版本配置事实'!$I$6:$I$127,"STANDARD_AT_RELEASE")&gt;0,"STANDARD_AT_RELEASE",IF(COUNTIFS('51_版本配置事实'!$B$6:$B$127,"PC-N90-ROOF-CAND",'51_版本配置事实'!$C$6:$C$127,$A50,'51_版本配置事实'!$I$6:$I$127,"OPTIONAL_AT_RELEASE")&gt;0,"OPTIONAL_AT_RELEASE",IF(COUNTIFS('51_版本配置事实'!$B$6:$B$127,"PC-N90-ROOF-CAND",'51_版本配置事实'!$C$6:$C$127,$A50,'51_版本配置事实'!$I$6:$I$127,"SEPARATE_PURCHASE")&gt;0,"SEPARATE_PURCHASE",IF(COUNTIFS('51_版本配置事实'!$B$6:$B$127,"PC-N90-ROOF-CAND",'51_版本配置事实'!$C$6:$C$127,$A50,'51_版本配置事实'!$I$6:$I$127,"EQUIPPED_STANDARD_UNCONFIRMED")&gt;0,"EQUIPPED_STANDARD_UNCONFIRMED",IF(COUNTIFS('51_版本配置事实'!$B$6:$B$127,"PC-N90-ROOF-CAND",'51_版本配置事实'!$C$6:$C$127,$A50,'51_版本配置事实'!$I$6:$I$127,"SERIES_CAPABILITY")&gt;0,"SERIES_CAPABILITY",IF(COUNTIFS('51_版本配置事实'!$B$6:$B$127,"PC-N90-ROOF-CAND",'51_版本配置事实'!$C$6:$C$127,$A50,'51_版本配置事实'!$I$6:$I$127,"NOT_DISCLOSED")&gt;0,"NOT_DISCLOSED","NOT_DISCLOSED")))))))</x:f>
        <x:v>NOT_DISCLOSED</x:v>
      </x:c>
      <x:c r="J50" s="19" t="str">
        <x:f>IF(COUNTIFS('51_版本配置事实'!$B$6:$B$127,"PC-N90-ROOF-CAND",'51_版本配置事实'!$C$6:$C$127,$A50,'51_版本配置事实'!$J$6:$J$127,"STANDARD_CURRENT")&gt;0,"STANDARD_CURRENT","NOT_EVIDENCED")</x:f>
        <x:v>NOT_EVIDENCED</x:v>
      </x:c>
      <x:c r="K50" s="19" t="str">
        <x:f>IF(AND(E50=G50,E50&lt;&gt;"NOT_DISCLOSED",E50&lt;&gt;"CONFLICTED"),IF(COUNTIFS('50_发布会逐项主张'!$H$6:$H$137,$A50,'50_发布会逐项主张'!$O$6:$O$137,"ALL_PENGCHENG")&gt;0,"EXPLICIT_COMMON_ANNOUNCED_MAX","MATCHED_NOT_PROVED_COMMON"),"NOT_PROVED_COMMON")</x:f>
        <x:v>NOT_PROVED_COMMON</x:v>
      </x:c>
      <x:c r="L50" s="19" t="str">
        <x:f>IF(OR(C50="NOT_DISCLOSED",E50="NOT_DISCLOSED",C50="CONFLICTED",E50="CONFLICTED"),"UNRESOLVED",IF(C50=E50,"NO_CHANGE",IF(AND(C50="STANDARD_AT_RELEASE",E50="OPTIONAL_AT_RELEASE"),"STANDARD_TO_OPTIONAL",IF(AND(C50="OPTIONAL_AT_RELEASE",E50="STANDARD_AT_RELEASE"),"OPTIONAL_TO_STANDARD",IF(E50="STANDARD_AT_RELEASE","ADDED_STANDARD","REVIEW_CHANGE")))))</x:f>
        <x:v>UNRESOLVED</x:v>
      </x:c>
      <x:c r="M50" s="19" t="str">
        <x:f>IF(OR(E50="NOT_DISCLOSED",G50="NOT_DISCLOSED",E50="CONFLICTED",G50="CONFLICTED"),"UNRESOLVED",IF(E50=G50,"NO_CHANGE",IF(AND(E50="STANDARD_AT_RELEASE",G50="OPTIONAL_AT_RELEASE"),"STANDARD_TO_OPTIONAL",IF(AND(E50="OPTIONAL_AT_RELEASE",G50="STANDARD_AT_RELEASE"),"OPTIONAL_TO_STANDARD",IF(G50="STANDARD_AT_RELEASE","ADDED_STANDARD","REVIEW_CHANGE")))))</x:f>
        <x:v>REVIEW_CHANGE</x:v>
      </x:c>
      <x:c r="N50" s="19" t="str">
        <x:f>IF(OR(G50="NOT_DISCLOSED",I50="NOT_DISCLOSED",G50="CONFLICTED",I50="CONFLICTED"),"UNRESOLVED",IF(G50=I50,"NO_CHANGE",IF(AND(G50="STANDARD_AT_RELEASE",I50="OPTIONAL_AT_RELEASE"),"STANDARD_TO_OPTIONAL",IF(AND(G50="OPTIONAL_AT_RELEASE",I50="STANDARD_AT_RELEASE"),"OPTIONAL_TO_STANDARD",IF(I50="STANDARD_AT_RELEASE","ADDED_STANDARD","REVIEW_CHANGE")))))</x:f>
        <x:v>UNRESOLVED</x:v>
      </x:c>
      <x:c r="O50" s="19" t="str">
        <x:v>CABIN_COMFORT</x:v>
      </x:c>
      <x:c r="P50" s="19" t="str">
        <x:v>DC_EE_CABIN</x:v>
      </x:c>
      <x:c r="Q50" s="19" t="n">
        <x:f>COUNTIF('50_发布会逐项主张'!$H$6:$H$137,A50)</x:f>
        <x:v>2</x:v>
      </x:c>
      <x:c r="R50" s="19" t="str">
        <x:f>IF(COUNTIFS('50_发布会逐项主张'!$H$6:$H$137,A50,'50_发布会逐项主张'!$X$6:$X$137,"&lt;&gt;NONE")&gt;0,"CONFLICTED","NONE")</x:f>
        <x:v>NONE</x:v>
      </x:c>
    </x:row>
    <x:row r="51" ht="48" customHeight="1">
      <x:c r="A51" s="369" t="str">
        <x:v>integrated_door_ring</x:v>
      </x:c>
      <x:c r="B51" s="369" t="str">
        <x:v>BODY_SAFETY</x:v>
      </x:c>
      <x:c r="C51" s="369" t="str">
        <x:f>IF(COUNTIFS('51_版本配置事实'!$B$6:$B$127,"PC-N70-BASE-CAND",'51_版本配置事实'!$C$6:$C$127,$A51,'51_版本配置事实'!$T$6:$T$127,"&lt;&gt;NONE")&gt;0,"CONFLICTED",IF(COUNTIFS('51_版本配置事实'!$B$6:$B$127,"PC-N70-BASE-CAND",'51_版本配置事实'!$C$6:$C$127,$A51,'51_版本配置事实'!$I$6:$I$127,"STANDARD_AT_RELEASE")&gt;0,"STANDARD_AT_RELEASE",IF(COUNTIFS('51_版本配置事实'!$B$6:$B$127,"PC-N70-BASE-CAND",'51_版本配置事实'!$C$6:$C$127,$A51,'51_版本配置事实'!$I$6:$I$127,"OPTIONAL_AT_RELEASE")&gt;0,"OPTIONAL_AT_RELEASE",IF(COUNTIFS('51_版本配置事实'!$B$6:$B$127,"PC-N70-BASE-CAND",'51_版本配置事实'!$C$6:$C$127,$A51,'51_版本配置事实'!$I$6:$I$127,"SEPARATE_PURCHASE")&gt;0,"SEPARATE_PURCHASE",IF(COUNTIFS('51_版本配置事实'!$B$6:$B$127,"PC-N70-BASE-CAND",'51_版本配置事实'!$C$6:$C$127,$A51,'51_版本配置事实'!$I$6:$I$127,"EQUIPPED_STANDARD_UNCONFIRMED")&gt;0,"EQUIPPED_STANDARD_UNCONFIRMED",IF(COUNTIFS('51_版本配置事实'!$B$6:$B$127,"PC-N70-BASE-CAND",'51_版本配置事实'!$C$6:$C$127,$A51,'51_版本配置事实'!$I$6:$I$127,"SERIES_CAPABILITY")&gt;0,"SERIES_CAPABILITY",IF(COUNTIFS('51_版本配置事实'!$B$6:$B$127,"PC-N70-BASE-CAND",'51_版本配置事实'!$C$6:$C$127,$A51,'51_版本配置事实'!$I$6:$I$127,"NOT_DISCLOSED")&gt;0,"NOT_DISCLOSED","NOT_DISCLOSED")))))))</x:f>
        <x:v>NOT_DISCLOSED</x:v>
      </x:c>
      <x:c r="D51" s="369" t="str">
        <x:f>IF(COUNTIFS('51_版本配置事实'!$B$6:$B$127,"PC-N70-BASE-CAND",'51_版本配置事实'!$C$6:$C$127,$A51,'51_版本配置事实'!$J$6:$J$127,"STANDARD_CURRENT")&gt;0,"STANDARD_CURRENT","NOT_EVIDENCED")</x:f>
        <x:v>NOT_EVIDENCED</x:v>
      </x:c>
      <x:c r="E51" s="369" t="str">
        <x:f>IF(COUNTIFS('51_版本配置事实'!$B$6:$B$127,"PC-N70-MAX-CAND",'51_版本配置事实'!$C$6:$C$127,$A51,'51_版本配置事实'!$T$6:$T$127,"&lt;&gt;NONE")&gt;0,"CONFLICTED",IF(COUNTIFS('51_版本配置事实'!$B$6:$B$127,"PC-N70-MAX-CAND",'51_版本配置事实'!$C$6:$C$127,$A51,'51_版本配置事实'!$I$6:$I$127,"STANDARD_AT_RELEASE")&gt;0,"STANDARD_AT_RELEASE",IF(COUNTIFS('51_版本配置事实'!$B$6:$B$127,"PC-N70-MAX-CAND",'51_版本配置事实'!$C$6:$C$127,$A51,'51_版本配置事实'!$I$6:$I$127,"OPTIONAL_AT_RELEASE")&gt;0,"OPTIONAL_AT_RELEASE",IF(COUNTIFS('51_版本配置事实'!$B$6:$B$127,"PC-N70-MAX-CAND",'51_版本配置事实'!$C$6:$C$127,$A51,'51_版本配置事实'!$I$6:$I$127,"SEPARATE_PURCHASE")&gt;0,"SEPARATE_PURCHASE",IF(COUNTIFS('51_版本配置事实'!$B$6:$B$127,"PC-N70-MAX-CAND",'51_版本配置事实'!$C$6:$C$127,$A51,'51_版本配置事实'!$I$6:$I$127,"EQUIPPED_STANDARD_UNCONFIRMED")&gt;0,"EQUIPPED_STANDARD_UNCONFIRMED",IF(COUNTIFS('51_版本配置事实'!$B$6:$B$127,"PC-N70-MAX-CAND",'51_版本配置事实'!$C$6:$C$127,$A51,'51_版本配置事实'!$I$6:$I$127,"SERIES_CAPABILITY")&gt;0,"SERIES_CAPABILITY",IF(COUNTIFS('51_版本配置事实'!$B$6:$B$127,"PC-N70-MAX-CAND",'51_版本配置事实'!$C$6:$C$127,$A51,'51_版本配置事实'!$I$6:$I$127,"NOT_DISCLOSED")&gt;0,"NOT_DISCLOSED","NOT_DISCLOSED")))))))</x:f>
        <x:v>STANDARD_AT_RELEASE</x:v>
      </x:c>
      <x:c r="F51" s="369" t="str">
        <x:f>IF(COUNTIFS('51_版本配置事实'!$B$6:$B$127,"PC-N70-MAX-CAND",'51_版本配置事实'!$C$6:$C$127,$A51,'51_版本配置事实'!$J$6:$J$127,"STANDARD_CURRENT")&gt;0,"STANDARD_CURRENT","NOT_EVIDENCED")</x:f>
        <x:v>NOT_EVIDENCED</x:v>
      </x:c>
      <x:c r="G51" s="369" t="str">
        <x:f>IF(COUNTIFS('51_版本配置事实'!$B$6:$B$127,"PC-N90-MAX-CAND",'51_版本配置事实'!$C$6:$C$127,$A51,'51_版本配置事实'!$T$6:$T$127,"&lt;&gt;NONE")&gt;0,"CONFLICTED",IF(COUNTIFS('51_版本配置事实'!$B$6:$B$127,"PC-N90-MAX-CAND",'51_版本配置事实'!$C$6:$C$127,$A51,'51_版本配置事实'!$I$6:$I$127,"STANDARD_AT_RELEASE")&gt;0,"STANDARD_AT_RELEASE",IF(COUNTIFS('51_版本配置事实'!$B$6:$B$127,"PC-N90-MAX-CAND",'51_版本配置事实'!$C$6:$C$127,$A51,'51_版本配置事实'!$I$6:$I$127,"OPTIONAL_AT_RELEASE")&gt;0,"OPTIONAL_AT_RELEASE",IF(COUNTIFS('51_版本配置事实'!$B$6:$B$127,"PC-N90-MAX-CAND",'51_版本配置事实'!$C$6:$C$127,$A51,'51_版本配置事实'!$I$6:$I$127,"SEPARATE_PURCHASE")&gt;0,"SEPARATE_PURCHASE",IF(COUNTIFS('51_版本配置事实'!$B$6:$B$127,"PC-N90-MAX-CAND",'51_版本配置事实'!$C$6:$C$127,$A51,'51_版本配置事实'!$I$6:$I$127,"EQUIPPED_STANDARD_UNCONFIRMED")&gt;0,"EQUIPPED_STANDARD_UNCONFIRMED",IF(COUNTIFS('51_版本配置事实'!$B$6:$B$127,"PC-N90-MAX-CAND",'51_版本配置事实'!$C$6:$C$127,$A51,'51_版本配置事实'!$I$6:$I$127,"SERIES_CAPABILITY")&gt;0,"SERIES_CAPABILITY",IF(COUNTIFS('51_版本配置事实'!$B$6:$B$127,"PC-N90-MAX-CAND",'51_版本配置事实'!$C$6:$C$127,$A51,'51_版本配置事实'!$I$6:$I$127,"NOT_DISCLOSED")&gt;0,"NOT_DISCLOSED","NOT_DISCLOSED")))))))</x:f>
        <x:v>EQUIPPED_STANDARD_UNCONFIRMED</x:v>
      </x:c>
      <x:c r="H51" s="369" t="str">
        <x:f>IF(COUNTIFS('51_版本配置事实'!$B$6:$B$127,"PC-N90-MAX-CAND",'51_版本配置事实'!$C$6:$C$127,$A51,'51_版本配置事实'!$J$6:$J$127,"STANDARD_CURRENT")&gt;0,"STANDARD_CURRENT","NOT_EVIDENCED")</x:f>
        <x:v>NOT_EVIDENCED</x:v>
      </x:c>
      <x:c r="I51" s="369" t="str">
        <x:f>IF(COUNTIFS('51_版本配置事实'!$B$6:$B$127,"PC-N90-ROOF-CAND",'51_版本配置事实'!$C$6:$C$127,$A51,'51_版本配置事实'!$T$6:$T$127,"&lt;&gt;NONE")&gt;0,"CONFLICTED",IF(COUNTIFS('51_版本配置事实'!$B$6:$B$127,"PC-N90-ROOF-CAND",'51_版本配置事实'!$C$6:$C$127,$A51,'51_版本配置事实'!$I$6:$I$127,"STANDARD_AT_RELEASE")&gt;0,"STANDARD_AT_RELEASE",IF(COUNTIFS('51_版本配置事实'!$B$6:$B$127,"PC-N90-ROOF-CAND",'51_版本配置事实'!$C$6:$C$127,$A51,'51_版本配置事实'!$I$6:$I$127,"OPTIONAL_AT_RELEASE")&gt;0,"OPTIONAL_AT_RELEASE",IF(COUNTIFS('51_版本配置事实'!$B$6:$B$127,"PC-N90-ROOF-CAND",'51_版本配置事实'!$C$6:$C$127,$A51,'51_版本配置事实'!$I$6:$I$127,"SEPARATE_PURCHASE")&gt;0,"SEPARATE_PURCHASE",IF(COUNTIFS('51_版本配置事实'!$B$6:$B$127,"PC-N90-ROOF-CAND",'51_版本配置事实'!$C$6:$C$127,$A51,'51_版本配置事实'!$I$6:$I$127,"EQUIPPED_STANDARD_UNCONFIRMED")&gt;0,"EQUIPPED_STANDARD_UNCONFIRMED",IF(COUNTIFS('51_版本配置事实'!$B$6:$B$127,"PC-N90-ROOF-CAND",'51_版本配置事实'!$C$6:$C$127,$A51,'51_版本配置事实'!$I$6:$I$127,"SERIES_CAPABILITY")&gt;0,"SERIES_CAPABILITY",IF(COUNTIFS('51_版本配置事实'!$B$6:$B$127,"PC-N90-ROOF-CAND",'51_版本配置事实'!$C$6:$C$127,$A51,'51_版本配置事实'!$I$6:$I$127,"NOT_DISCLOSED")&gt;0,"NOT_DISCLOSED","NOT_DISCLOSED")))))))</x:f>
        <x:v>NOT_DISCLOSED</x:v>
      </x:c>
      <x:c r="J51" s="369" t="str">
        <x:f>IF(COUNTIFS('51_版本配置事实'!$B$6:$B$127,"PC-N90-ROOF-CAND",'51_版本配置事实'!$C$6:$C$127,$A51,'51_版本配置事实'!$J$6:$J$127,"STANDARD_CURRENT")&gt;0,"STANDARD_CURRENT","NOT_EVIDENCED")</x:f>
        <x:v>NOT_EVIDENCED</x:v>
      </x:c>
      <x:c r="K51" s="369" t="str">
        <x:f>IF(AND(E51=G51,E51&lt;&gt;"NOT_DISCLOSED",E51&lt;&gt;"CONFLICTED"),IF(COUNTIFS('50_发布会逐项主张'!$H$6:$H$137,$A51,'50_发布会逐项主张'!$O$6:$O$137,"ALL_PENGCHENG")&gt;0,"EXPLICIT_COMMON_ANNOUNCED_MAX","MATCHED_NOT_PROVED_COMMON"),"NOT_PROVED_COMMON")</x:f>
        <x:v>NOT_PROVED_COMMON</x:v>
      </x:c>
      <x:c r="L51" s="369" t="str">
        <x:f>IF(OR(C51="NOT_DISCLOSED",E51="NOT_DISCLOSED",C51="CONFLICTED",E51="CONFLICTED"),"UNRESOLVED",IF(C51=E51,"NO_CHANGE",IF(AND(C51="STANDARD_AT_RELEASE",E51="OPTIONAL_AT_RELEASE"),"STANDARD_TO_OPTIONAL",IF(AND(C51="OPTIONAL_AT_RELEASE",E51="STANDARD_AT_RELEASE"),"OPTIONAL_TO_STANDARD",IF(E51="STANDARD_AT_RELEASE","ADDED_STANDARD","REVIEW_CHANGE")))))</x:f>
        <x:v>UNRESOLVED</x:v>
      </x:c>
      <x:c r="M51" s="369" t="str">
        <x:f>IF(OR(E51="NOT_DISCLOSED",G51="NOT_DISCLOSED",E51="CONFLICTED",G51="CONFLICTED"),"UNRESOLVED",IF(E51=G51,"NO_CHANGE",IF(AND(E51="STANDARD_AT_RELEASE",G51="OPTIONAL_AT_RELEASE"),"STANDARD_TO_OPTIONAL",IF(AND(E51="OPTIONAL_AT_RELEASE",G51="STANDARD_AT_RELEASE"),"OPTIONAL_TO_STANDARD",IF(G51="STANDARD_AT_RELEASE","ADDED_STANDARD","REVIEW_CHANGE")))))</x:f>
        <x:v>REVIEW_CHANGE</x:v>
      </x:c>
      <x:c r="N51" s="369" t="str">
        <x:f>IF(OR(G51="NOT_DISCLOSED",I51="NOT_DISCLOSED",G51="CONFLICTED",I51="CONFLICTED"),"UNRESOLVED",IF(G51=I51,"NO_CHANGE",IF(AND(G51="STANDARD_AT_RELEASE",I51="OPTIONAL_AT_RELEASE"),"STANDARD_TO_OPTIONAL",IF(AND(G51="OPTIONAL_AT_RELEASE",I51="STANDARD_AT_RELEASE"),"OPTIONAL_TO_STANDARD",IF(I51="STANDARD_AT_RELEASE","ADDED_STANDARD","REVIEW_CHANGE")))))</x:f>
        <x:v>UNRESOLVED</x:v>
      </x:c>
      <x:c r="O51" s="369" t="str">
        <x:v>BODY_SPACE_SAFETY</x:v>
      </x:c>
      <x:c r="P51" s="369" t="str">
        <x:v>DC_BODY_SAFETY_integrated_door_ring</x:v>
      </x:c>
      <x:c r="Q51" s="369" t="n">
        <x:f>COUNTIF('50_发布会逐项主张'!$H$6:$H$137,A51)</x:f>
        <x:v>2</x:v>
      </x:c>
      <x:c r="R51" s="369" t="str">
        <x:f>IF(COUNTIFS('50_发布会逐项主张'!$H$6:$H$137,A51,'50_发布会逐项主张'!$X$6:$X$137,"&lt;&gt;NONE")&gt;0,"CONFLICTED","NONE")</x:f>
        <x:v>NONE</x:v>
      </x:c>
    </x:row>
    <x:row r="52" ht="48" customHeight="1">
      <x:c r="A52" s="19" t="str">
        <x:v>mattress</x:v>
      </x:c>
      <x:c r="B52" s="19" t="str">
        <x:v>ACCESSORY</x:v>
      </x:c>
      <x:c r="C52" s="19" t="str">
        <x:f>IF(COUNTIFS('51_版本配置事实'!$B$6:$B$127,"PC-N70-BASE-CAND",'51_版本配置事实'!$C$6:$C$127,$A52,'51_版本配置事实'!$T$6:$T$127,"&lt;&gt;NONE")&gt;0,"CONFLICTED",IF(COUNTIFS('51_版本配置事实'!$B$6:$B$127,"PC-N70-BASE-CAND",'51_版本配置事实'!$C$6:$C$127,$A52,'51_版本配置事实'!$I$6:$I$127,"STANDARD_AT_RELEASE")&gt;0,"STANDARD_AT_RELEASE",IF(COUNTIFS('51_版本配置事实'!$B$6:$B$127,"PC-N70-BASE-CAND",'51_版本配置事实'!$C$6:$C$127,$A52,'51_版本配置事实'!$I$6:$I$127,"OPTIONAL_AT_RELEASE")&gt;0,"OPTIONAL_AT_RELEASE",IF(COUNTIFS('51_版本配置事实'!$B$6:$B$127,"PC-N70-BASE-CAND",'51_版本配置事实'!$C$6:$C$127,$A52,'51_版本配置事实'!$I$6:$I$127,"SEPARATE_PURCHASE")&gt;0,"SEPARATE_PURCHASE",IF(COUNTIFS('51_版本配置事实'!$B$6:$B$127,"PC-N70-BASE-CAND",'51_版本配置事实'!$C$6:$C$127,$A52,'51_版本配置事实'!$I$6:$I$127,"EQUIPPED_STANDARD_UNCONFIRMED")&gt;0,"EQUIPPED_STANDARD_UNCONFIRMED",IF(COUNTIFS('51_版本配置事实'!$B$6:$B$127,"PC-N70-BASE-CAND",'51_版本配置事实'!$C$6:$C$127,$A52,'51_版本配置事实'!$I$6:$I$127,"SERIES_CAPABILITY")&gt;0,"SERIES_CAPABILITY",IF(COUNTIFS('51_版本配置事实'!$B$6:$B$127,"PC-N70-BASE-CAND",'51_版本配置事实'!$C$6:$C$127,$A52,'51_版本配置事实'!$I$6:$I$127,"NOT_DISCLOSED")&gt;0,"NOT_DISCLOSED","NOT_DISCLOSED")))))))</x:f>
        <x:v>NOT_DISCLOSED</x:v>
      </x:c>
      <x:c r="D52" s="19" t="str">
        <x:f>IF(COUNTIFS('51_版本配置事实'!$B$6:$B$127,"PC-N70-BASE-CAND",'51_版本配置事实'!$C$6:$C$127,$A52,'51_版本配置事实'!$J$6:$J$127,"STANDARD_CURRENT")&gt;0,"STANDARD_CURRENT","NOT_EVIDENCED")</x:f>
        <x:v>NOT_EVIDENCED</x:v>
      </x:c>
      <x:c r="E52" s="19" t="str">
        <x:f>IF(COUNTIFS('51_版本配置事实'!$B$6:$B$127,"PC-N70-MAX-CAND",'51_版本配置事实'!$C$6:$C$127,$A52,'51_版本配置事实'!$T$6:$T$127,"&lt;&gt;NONE")&gt;0,"CONFLICTED",IF(COUNTIFS('51_版本配置事实'!$B$6:$B$127,"PC-N70-MAX-CAND",'51_版本配置事实'!$C$6:$C$127,$A52,'51_版本配置事实'!$I$6:$I$127,"STANDARD_AT_RELEASE")&gt;0,"STANDARD_AT_RELEASE",IF(COUNTIFS('51_版本配置事实'!$B$6:$B$127,"PC-N70-MAX-CAND",'51_版本配置事实'!$C$6:$C$127,$A52,'51_版本配置事实'!$I$6:$I$127,"OPTIONAL_AT_RELEASE")&gt;0,"OPTIONAL_AT_RELEASE",IF(COUNTIFS('51_版本配置事实'!$B$6:$B$127,"PC-N70-MAX-CAND",'51_版本配置事实'!$C$6:$C$127,$A52,'51_版本配置事实'!$I$6:$I$127,"SEPARATE_PURCHASE")&gt;0,"SEPARATE_PURCHASE",IF(COUNTIFS('51_版本配置事实'!$B$6:$B$127,"PC-N70-MAX-CAND",'51_版本配置事实'!$C$6:$C$127,$A52,'51_版本配置事实'!$I$6:$I$127,"EQUIPPED_STANDARD_UNCONFIRMED")&gt;0,"EQUIPPED_STANDARD_UNCONFIRMED",IF(COUNTIFS('51_版本配置事实'!$B$6:$B$127,"PC-N70-MAX-CAND",'51_版本配置事实'!$C$6:$C$127,$A52,'51_版本配置事实'!$I$6:$I$127,"SERIES_CAPABILITY")&gt;0,"SERIES_CAPABILITY",IF(COUNTIFS('51_版本配置事实'!$B$6:$B$127,"PC-N70-MAX-CAND",'51_版本配置事实'!$C$6:$C$127,$A52,'51_版本配置事实'!$I$6:$I$127,"NOT_DISCLOSED")&gt;0,"NOT_DISCLOSED","NOT_DISCLOSED")))))))</x:f>
        <x:v>NOT_DISCLOSED</x:v>
      </x:c>
      <x:c r="F52" s="19" t="str">
        <x:f>IF(COUNTIFS('51_版本配置事实'!$B$6:$B$127,"PC-N70-MAX-CAND",'51_版本配置事实'!$C$6:$C$127,$A52,'51_版本配置事实'!$J$6:$J$127,"STANDARD_CURRENT")&gt;0,"STANDARD_CURRENT","NOT_EVIDENCED")</x:f>
        <x:v>NOT_EVIDENCED</x:v>
      </x:c>
      <x:c r="G52" s="19" t="str">
        <x:f>IF(COUNTIFS('51_版本配置事实'!$B$6:$B$127,"PC-N90-MAX-CAND",'51_版本配置事实'!$C$6:$C$127,$A52,'51_版本配置事实'!$T$6:$T$127,"&lt;&gt;NONE")&gt;0,"CONFLICTED",IF(COUNTIFS('51_版本配置事实'!$B$6:$B$127,"PC-N90-MAX-CAND",'51_版本配置事实'!$C$6:$C$127,$A52,'51_版本配置事实'!$I$6:$I$127,"STANDARD_AT_RELEASE")&gt;0,"STANDARD_AT_RELEASE",IF(COUNTIFS('51_版本配置事实'!$B$6:$B$127,"PC-N90-MAX-CAND",'51_版本配置事实'!$C$6:$C$127,$A52,'51_版本配置事实'!$I$6:$I$127,"OPTIONAL_AT_RELEASE")&gt;0,"OPTIONAL_AT_RELEASE",IF(COUNTIFS('51_版本配置事实'!$B$6:$B$127,"PC-N90-MAX-CAND",'51_版本配置事实'!$C$6:$C$127,$A52,'51_版本配置事实'!$I$6:$I$127,"SEPARATE_PURCHASE")&gt;0,"SEPARATE_PURCHASE",IF(COUNTIFS('51_版本配置事实'!$B$6:$B$127,"PC-N90-MAX-CAND",'51_版本配置事实'!$C$6:$C$127,$A52,'51_版本配置事实'!$I$6:$I$127,"EQUIPPED_STANDARD_UNCONFIRMED")&gt;0,"EQUIPPED_STANDARD_UNCONFIRMED",IF(COUNTIFS('51_版本配置事实'!$B$6:$B$127,"PC-N90-MAX-CAND",'51_版本配置事实'!$C$6:$C$127,$A52,'51_版本配置事实'!$I$6:$I$127,"SERIES_CAPABILITY")&gt;0,"SERIES_CAPABILITY",IF(COUNTIFS('51_版本配置事实'!$B$6:$B$127,"PC-N90-MAX-CAND",'51_版本配置事实'!$C$6:$C$127,$A52,'51_版本配置事实'!$I$6:$I$127,"NOT_DISCLOSED")&gt;0,"NOT_DISCLOSED","NOT_DISCLOSED")))))))</x:f>
        <x:v>SEPARATE_PURCHASE</x:v>
      </x:c>
      <x:c r="H52" s="19" t="str">
        <x:f>IF(COUNTIFS('51_版本配置事实'!$B$6:$B$127,"PC-N90-MAX-CAND",'51_版本配置事实'!$C$6:$C$127,$A52,'51_版本配置事实'!$J$6:$J$127,"STANDARD_CURRENT")&gt;0,"STANDARD_CURRENT","NOT_EVIDENCED")</x:f>
        <x:v>NOT_EVIDENCED</x:v>
      </x:c>
      <x:c r="I52" s="19" t="str">
        <x:f>IF(COUNTIFS('51_版本配置事实'!$B$6:$B$127,"PC-N90-ROOF-CAND",'51_版本配置事实'!$C$6:$C$127,$A52,'51_版本配置事实'!$T$6:$T$127,"&lt;&gt;NONE")&gt;0,"CONFLICTED",IF(COUNTIFS('51_版本配置事实'!$B$6:$B$127,"PC-N90-ROOF-CAND",'51_版本配置事实'!$C$6:$C$127,$A52,'51_版本配置事实'!$I$6:$I$127,"STANDARD_AT_RELEASE")&gt;0,"STANDARD_AT_RELEASE",IF(COUNTIFS('51_版本配置事实'!$B$6:$B$127,"PC-N90-ROOF-CAND",'51_版本配置事实'!$C$6:$C$127,$A52,'51_版本配置事实'!$I$6:$I$127,"OPTIONAL_AT_RELEASE")&gt;0,"OPTIONAL_AT_RELEASE",IF(COUNTIFS('51_版本配置事实'!$B$6:$B$127,"PC-N90-ROOF-CAND",'51_版本配置事实'!$C$6:$C$127,$A52,'51_版本配置事实'!$I$6:$I$127,"SEPARATE_PURCHASE")&gt;0,"SEPARATE_PURCHASE",IF(COUNTIFS('51_版本配置事实'!$B$6:$B$127,"PC-N90-ROOF-CAND",'51_版本配置事实'!$C$6:$C$127,$A52,'51_版本配置事实'!$I$6:$I$127,"EQUIPPED_STANDARD_UNCONFIRMED")&gt;0,"EQUIPPED_STANDARD_UNCONFIRMED",IF(COUNTIFS('51_版本配置事实'!$B$6:$B$127,"PC-N90-ROOF-CAND",'51_版本配置事实'!$C$6:$C$127,$A52,'51_版本配置事实'!$I$6:$I$127,"SERIES_CAPABILITY")&gt;0,"SERIES_CAPABILITY",IF(COUNTIFS('51_版本配置事实'!$B$6:$B$127,"PC-N90-ROOF-CAND",'51_版本配置事实'!$C$6:$C$127,$A52,'51_版本配置事实'!$I$6:$I$127,"NOT_DISCLOSED")&gt;0,"NOT_DISCLOSED","NOT_DISCLOSED")))))))</x:f>
        <x:v>NOT_DISCLOSED</x:v>
      </x:c>
      <x:c r="J52" s="19" t="str">
        <x:f>IF(COUNTIFS('51_版本配置事实'!$B$6:$B$127,"PC-N90-ROOF-CAND",'51_版本配置事实'!$C$6:$C$127,$A52,'51_版本配置事实'!$J$6:$J$127,"STANDARD_CURRENT")&gt;0,"STANDARD_CURRENT","NOT_EVIDENCED")</x:f>
        <x:v>NOT_EVIDENCED</x:v>
      </x:c>
      <x:c r="K52" s="19" t="str">
        <x:f>IF(AND(E52=G52,E52&lt;&gt;"NOT_DISCLOSED",E52&lt;&gt;"CONFLICTED"),IF(COUNTIFS('50_发布会逐项主张'!$H$6:$H$137,$A52,'50_发布会逐项主张'!$O$6:$O$137,"ALL_PENGCHENG")&gt;0,"EXPLICIT_COMMON_ANNOUNCED_MAX","MATCHED_NOT_PROVED_COMMON"),"NOT_PROVED_COMMON")</x:f>
        <x:v>NOT_PROVED_COMMON</x:v>
      </x:c>
      <x:c r="L52" s="19" t="str">
        <x:f>IF(OR(C52="NOT_DISCLOSED",E52="NOT_DISCLOSED",C52="CONFLICTED",E52="CONFLICTED"),"UNRESOLVED",IF(C52=E52,"NO_CHANGE",IF(AND(C52="STANDARD_AT_RELEASE",E52="OPTIONAL_AT_RELEASE"),"STANDARD_TO_OPTIONAL",IF(AND(C52="OPTIONAL_AT_RELEASE",E52="STANDARD_AT_RELEASE"),"OPTIONAL_TO_STANDARD",IF(E52="STANDARD_AT_RELEASE","ADDED_STANDARD","REVIEW_CHANGE")))))</x:f>
        <x:v>UNRESOLVED</x:v>
      </x:c>
      <x:c r="M52" s="19" t="str">
        <x:f>IF(OR(E52="NOT_DISCLOSED",G52="NOT_DISCLOSED",E52="CONFLICTED",G52="CONFLICTED"),"UNRESOLVED",IF(E52=G52,"NO_CHANGE",IF(AND(E52="STANDARD_AT_RELEASE",G52="OPTIONAL_AT_RELEASE"),"STANDARD_TO_OPTIONAL",IF(AND(E52="OPTIONAL_AT_RELEASE",G52="STANDARD_AT_RELEASE"),"OPTIONAL_TO_STANDARD",IF(G52="STANDARD_AT_RELEASE","ADDED_STANDARD","REVIEW_CHANGE")))))</x:f>
        <x:v>UNRESOLVED</x:v>
      </x:c>
      <x:c r="N52" s="19" t="str">
        <x:f>IF(OR(G52="NOT_DISCLOSED",I52="NOT_DISCLOSED",G52="CONFLICTED",I52="CONFLICTED"),"UNRESOLVED",IF(G52=I52,"NO_CHANGE",IF(AND(G52="STANDARD_AT_RELEASE",I52="OPTIONAL_AT_RELEASE"),"STANDARD_TO_OPTIONAL",IF(AND(G52="OPTIONAL_AT_RELEASE",I52="STANDARD_AT_RELEASE"),"OPTIONAL_TO_STANDARD",IF(I52="STANDARD_AT_RELEASE","ADDED_STANDARD","REVIEW_CHANGE")))))</x:f>
        <x:v>UNRESOLVED</x:v>
      </x:c>
      <x:c r="O52" s="19" t="str">
        <x:v>OPTIONS_ACCESSORIES</x:v>
      </x:c>
      <x:c r="P52" s="19" t="str">
        <x:v>DC_ACCESSORY_mattress</x:v>
      </x:c>
      <x:c r="Q52" s="19" t="n">
        <x:f>COUNTIF('50_发布会逐项主张'!$H$6:$H$137,A52)</x:f>
        <x:v>1</x:v>
      </x:c>
      <x:c r="R52" s="19" t="str">
        <x:f>IF(COUNTIFS('50_发布会逐项主张'!$H$6:$H$137,A52,'50_发布会逐项主张'!$X$6:$X$137,"&lt;&gt;NONE")&gt;0,"CONFLICTED","NONE")</x:f>
        <x:v>NONE</x:v>
      </x:c>
    </x:row>
    <x:row r="53" ht="48" customHeight="1">
      <x:c r="A53" s="369" t="str">
        <x:v>max_wading_depth</x:v>
      </x:c>
      <x:c r="B53" s="369" t="str">
        <x:v>SAFETY</x:v>
      </x:c>
      <x:c r="C53" s="369" t="str">
        <x:f>IF(COUNTIFS('51_版本配置事实'!$B$6:$B$127,"PC-N70-BASE-CAND",'51_版本配置事实'!$C$6:$C$127,$A53,'51_版本配置事实'!$T$6:$T$127,"&lt;&gt;NONE")&gt;0,"CONFLICTED",IF(COUNTIFS('51_版本配置事实'!$B$6:$B$127,"PC-N70-BASE-CAND",'51_版本配置事实'!$C$6:$C$127,$A53,'51_版本配置事实'!$I$6:$I$127,"STANDARD_AT_RELEASE")&gt;0,"STANDARD_AT_RELEASE",IF(COUNTIFS('51_版本配置事实'!$B$6:$B$127,"PC-N70-BASE-CAND",'51_版本配置事实'!$C$6:$C$127,$A53,'51_版本配置事实'!$I$6:$I$127,"OPTIONAL_AT_RELEASE")&gt;0,"OPTIONAL_AT_RELEASE",IF(COUNTIFS('51_版本配置事实'!$B$6:$B$127,"PC-N70-BASE-CAND",'51_版本配置事实'!$C$6:$C$127,$A53,'51_版本配置事实'!$I$6:$I$127,"SEPARATE_PURCHASE")&gt;0,"SEPARATE_PURCHASE",IF(COUNTIFS('51_版本配置事实'!$B$6:$B$127,"PC-N70-BASE-CAND",'51_版本配置事实'!$C$6:$C$127,$A53,'51_版本配置事实'!$I$6:$I$127,"EQUIPPED_STANDARD_UNCONFIRMED")&gt;0,"EQUIPPED_STANDARD_UNCONFIRMED",IF(COUNTIFS('51_版本配置事实'!$B$6:$B$127,"PC-N70-BASE-CAND",'51_版本配置事实'!$C$6:$C$127,$A53,'51_版本配置事实'!$I$6:$I$127,"SERIES_CAPABILITY")&gt;0,"SERIES_CAPABILITY",IF(COUNTIFS('51_版本配置事实'!$B$6:$B$127,"PC-N70-BASE-CAND",'51_版本配置事实'!$C$6:$C$127,$A53,'51_版本配置事实'!$I$6:$I$127,"NOT_DISCLOSED")&gt;0,"NOT_DISCLOSED","NOT_DISCLOSED")))))))</x:f>
        <x:v>NOT_DISCLOSED</x:v>
      </x:c>
      <x:c r="D53" s="369" t="str">
        <x:f>IF(COUNTIFS('51_版本配置事实'!$B$6:$B$127,"PC-N70-BASE-CAND",'51_版本配置事实'!$C$6:$C$127,$A53,'51_版本配置事实'!$J$6:$J$127,"STANDARD_CURRENT")&gt;0,"STANDARD_CURRENT","NOT_EVIDENCED")</x:f>
        <x:v>NOT_EVIDENCED</x:v>
      </x:c>
      <x:c r="E53" s="369" t="str">
        <x:f>IF(COUNTIFS('51_版本配置事实'!$B$6:$B$127,"PC-N70-MAX-CAND",'51_版本配置事实'!$C$6:$C$127,$A53,'51_版本配置事实'!$T$6:$T$127,"&lt;&gt;NONE")&gt;0,"CONFLICTED",IF(COUNTIFS('51_版本配置事实'!$B$6:$B$127,"PC-N70-MAX-CAND",'51_版本配置事实'!$C$6:$C$127,$A53,'51_版本配置事实'!$I$6:$I$127,"STANDARD_AT_RELEASE")&gt;0,"STANDARD_AT_RELEASE",IF(COUNTIFS('51_版本配置事实'!$B$6:$B$127,"PC-N70-MAX-CAND",'51_版本配置事实'!$C$6:$C$127,$A53,'51_版本配置事实'!$I$6:$I$127,"OPTIONAL_AT_RELEASE")&gt;0,"OPTIONAL_AT_RELEASE",IF(COUNTIFS('51_版本配置事实'!$B$6:$B$127,"PC-N70-MAX-CAND",'51_版本配置事实'!$C$6:$C$127,$A53,'51_版本配置事实'!$I$6:$I$127,"SEPARATE_PURCHASE")&gt;0,"SEPARATE_PURCHASE",IF(COUNTIFS('51_版本配置事实'!$B$6:$B$127,"PC-N70-MAX-CAND",'51_版本配置事实'!$C$6:$C$127,$A53,'51_版本配置事实'!$I$6:$I$127,"EQUIPPED_STANDARD_UNCONFIRMED")&gt;0,"EQUIPPED_STANDARD_UNCONFIRMED",IF(COUNTIFS('51_版本配置事实'!$B$6:$B$127,"PC-N70-MAX-CAND",'51_版本配置事实'!$C$6:$C$127,$A53,'51_版本配置事实'!$I$6:$I$127,"SERIES_CAPABILITY")&gt;0,"SERIES_CAPABILITY",IF(COUNTIFS('51_版本配置事实'!$B$6:$B$127,"PC-N70-MAX-CAND",'51_版本配置事实'!$C$6:$C$127,$A53,'51_版本配置事实'!$I$6:$I$127,"NOT_DISCLOSED")&gt;0,"NOT_DISCLOSED","NOT_DISCLOSED")))))))</x:f>
        <x:v>EQUIPPED_STANDARD_UNCONFIRMED</x:v>
      </x:c>
      <x:c r="F53" s="369" t="str">
        <x:f>IF(COUNTIFS('51_版本配置事实'!$B$6:$B$127,"PC-N70-MAX-CAND",'51_版本配置事实'!$C$6:$C$127,$A53,'51_版本配置事实'!$J$6:$J$127,"STANDARD_CURRENT")&gt;0,"STANDARD_CURRENT","NOT_EVIDENCED")</x:f>
        <x:v>NOT_EVIDENCED</x:v>
      </x:c>
      <x:c r="G53" s="369" t="str">
        <x:f>IF(COUNTIFS('51_版本配置事实'!$B$6:$B$127,"PC-N90-MAX-CAND",'51_版本配置事实'!$C$6:$C$127,$A53,'51_版本配置事实'!$T$6:$T$127,"&lt;&gt;NONE")&gt;0,"CONFLICTED",IF(COUNTIFS('51_版本配置事实'!$B$6:$B$127,"PC-N90-MAX-CAND",'51_版本配置事实'!$C$6:$C$127,$A53,'51_版本配置事实'!$I$6:$I$127,"STANDARD_AT_RELEASE")&gt;0,"STANDARD_AT_RELEASE",IF(COUNTIFS('51_版本配置事实'!$B$6:$B$127,"PC-N90-MAX-CAND",'51_版本配置事实'!$C$6:$C$127,$A53,'51_版本配置事实'!$I$6:$I$127,"OPTIONAL_AT_RELEASE")&gt;0,"OPTIONAL_AT_RELEASE",IF(COUNTIFS('51_版本配置事实'!$B$6:$B$127,"PC-N90-MAX-CAND",'51_版本配置事实'!$C$6:$C$127,$A53,'51_版本配置事实'!$I$6:$I$127,"SEPARATE_PURCHASE")&gt;0,"SEPARATE_PURCHASE",IF(COUNTIFS('51_版本配置事实'!$B$6:$B$127,"PC-N90-MAX-CAND",'51_版本配置事实'!$C$6:$C$127,$A53,'51_版本配置事实'!$I$6:$I$127,"EQUIPPED_STANDARD_UNCONFIRMED")&gt;0,"EQUIPPED_STANDARD_UNCONFIRMED",IF(COUNTIFS('51_版本配置事实'!$B$6:$B$127,"PC-N90-MAX-CAND",'51_版本配置事实'!$C$6:$C$127,$A53,'51_版本配置事实'!$I$6:$I$127,"SERIES_CAPABILITY")&gt;0,"SERIES_CAPABILITY",IF(COUNTIFS('51_版本配置事实'!$B$6:$B$127,"PC-N90-MAX-CAND",'51_版本配置事实'!$C$6:$C$127,$A53,'51_版本配置事实'!$I$6:$I$127,"NOT_DISCLOSED")&gt;0,"NOT_DISCLOSED","NOT_DISCLOSED")))))))</x:f>
        <x:v>EQUIPPED_STANDARD_UNCONFIRMED</x:v>
      </x:c>
      <x:c r="H53" s="369" t="str">
        <x:f>IF(COUNTIFS('51_版本配置事实'!$B$6:$B$127,"PC-N90-MAX-CAND",'51_版本配置事实'!$C$6:$C$127,$A53,'51_版本配置事实'!$J$6:$J$127,"STANDARD_CURRENT")&gt;0,"STANDARD_CURRENT","NOT_EVIDENCED")</x:f>
        <x:v>NOT_EVIDENCED</x:v>
      </x:c>
      <x:c r="I53" s="369" t="str">
        <x:f>IF(COUNTIFS('51_版本配置事实'!$B$6:$B$127,"PC-N90-ROOF-CAND",'51_版本配置事实'!$C$6:$C$127,$A53,'51_版本配置事实'!$T$6:$T$127,"&lt;&gt;NONE")&gt;0,"CONFLICTED",IF(COUNTIFS('51_版本配置事实'!$B$6:$B$127,"PC-N90-ROOF-CAND",'51_版本配置事实'!$C$6:$C$127,$A53,'51_版本配置事实'!$I$6:$I$127,"STANDARD_AT_RELEASE")&gt;0,"STANDARD_AT_RELEASE",IF(COUNTIFS('51_版本配置事实'!$B$6:$B$127,"PC-N90-ROOF-CAND",'51_版本配置事实'!$C$6:$C$127,$A53,'51_版本配置事实'!$I$6:$I$127,"OPTIONAL_AT_RELEASE")&gt;0,"OPTIONAL_AT_RELEASE",IF(COUNTIFS('51_版本配置事实'!$B$6:$B$127,"PC-N90-ROOF-CAND",'51_版本配置事实'!$C$6:$C$127,$A53,'51_版本配置事实'!$I$6:$I$127,"SEPARATE_PURCHASE")&gt;0,"SEPARATE_PURCHASE",IF(COUNTIFS('51_版本配置事实'!$B$6:$B$127,"PC-N90-ROOF-CAND",'51_版本配置事实'!$C$6:$C$127,$A53,'51_版本配置事实'!$I$6:$I$127,"EQUIPPED_STANDARD_UNCONFIRMED")&gt;0,"EQUIPPED_STANDARD_UNCONFIRMED",IF(COUNTIFS('51_版本配置事实'!$B$6:$B$127,"PC-N90-ROOF-CAND",'51_版本配置事实'!$C$6:$C$127,$A53,'51_版本配置事实'!$I$6:$I$127,"SERIES_CAPABILITY")&gt;0,"SERIES_CAPABILITY",IF(COUNTIFS('51_版本配置事实'!$B$6:$B$127,"PC-N90-ROOF-CAND",'51_版本配置事实'!$C$6:$C$127,$A53,'51_版本配置事实'!$I$6:$I$127,"NOT_DISCLOSED")&gt;0,"NOT_DISCLOSED","NOT_DISCLOSED")))))))</x:f>
        <x:v>NOT_DISCLOSED</x:v>
      </x:c>
      <x:c r="J53" s="369" t="str">
        <x:f>IF(COUNTIFS('51_版本配置事实'!$B$6:$B$127,"PC-N90-ROOF-CAND",'51_版本配置事实'!$C$6:$C$127,$A53,'51_版本配置事实'!$J$6:$J$127,"STANDARD_CURRENT")&gt;0,"STANDARD_CURRENT","NOT_EVIDENCED")</x:f>
        <x:v>NOT_EVIDENCED</x:v>
      </x:c>
      <x:c r="K53" s="369" t="str">
        <x:f>IF(AND(E53=G53,E53&lt;&gt;"NOT_DISCLOSED",E53&lt;&gt;"CONFLICTED"),IF(COUNTIFS('50_发布会逐项主张'!$H$6:$H$137,$A53,'50_发布会逐项主张'!$O$6:$O$137,"ALL_PENGCHENG")&gt;0,"EXPLICIT_COMMON_ANNOUNCED_MAX","MATCHED_NOT_PROVED_COMMON"),"NOT_PROVED_COMMON")</x:f>
        <x:v>MATCHED_NOT_PROVED_COMMON</x:v>
      </x:c>
      <x:c r="L53" s="369" t="str">
        <x:f>IF(OR(C53="NOT_DISCLOSED",E53="NOT_DISCLOSED",C53="CONFLICTED",E53="CONFLICTED"),"UNRESOLVED",IF(C53=E53,"NO_CHANGE",IF(AND(C53="STANDARD_AT_RELEASE",E53="OPTIONAL_AT_RELEASE"),"STANDARD_TO_OPTIONAL",IF(AND(C53="OPTIONAL_AT_RELEASE",E53="STANDARD_AT_RELEASE"),"OPTIONAL_TO_STANDARD",IF(E53="STANDARD_AT_RELEASE","ADDED_STANDARD","REVIEW_CHANGE")))))</x:f>
        <x:v>UNRESOLVED</x:v>
      </x:c>
      <x:c r="M53" s="369" t="str">
        <x:f>IF(OR(E53="NOT_DISCLOSED",G53="NOT_DISCLOSED",E53="CONFLICTED",G53="CONFLICTED"),"UNRESOLVED",IF(E53=G53,"NO_CHANGE",IF(AND(E53="STANDARD_AT_RELEASE",G53="OPTIONAL_AT_RELEASE"),"STANDARD_TO_OPTIONAL",IF(AND(E53="OPTIONAL_AT_RELEASE",G53="STANDARD_AT_RELEASE"),"OPTIONAL_TO_STANDARD",IF(G53="STANDARD_AT_RELEASE","ADDED_STANDARD","REVIEW_CHANGE")))))</x:f>
        <x:v>NO_CHANGE</x:v>
      </x:c>
      <x:c r="N53" s="369" t="str">
        <x:f>IF(OR(G53="NOT_DISCLOSED",I53="NOT_DISCLOSED",G53="CONFLICTED",I53="CONFLICTED"),"UNRESOLVED",IF(G53=I53,"NO_CHANGE",IF(AND(G53="STANDARD_AT_RELEASE",I53="OPTIONAL_AT_RELEASE"),"STANDARD_TO_OPTIONAL",IF(AND(G53="OPTIONAL_AT_RELEASE",I53="STANDARD_AT_RELEASE"),"OPTIONAL_TO_STANDARD",IF(I53="STANDARD_AT_RELEASE","ADDED_STANDARD","REVIEW_CHANGE")))))</x:f>
        <x:v>UNRESOLVED</x:v>
      </x:c>
      <x:c r="O53" s="369" t="str">
        <x:v>OTHER</x:v>
      </x:c>
      <x:c r="P53" s="369" t="str">
        <x:v>DC_SAFETY_max_wading_depth</x:v>
      </x:c>
      <x:c r="Q53" s="369" t="n">
        <x:f>COUNTIF('50_发布会逐项主张'!$H$6:$H$137,A53)</x:f>
        <x:v>2</x:v>
      </x:c>
      <x:c r="R53" s="369" t="str">
        <x:f>IF(COUNTIFS('50_发布会逐项主张'!$H$6:$H$137,A53,'50_发布会逐项主张'!$X$6:$X$137,"&lt;&gt;NONE")&gt;0,"CONFLICTED","NONE")</x:f>
        <x:v>NONE</x:v>
      </x:c>
    </x:row>
    <x:row r="54" ht="48" customHeight="1">
      <x:c r="A54" s="19" t="str">
        <x:v>passenger_seat_pad</x:v>
      </x:c>
      <x:c r="B54" s="19" t="str">
        <x:v>ACCESSORY</x:v>
      </x:c>
      <x:c r="C54" s="19" t="str">
        <x:f>IF(COUNTIFS('51_版本配置事实'!$B$6:$B$127,"PC-N70-BASE-CAND",'51_版本配置事实'!$C$6:$C$127,$A54,'51_版本配置事实'!$T$6:$T$127,"&lt;&gt;NONE")&gt;0,"CONFLICTED",IF(COUNTIFS('51_版本配置事实'!$B$6:$B$127,"PC-N70-BASE-CAND",'51_版本配置事实'!$C$6:$C$127,$A54,'51_版本配置事实'!$I$6:$I$127,"STANDARD_AT_RELEASE")&gt;0,"STANDARD_AT_RELEASE",IF(COUNTIFS('51_版本配置事实'!$B$6:$B$127,"PC-N70-BASE-CAND",'51_版本配置事实'!$C$6:$C$127,$A54,'51_版本配置事实'!$I$6:$I$127,"OPTIONAL_AT_RELEASE")&gt;0,"OPTIONAL_AT_RELEASE",IF(COUNTIFS('51_版本配置事实'!$B$6:$B$127,"PC-N70-BASE-CAND",'51_版本配置事实'!$C$6:$C$127,$A54,'51_版本配置事实'!$I$6:$I$127,"SEPARATE_PURCHASE")&gt;0,"SEPARATE_PURCHASE",IF(COUNTIFS('51_版本配置事实'!$B$6:$B$127,"PC-N70-BASE-CAND",'51_版本配置事实'!$C$6:$C$127,$A54,'51_版本配置事实'!$I$6:$I$127,"EQUIPPED_STANDARD_UNCONFIRMED")&gt;0,"EQUIPPED_STANDARD_UNCONFIRMED",IF(COUNTIFS('51_版本配置事实'!$B$6:$B$127,"PC-N70-BASE-CAND",'51_版本配置事实'!$C$6:$C$127,$A54,'51_版本配置事实'!$I$6:$I$127,"SERIES_CAPABILITY")&gt;0,"SERIES_CAPABILITY",IF(COUNTIFS('51_版本配置事实'!$B$6:$B$127,"PC-N70-BASE-CAND",'51_版本配置事实'!$C$6:$C$127,$A54,'51_版本配置事实'!$I$6:$I$127,"NOT_DISCLOSED")&gt;0,"NOT_DISCLOSED","NOT_DISCLOSED")))))))</x:f>
        <x:v>NOT_DISCLOSED</x:v>
      </x:c>
      <x:c r="D54" s="19" t="str">
        <x:f>IF(COUNTIFS('51_版本配置事实'!$B$6:$B$127,"PC-N70-BASE-CAND",'51_版本配置事实'!$C$6:$C$127,$A54,'51_版本配置事实'!$J$6:$J$127,"STANDARD_CURRENT")&gt;0,"STANDARD_CURRENT","NOT_EVIDENCED")</x:f>
        <x:v>NOT_EVIDENCED</x:v>
      </x:c>
      <x:c r="E54" s="19" t="str">
        <x:f>IF(COUNTIFS('51_版本配置事实'!$B$6:$B$127,"PC-N70-MAX-CAND",'51_版本配置事实'!$C$6:$C$127,$A54,'51_版本配置事实'!$T$6:$T$127,"&lt;&gt;NONE")&gt;0,"CONFLICTED",IF(COUNTIFS('51_版本配置事实'!$B$6:$B$127,"PC-N70-MAX-CAND",'51_版本配置事实'!$C$6:$C$127,$A54,'51_版本配置事实'!$I$6:$I$127,"STANDARD_AT_RELEASE")&gt;0,"STANDARD_AT_RELEASE",IF(COUNTIFS('51_版本配置事实'!$B$6:$B$127,"PC-N70-MAX-CAND",'51_版本配置事实'!$C$6:$C$127,$A54,'51_版本配置事实'!$I$6:$I$127,"OPTIONAL_AT_RELEASE")&gt;0,"OPTIONAL_AT_RELEASE",IF(COUNTIFS('51_版本配置事实'!$B$6:$B$127,"PC-N70-MAX-CAND",'51_版本配置事实'!$C$6:$C$127,$A54,'51_版本配置事实'!$I$6:$I$127,"SEPARATE_PURCHASE")&gt;0,"SEPARATE_PURCHASE",IF(COUNTIFS('51_版本配置事实'!$B$6:$B$127,"PC-N70-MAX-CAND",'51_版本配置事实'!$C$6:$C$127,$A54,'51_版本配置事实'!$I$6:$I$127,"EQUIPPED_STANDARD_UNCONFIRMED")&gt;0,"EQUIPPED_STANDARD_UNCONFIRMED",IF(COUNTIFS('51_版本配置事实'!$B$6:$B$127,"PC-N70-MAX-CAND",'51_版本配置事实'!$C$6:$C$127,$A54,'51_版本配置事实'!$I$6:$I$127,"SERIES_CAPABILITY")&gt;0,"SERIES_CAPABILITY",IF(COUNTIFS('51_版本配置事实'!$B$6:$B$127,"PC-N70-MAX-CAND",'51_版本配置事实'!$C$6:$C$127,$A54,'51_版本配置事实'!$I$6:$I$127,"NOT_DISCLOSED")&gt;0,"NOT_DISCLOSED","NOT_DISCLOSED")))))))</x:f>
        <x:v>NOT_DISCLOSED</x:v>
      </x:c>
      <x:c r="F54" s="19" t="str">
        <x:f>IF(COUNTIFS('51_版本配置事实'!$B$6:$B$127,"PC-N70-MAX-CAND",'51_版本配置事实'!$C$6:$C$127,$A54,'51_版本配置事实'!$J$6:$J$127,"STANDARD_CURRENT")&gt;0,"STANDARD_CURRENT","NOT_EVIDENCED")</x:f>
        <x:v>NOT_EVIDENCED</x:v>
      </x:c>
      <x:c r="G54" s="19" t="str">
        <x:f>IF(COUNTIFS('51_版本配置事实'!$B$6:$B$127,"PC-N90-MAX-CAND",'51_版本配置事实'!$C$6:$C$127,$A54,'51_版本配置事实'!$T$6:$T$127,"&lt;&gt;NONE")&gt;0,"CONFLICTED",IF(COUNTIFS('51_版本配置事实'!$B$6:$B$127,"PC-N90-MAX-CAND",'51_版本配置事实'!$C$6:$C$127,$A54,'51_版本配置事实'!$I$6:$I$127,"STANDARD_AT_RELEASE")&gt;0,"STANDARD_AT_RELEASE",IF(COUNTIFS('51_版本配置事实'!$B$6:$B$127,"PC-N90-MAX-CAND",'51_版本配置事实'!$C$6:$C$127,$A54,'51_版本配置事实'!$I$6:$I$127,"OPTIONAL_AT_RELEASE")&gt;0,"OPTIONAL_AT_RELEASE",IF(COUNTIFS('51_版本配置事实'!$B$6:$B$127,"PC-N90-MAX-CAND",'51_版本配置事实'!$C$6:$C$127,$A54,'51_版本配置事实'!$I$6:$I$127,"SEPARATE_PURCHASE")&gt;0,"SEPARATE_PURCHASE",IF(COUNTIFS('51_版本配置事实'!$B$6:$B$127,"PC-N90-MAX-CAND",'51_版本配置事实'!$C$6:$C$127,$A54,'51_版本配置事实'!$I$6:$I$127,"EQUIPPED_STANDARD_UNCONFIRMED")&gt;0,"EQUIPPED_STANDARD_UNCONFIRMED",IF(COUNTIFS('51_版本配置事实'!$B$6:$B$127,"PC-N90-MAX-CAND",'51_版本配置事实'!$C$6:$C$127,$A54,'51_版本配置事实'!$I$6:$I$127,"SERIES_CAPABILITY")&gt;0,"SERIES_CAPABILITY",IF(COUNTIFS('51_版本配置事实'!$B$6:$B$127,"PC-N90-MAX-CAND",'51_版本配置事实'!$C$6:$C$127,$A54,'51_版本配置事实'!$I$6:$I$127,"NOT_DISCLOSED")&gt;0,"NOT_DISCLOSED","NOT_DISCLOSED")))))))</x:f>
        <x:v>SEPARATE_PURCHASE</x:v>
      </x:c>
      <x:c r="H54" s="19" t="str">
        <x:f>IF(COUNTIFS('51_版本配置事实'!$B$6:$B$127,"PC-N90-MAX-CAND",'51_版本配置事实'!$C$6:$C$127,$A54,'51_版本配置事实'!$J$6:$J$127,"STANDARD_CURRENT")&gt;0,"STANDARD_CURRENT","NOT_EVIDENCED")</x:f>
        <x:v>NOT_EVIDENCED</x:v>
      </x:c>
      <x:c r="I54" s="19" t="str">
        <x:f>IF(COUNTIFS('51_版本配置事实'!$B$6:$B$127,"PC-N90-ROOF-CAND",'51_版本配置事实'!$C$6:$C$127,$A54,'51_版本配置事实'!$T$6:$T$127,"&lt;&gt;NONE")&gt;0,"CONFLICTED",IF(COUNTIFS('51_版本配置事实'!$B$6:$B$127,"PC-N90-ROOF-CAND",'51_版本配置事实'!$C$6:$C$127,$A54,'51_版本配置事实'!$I$6:$I$127,"STANDARD_AT_RELEASE")&gt;0,"STANDARD_AT_RELEASE",IF(COUNTIFS('51_版本配置事实'!$B$6:$B$127,"PC-N90-ROOF-CAND",'51_版本配置事实'!$C$6:$C$127,$A54,'51_版本配置事实'!$I$6:$I$127,"OPTIONAL_AT_RELEASE")&gt;0,"OPTIONAL_AT_RELEASE",IF(COUNTIFS('51_版本配置事实'!$B$6:$B$127,"PC-N90-ROOF-CAND",'51_版本配置事实'!$C$6:$C$127,$A54,'51_版本配置事实'!$I$6:$I$127,"SEPARATE_PURCHASE")&gt;0,"SEPARATE_PURCHASE",IF(COUNTIFS('51_版本配置事实'!$B$6:$B$127,"PC-N90-ROOF-CAND",'51_版本配置事实'!$C$6:$C$127,$A54,'51_版本配置事实'!$I$6:$I$127,"EQUIPPED_STANDARD_UNCONFIRMED")&gt;0,"EQUIPPED_STANDARD_UNCONFIRMED",IF(COUNTIFS('51_版本配置事实'!$B$6:$B$127,"PC-N90-ROOF-CAND",'51_版本配置事实'!$C$6:$C$127,$A54,'51_版本配置事实'!$I$6:$I$127,"SERIES_CAPABILITY")&gt;0,"SERIES_CAPABILITY",IF(COUNTIFS('51_版本配置事实'!$B$6:$B$127,"PC-N90-ROOF-CAND",'51_版本配置事实'!$C$6:$C$127,$A54,'51_版本配置事实'!$I$6:$I$127,"NOT_DISCLOSED")&gt;0,"NOT_DISCLOSED","NOT_DISCLOSED")))))))</x:f>
        <x:v>NOT_DISCLOSED</x:v>
      </x:c>
      <x:c r="J54" s="19" t="str">
        <x:f>IF(COUNTIFS('51_版本配置事实'!$B$6:$B$127,"PC-N90-ROOF-CAND",'51_版本配置事实'!$C$6:$C$127,$A54,'51_版本配置事实'!$J$6:$J$127,"STANDARD_CURRENT")&gt;0,"STANDARD_CURRENT","NOT_EVIDENCED")</x:f>
        <x:v>NOT_EVIDENCED</x:v>
      </x:c>
      <x:c r="K54" s="19" t="str">
        <x:f>IF(AND(E54=G54,E54&lt;&gt;"NOT_DISCLOSED",E54&lt;&gt;"CONFLICTED"),IF(COUNTIFS('50_发布会逐项主张'!$H$6:$H$137,$A54,'50_发布会逐项主张'!$O$6:$O$137,"ALL_PENGCHENG")&gt;0,"EXPLICIT_COMMON_ANNOUNCED_MAX","MATCHED_NOT_PROVED_COMMON"),"NOT_PROVED_COMMON")</x:f>
        <x:v>NOT_PROVED_COMMON</x:v>
      </x:c>
      <x:c r="L54" s="19" t="str">
        <x:f>IF(OR(C54="NOT_DISCLOSED",E54="NOT_DISCLOSED",C54="CONFLICTED",E54="CONFLICTED"),"UNRESOLVED",IF(C54=E54,"NO_CHANGE",IF(AND(C54="STANDARD_AT_RELEASE",E54="OPTIONAL_AT_RELEASE"),"STANDARD_TO_OPTIONAL",IF(AND(C54="OPTIONAL_AT_RELEASE",E54="STANDARD_AT_RELEASE"),"OPTIONAL_TO_STANDARD",IF(E54="STANDARD_AT_RELEASE","ADDED_STANDARD","REVIEW_CHANGE")))))</x:f>
        <x:v>UNRESOLVED</x:v>
      </x:c>
      <x:c r="M54" s="19" t="str">
        <x:f>IF(OR(E54="NOT_DISCLOSED",G54="NOT_DISCLOSED",E54="CONFLICTED",G54="CONFLICTED"),"UNRESOLVED",IF(E54=G54,"NO_CHANGE",IF(AND(E54="STANDARD_AT_RELEASE",G54="OPTIONAL_AT_RELEASE"),"STANDARD_TO_OPTIONAL",IF(AND(E54="OPTIONAL_AT_RELEASE",G54="STANDARD_AT_RELEASE"),"OPTIONAL_TO_STANDARD",IF(G54="STANDARD_AT_RELEASE","ADDED_STANDARD","REVIEW_CHANGE")))))</x:f>
        <x:v>UNRESOLVED</x:v>
      </x:c>
      <x:c r="N54" s="19" t="str">
        <x:f>IF(OR(G54="NOT_DISCLOSED",I54="NOT_DISCLOSED",G54="CONFLICTED",I54="CONFLICTED"),"UNRESOLVED",IF(G54=I54,"NO_CHANGE",IF(AND(G54="STANDARD_AT_RELEASE",I54="OPTIONAL_AT_RELEASE"),"STANDARD_TO_OPTIONAL",IF(AND(G54="OPTIONAL_AT_RELEASE",I54="STANDARD_AT_RELEASE"),"OPTIONAL_TO_STANDARD",IF(I54="STANDARD_AT_RELEASE","ADDED_STANDARD","REVIEW_CHANGE")))))</x:f>
        <x:v>UNRESOLVED</x:v>
      </x:c>
      <x:c r="O54" s="19" t="str">
        <x:v>OPTIONS_ACCESSORIES</x:v>
      </x:c>
      <x:c r="P54" s="19" t="str">
        <x:v>DC_ACCESSORY_passenger_seat_pad</x:v>
      </x:c>
      <x:c r="Q54" s="19" t="n">
        <x:f>COUNTIF('50_发布会逐项主张'!$H$6:$H$137,A54)</x:f>
        <x:v>1</x:v>
      </x:c>
      <x:c r="R54" s="19" t="str">
        <x:f>IF(COUNTIFS('50_发布会逐项主张'!$H$6:$H$137,A54,'50_发布会逐项主张'!$X$6:$X$137,"&lt;&gt;NONE")&gt;0,"CONFLICTED","NONE")</x:f>
        <x:v>NONE</x:v>
      </x:c>
    </x:row>
    <x:row r="55" ht="48" customHeight="1">
      <x:c r="A55" s="369" t="str">
        <x:v>peak_power_total</x:v>
      </x:c>
      <x:c r="B55" s="369" t="str">
        <x:v>POWERTRAIN</x:v>
      </x:c>
      <x:c r="C55" s="369" t="str">
        <x:f>IF(COUNTIFS('51_版本配置事实'!$B$6:$B$127,"PC-N70-BASE-CAND",'51_版本配置事实'!$C$6:$C$127,$A55,'51_版本配置事实'!$T$6:$T$127,"&lt;&gt;NONE")&gt;0,"CONFLICTED",IF(COUNTIFS('51_版本配置事实'!$B$6:$B$127,"PC-N70-BASE-CAND",'51_版本配置事实'!$C$6:$C$127,$A55,'51_版本配置事实'!$I$6:$I$127,"STANDARD_AT_RELEASE")&gt;0,"STANDARD_AT_RELEASE",IF(COUNTIFS('51_版本配置事实'!$B$6:$B$127,"PC-N70-BASE-CAND",'51_版本配置事实'!$C$6:$C$127,$A55,'51_版本配置事实'!$I$6:$I$127,"OPTIONAL_AT_RELEASE")&gt;0,"OPTIONAL_AT_RELEASE",IF(COUNTIFS('51_版本配置事实'!$B$6:$B$127,"PC-N70-BASE-CAND",'51_版本配置事实'!$C$6:$C$127,$A55,'51_版本配置事实'!$I$6:$I$127,"SEPARATE_PURCHASE")&gt;0,"SEPARATE_PURCHASE",IF(COUNTIFS('51_版本配置事实'!$B$6:$B$127,"PC-N70-BASE-CAND",'51_版本配置事实'!$C$6:$C$127,$A55,'51_版本配置事实'!$I$6:$I$127,"EQUIPPED_STANDARD_UNCONFIRMED")&gt;0,"EQUIPPED_STANDARD_UNCONFIRMED",IF(COUNTIFS('51_版本配置事实'!$B$6:$B$127,"PC-N70-BASE-CAND",'51_版本配置事实'!$C$6:$C$127,$A55,'51_版本配置事实'!$I$6:$I$127,"SERIES_CAPABILITY")&gt;0,"SERIES_CAPABILITY",IF(COUNTIFS('51_版本配置事实'!$B$6:$B$127,"PC-N70-BASE-CAND",'51_版本配置事实'!$C$6:$C$127,$A55,'51_版本配置事实'!$I$6:$I$127,"NOT_DISCLOSED")&gt;0,"NOT_DISCLOSED","NOT_DISCLOSED")))))))</x:f>
        <x:v>NOT_DISCLOSED</x:v>
      </x:c>
      <x:c r="D55" s="369" t="str">
        <x:f>IF(COUNTIFS('51_版本配置事实'!$B$6:$B$127,"PC-N70-BASE-CAND",'51_版本配置事实'!$C$6:$C$127,$A55,'51_版本配置事实'!$J$6:$J$127,"STANDARD_CURRENT")&gt;0,"STANDARD_CURRENT","NOT_EVIDENCED")</x:f>
        <x:v>NOT_EVIDENCED</x:v>
      </x:c>
      <x:c r="E55" s="369" t="str">
        <x:f>IF(COUNTIFS('51_版本配置事实'!$B$6:$B$127,"PC-N70-MAX-CAND",'51_版本配置事实'!$C$6:$C$127,$A55,'51_版本配置事实'!$T$6:$T$127,"&lt;&gt;NONE")&gt;0,"CONFLICTED",IF(COUNTIFS('51_版本配置事实'!$B$6:$B$127,"PC-N70-MAX-CAND",'51_版本配置事实'!$C$6:$C$127,$A55,'51_版本配置事实'!$I$6:$I$127,"STANDARD_AT_RELEASE")&gt;0,"STANDARD_AT_RELEASE",IF(COUNTIFS('51_版本配置事实'!$B$6:$B$127,"PC-N70-MAX-CAND",'51_版本配置事实'!$C$6:$C$127,$A55,'51_版本配置事实'!$I$6:$I$127,"OPTIONAL_AT_RELEASE")&gt;0,"OPTIONAL_AT_RELEASE",IF(COUNTIFS('51_版本配置事实'!$B$6:$B$127,"PC-N70-MAX-CAND",'51_版本配置事实'!$C$6:$C$127,$A55,'51_版本配置事实'!$I$6:$I$127,"SEPARATE_PURCHASE")&gt;0,"SEPARATE_PURCHASE",IF(COUNTIFS('51_版本配置事实'!$B$6:$B$127,"PC-N70-MAX-CAND",'51_版本配置事实'!$C$6:$C$127,$A55,'51_版本配置事实'!$I$6:$I$127,"EQUIPPED_STANDARD_UNCONFIRMED")&gt;0,"EQUIPPED_STANDARD_UNCONFIRMED",IF(COUNTIFS('51_版本配置事实'!$B$6:$B$127,"PC-N70-MAX-CAND",'51_版本配置事实'!$C$6:$C$127,$A55,'51_版本配置事实'!$I$6:$I$127,"SERIES_CAPABILITY")&gt;0,"SERIES_CAPABILITY",IF(COUNTIFS('51_版本配置事实'!$B$6:$B$127,"PC-N70-MAX-CAND",'51_版本配置事实'!$C$6:$C$127,$A55,'51_版本配置事实'!$I$6:$I$127,"NOT_DISCLOSED")&gt;0,"NOT_DISCLOSED","NOT_DISCLOSED")))))))</x:f>
        <x:v>EQUIPPED_STANDARD_UNCONFIRMED</x:v>
      </x:c>
      <x:c r="F55" s="369" t="str">
        <x:f>IF(COUNTIFS('51_版本配置事实'!$B$6:$B$127,"PC-N70-MAX-CAND",'51_版本配置事实'!$C$6:$C$127,$A55,'51_版本配置事实'!$J$6:$J$127,"STANDARD_CURRENT")&gt;0,"STANDARD_CURRENT","NOT_EVIDENCED")</x:f>
        <x:v>NOT_EVIDENCED</x:v>
      </x:c>
      <x:c r="G55" s="369" t="str">
        <x:f>IF(COUNTIFS('51_版本配置事实'!$B$6:$B$127,"PC-N90-MAX-CAND",'51_版本配置事实'!$C$6:$C$127,$A55,'51_版本配置事实'!$T$6:$T$127,"&lt;&gt;NONE")&gt;0,"CONFLICTED",IF(COUNTIFS('51_版本配置事实'!$B$6:$B$127,"PC-N90-MAX-CAND",'51_版本配置事实'!$C$6:$C$127,$A55,'51_版本配置事实'!$I$6:$I$127,"STANDARD_AT_RELEASE")&gt;0,"STANDARD_AT_RELEASE",IF(COUNTIFS('51_版本配置事实'!$B$6:$B$127,"PC-N90-MAX-CAND",'51_版本配置事实'!$C$6:$C$127,$A55,'51_版本配置事实'!$I$6:$I$127,"OPTIONAL_AT_RELEASE")&gt;0,"OPTIONAL_AT_RELEASE",IF(COUNTIFS('51_版本配置事实'!$B$6:$B$127,"PC-N90-MAX-CAND",'51_版本配置事实'!$C$6:$C$127,$A55,'51_版本配置事实'!$I$6:$I$127,"SEPARATE_PURCHASE")&gt;0,"SEPARATE_PURCHASE",IF(COUNTIFS('51_版本配置事实'!$B$6:$B$127,"PC-N90-MAX-CAND",'51_版本配置事实'!$C$6:$C$127,$A55,'51_版本配置事实'!$I$6:$I$127,"EQUIPPED_STANDARD_UNCONFIRMED")&gt;0,"EQUIPPED_STANDARD_UNCONFIRMED",IF(COUNTIFS('51_版本配置事实'!$B$6:$B$127,"PC-N90-MAX-CAND",'51_版本配置事实'!$C$6:$C$127,$A55,'51_版本配置事实'!$I$6:$I$127,"SERIES_CAPABILITY")&gt;0,"SERIES_CAPABILITY",IF(COUNTIFS('51_版本配置事实'!$B$6:$B$127,"PC-N90-MAX-CAND",'51_版本配置事实'!$C$6:$C$127,$A55,'51_版本配置事实'!$I$6:$I$127,"NOT_DISCLOSED")&gt;0,"NOT_DISCLOSED","NOT_DISCLOSED")))))))</x:f>
        <x:v>EQUIPPED_STANDARD_UNCONFIRMED</x:v>
      </x:c>
      <x:c r="H55" s="369" t="str">
        <x:f>IF(COUNTIFS('51_版本配置事实'!$B$6:$B$127,"PC-N90-MAX-CAND",'51_版本配置事实'!$C$6:$C$127,$A55,'51_版本配置事实'!$J$6:$J$127,"STANDARD_CURRENT")&gt;0,"STANDARD_CURRENT","NOT_EVIDENCED")</x:f>
        <x:v>NOT_EVIDENCED</x:v>
      </x:c>
      <x:c r="I55" s="369" t="str">
        <x:f>IF(COUNTIFS('51_版本配置事实'!$B$6:$B$127,"PC-N90-ROOF-CAND",'51_版本配置事实'!$C$6:$C$127,$A55,'51_版本配置事实'!$T$6:$T$127,"&lt;&gt;NONE")&gt;0,"CONFLICTED",IF(COUNTIFS('51_版本配置事实'!$B$6:$B$127,"PC-N90-ROOF-CAND",'51_版本配置事实'!$C$6:$C$127,$A55,'51_版本配置事实'!$I$6:$I$127,"STANDARD_AT_RELEASE")&gt;0,"STANDARD_AT_RELEASE",IF(COUNTIFS('51_版本配置事实'!$B$6:$B$127,"PC-N90-ROOF-CAND",'51_版本配置事实'!$C$6:$C$127,$A55,'51_版本配置事实'!$I$6:$I$127,"OPTIONAL_AT_RELEASE")&gt;0,"OPTIONAL_AT_RELEASE",IF(COUNTIFS('51_版本配置事实'!$B$6:$B$127,"PC-N90-ROOF-CAND",'51_版本配置事实'!$C$6:$C$127,$A55,'51_版本配置事实'!$I$6:$I$127,"SEPARATE_PURCHASE")&gt;0,"SEPARATE_PURCHASE",IF(COUNTIFS('51_版本配置事实'!$B$6:$B$127,"PC-N90-ROOF-CAND",'51_版本配置事实'!$C$6:$C$127,$A55,'51_版本配置事实'!$I$6:$I$127,"EQUIPPED_STANDARD_UNCONFIRMED")&gt;0,"EQUIPPED_STANDARD_UNCONFIRMED",IF(COUNTIFS('51_版本配置事实'!$B$6:$B$127,"PC-N90-ROOF-CAND",'51_版本配置事实'!$C$6:$C$127,$A55,'51_版本配置事实'!$I$6:$I$127,"SERIES_CAPABILITY")&gt;0,"SERIES_CAPABILITY",IF(COUNTIFS('51_版本配置事实'!$B$6:$B$127,"PC-N90-ROOF-CAND",'51_版本配置事实'!$C$6:$C$127,$A55,'51_版本配置事实'!$I$6:$I$127,"NOT_DISCLOSED")&gt;0,"NOT_DISCLOSED","NOT_DISCLOSED")))))))</x:f>
        <x:v>NOT_DISCLOSED</x:v>
      </x:c>
      <x:c r="J55" s="369" t="str">
        <x:f>IF(COUNTIFS('51_版本配置事实'!$B$6:$B$127,"PC-N90-ROOF-CAND",'51_版本配置事实'!$C$6:$C$127,$A55,'51_版本配置事实'!$J$6:$J$127,"STANDARD_CURRENT")&gt;0,"STANDARD_CURRENT","NOT_EVIDENCED")</x:f>
        <x:v>NOT_EVIDENCED</x:v>
      </x:c>
      <x:c r="K55" s="369" t="str">
        <x:f>IF(AND(E55=G55,E55&lt;&gt;"NOT_DISCLOSED",E55&lt;&gt;"CONFLICTED"),IF(COUNTIFS('50_发布会逐项主张'!$H$6:$H$137,$A55,'50_发布会逐项主张'!$O$6:$O$137,"ALL_PENGCHENG")&gt;0,"EXPLICIT_COMMON_ANNOUNCED_MAX","MATCHED_NOT_PROVED_COMMON"),"NOT_PROVED_COMMON")</x:f>
        <x:v>MATCHED_NOT_PROVED_COMMON</x:v>
      </x:c>
      <x:c r="L55" s="369" t="str">
        <x:f>IF(OR(C55="NOT_DISCLOSED",E55="NOT_DISCLOSED",C55="CONFLICTED",E55="CONFLICTED"),"UNRESOLVED",IF(C55=E55,"NO_CHANGE",IF(AND(C55="STANDARD_AT_RELEASE",E55="OPTIONAL_AT_RELEASE"),"STANDARD_TO_OPTIONAL",IF(AND(C55="OPTIONAL_AT_RELEASE",E55="STANDARD_AT_RELEASE"),"OPTIONAL_TO_STANDARD",IF(E55="STANDARD_AT_RELEASE","ADDED_STANDARD","REVIEW_CHANGE")))))</x:f>
        <x:v>UNRESOLVED</x:v>
      </x:c>
      <x:c r="M55" s="369" t="str">
        <x:f>IF(OR(E55="NOT_DISCLOSED",G55="NOT_DISCLOSED",E55="CONFLICTED",G55="CONFLICTED"),"UNRESOLVED",IF(E55=G55,"NO_CHANGE",IF(AND(E55="STANDARD_AT_RELEASE",G55="OPTIONAL_AT_RELEASE"),"STANDARD_TO_OPTIONAL",IF(AND(E55="OPTIONAL_AT_RELEASE",G55="STANDARD_AT_RELEASE"),"OPTIONAL_TO_STANDARD",IF(G55="STANDARD_AT_RELEASE","ADDED_STANDARD","REVIEW_CHANGE")))))</x:f>
        <x:v>NO_CHANGE</x:v>
      </x:c>
      <x:c r="N55" s="369" t="str">
        <x:f>IF(OR(G55="NOT_DISCLOSED",I55="NOT_DISCLOSED",G55="CONFLICTED",I55="CONFLICTED"),"UNRESOLVED",IF(G55=I55,"NO_CHANGE",IF(AND(G55="STANDARD_AT_RELEASE",I55="OPTIONAL_AT_RELEASE"),"STANDARD_TO_OPTIONAL",IF(AND(G55="OPTIONAL_AT_RELEASE",I55="STANDARD_AT_RELEASE"),"OPTIONAL_TO_STANDARD",IF(I55="STANDARD_AT_RELEASE","ADDED_STANDARD","REVIEW_CHANGE")))))</x:f>
        <x:v>UNRESOLVED</x:v>
      </x:c>
      <x:c r="O55" s="369" t="str">
        <x:v>E_DRIVE</x:v>
      </x:c>
      <x:c r="P55" s="369" t="str">
        <x:v>DC_POWERTRAIN_peak_power_total</x:v>
      </x:c>
      <x:c r="Q55" s="369" t="n">
        <x:f>COUNTIF('50_发布会逐项主张'!$H$6:$H$137,A55)</x:f>
        <x:v>2</x:v>
      </x:c>
      <x:c r="R55" s="369" t="str">
        <x:f>IF(COUNTIFS('50_发布会逐项主张'!$H$6:$H$137,A55,'50_发布会逐项主张'!$X$6:$X$137,"&lt;&gt;NONE")&gt;0,"CONFLICTED","NONE")</x:f>
        <x:v>NONE</x:v>
      </x:c>
    </x:row>
    <x:row r="56" ht="48" customHeight="1">
      <x:c r="A56" s="19" t="str">
        <x:v>peak_torque</x:v>
      </x:c>
      <x:c r="B56" s="19" t="str">
        <x:v>POWERTRAIN</x:v>
      </x:c>
      <x:c r="C56" s="19" t="str">
        <x:f>IF(COUNTIFS('51_版本配置事实'!$B$6:$B$127,"PC-N70-BASE-CAND",'51_版本配置事实'!$C$6:$C$127,$A56,'51_版本配置事实'!$T$6:$T$127,"&lt;&gt;NONE")&gt;0,"CONFLICTED",IF(COUNTIFS('51_版本配置事实'!$B$6:$B$127,"PC-N70-BASE-CAND",'51_版本配置事实'!$C$6:$C$127,$A56,'51_版本配置事实'!$I$6:$I$127,"STANDARD_AT_RELEASE")&gt;0,"STANDARD_AT_RELEASE",IF(COUNTIFS('51_版本配置事实'!$B$6:$B$127,"PC-N70-BASE-CAND",'51_版本配置事实'!$C$6:$C$127,$A56,'51_版本配置事实'!$I$6:$I$127,"OPTIONAL_AT_RELEASE")&gt;0,"OPTIONAL_AT_RELEASE",IF(COUNTIFS('51_版本配置事实'!$B$6:$B$127,"PC-N70-BASE-CAND",'51_版本配置事实'!$C$6:$C$127,$A56,'51_版本配置事实'!$I$6:$I$127,"SEPARATE_PURCHASE")&gt;0,"SEPARATE_PURCHASE",IF(COUNTIFS('51_版本配置事实'!$B$6:$B$127,"PC-N70-BASE-CAND",'51_版本配置事实'!$C$6:$C$127,$A56,'51_版本配置事实'!$I$6:$I$127,"EQUIPPED_STANDARD_UNCONFIRMED")&gt;0,"EQUIPPED_STANDARD_UNCONFIRMED",IF(COUNTIFS('51_版本配置事实'!$B$6:$B$127,"PC-N70-BASE-CAND",'51_版本配置事实'!$C$6:$C$127,$A56,'51_版本配置事实'!$I$6:$I$127,"SERIES_CAPABILITY")&gt;0,"SERIES_CAPABILITY",IF(COUNTIFS('51_版本配置事实'!$B$6:$B$127,"PC-N70-BASE-CAND",'51_版本配置事实'!$C$6:$C$127,$A56,'51_版本配置事实'!$I$6:$I$127,"NOT_DISCLOSED")&gt;0,"NOT_DISCLOSED","NOT_DISCLOSED")))))))</x:f>
        <x:v>NOT_DISCLOSED</x:v>
      </x:c>
      <x:c r="D56" s="19" t="str">
        <x:f>IF(COUNTIFS('51_版本配置事实'!$B$6:$B$127,"PC-N70-BASE-CAND",'51_版本配置事实'!$C$6:$C$127,$A56,'51_版本配置事实'!$J$6:$J$127,"STANDARD_CURRENT")&gt;0,"STANDARD_CURRENT","NOT_EVIDENCED")</x:f>
        <x:v>NOT_EVIDENCED</x:v>
      </x:c>
      <x:c r="E56" s="19" t="str">
        <x:f>IF(COUNTIFS('51_版本配置事实'!$B$6:$B$127,"PC-N70-MAX-CAND",'51_版本配置事实'!$C$6:$C$127,$A56,'51_版本配置事实'!$T$6:$T$127,"&lt;&gt;NONE")&gt;0,"CONFLICTED",IF(COUNTIFS('51_版本配置事实'!$B$6:$B$127,"PC-N70-MAX-CAND",'51_版本配置事实'!$C$6:$C$127,$A56,'51_版本配置事实'!$I$6:$I$127,"STANDARD_AT_RELEASE")&gt;0,"STANDARD_AT_RELEASE",IF(COUNTIFS('51_版本配置事实'!$B$6:$B$127,"PC-N70-MAX-CAND",'51_版本配置事实'!$C$6:$C$127,$A56,'51_版本配置事实'!$I$6:$I$127,"OPTIONAL_AT_RELEASE")&gt;0,"OPTIONAL_AT_RELEASE",IF(COUNTIFS('51_版本配置事实'!$B$6:$B$127,"PC-N70-MAX-CAND",'51_版本配置事实'!$C$6:$C$127,$A56,'51_版本配置事实'!$I$6:$I$127,"SEPARATE_PURCHASE")&gt;0,"SEPARATE_PURCHASE",IF(COUNTIFS('51_版本配置事实'!$B$6:$B$127,"PC-N70-MAX-CAND",'51_版本配置事实'!$C$6:$C$127,$A56,'51_版本配置事实'!$I$6:$I$127,"EQUIPPED_STANDARD_UNCONFIRMED")&gt;0,"EQUIPPED_STANDARD_UNCONFIRMED",IF(COUNTIFS('51_版本配置事实'!$B$6:$B$127,"PC-N70-MAX-CAND",'51_版本配置事实'!$C$6:$C$127,$A56,'51_版本配置事实'!$I$6:$I$127,"SERIES_CAPABILITY")&gt;0,"SERIES_CAPABILITY",IF(COUNTIFS('51_版本配置事实'!$B$6:$B$127,"PC-N70-MAX-CAND",'51_版本配置事实'!$C$6:$C$127,$A56,'51_版本配置事实'!$I$6:$I$127,"NOT_DISCLOSED")&gt;0,"NOT_DISCLOSED","NOT_DISCLOSED")))))))</x:f>
        <x:v>NOT_DISCLOSED</x:v>
      </x:c>
      <x:c r="F56" s="19" t="str">
        <x:f>IF(COUNTIFS('51_版本配置事实'!$B$6:$B$127,"PC-N70-MAX-CAND",'51_版本配置事实'!$C$6:$C$127,$A56,'51_版本配置事实'!$J$6:$J$127,"STANDARD_CURRENT")&gt;0,"STANDARD_CURRENT","NOT_EVIDENCED")</x:f>
        <x:v>NOT_EVIDENCED</x:v>
      </x:c>
      <x:c r="G56" s="19" t="str">
        <x:f>IF(COUNTIFS('51_版本配置事实'!$B$6:$B$127,"PC-N90-MAX-CAND",'51_版本配置事实'!$C$6:$C$127,$A56,'51_版本配置事实'!$T$6:$T$127,"&lt;&gt;NONE")&gt;0,"CONFLICTED",IF(COUNTIFS('51_版本配置事实'!$B$6:$B$127,"PC-N90-MAX-CAND",'51_版本配置事实'!$C$6:$C$127,$A56,'51_版本配置事实'!$I$6:$I$127,"STANDARD_AT_RELEASE")&gt;0,"STANDARD_AT_RELEASE",IF(COUNTIFS('51_版本配置事实'!$B$6:$B$127,"PC-N90-MAX-CAND",'51_版本配置事实'!$C$6:$C$127,$A56,'51_版本配置事实'!$I$6:$I$127,"OPTIONAL_AT_RELEASE")&gt;0,"OPTIONAL_AT_RELEASE",IF(COUNTIFS('51_版本配置事实'!$B$6:$B$127,"PC-N90-MAX-CAND",'51_版本配置事实'!$C$6:$C$127,$A56,'51_版本配置事实'!$I$6:$I$127,"SEPARATE_PURCHASE")&gt;0,"SEPARATE_PURCHASE",IF(COUNTIFS('51_版本配置事实'!$B$6:$B$127,"PC-N90-MAX-CAND",'51_版本配置事实'!$C$6:$C$127,$A56,'51_版本配置事实'!$I$6:$I$127,"EQUIPPED_STANDARD_UNCONFIRMED")&gt;0,"EQUIPPED_STANDARD_UNCONFIRMED",IF(COUNTIFS('51_版本配置事实'!$B$6:$B$127,"PC-N90-MAX-CAND",'51_版本配置事实'!$C$6:$C$127,$A56,'51_版本配置事实'!$I$6:$I$127,"SERIES_CAPABILITY")&gt;0,"SERIES_CAPABILITY",IF(COUNTIFS('51_版本配置事实'!$B$6:$B$127,"PC-N90-MAX-CAND",'51_版本配置事实'!$C$6:$C$127,$A56,'51_版本配置事实'!$I$6:$I$127,"NOT_DISCLOSED")&gt;0,"NOT_DISCLOSED","NOT_DISCLOSED")))))))</x:f>
        <x:v>NOT_DISCLOSED</x:v>
      </x:c>
      <x:c r="H56" s="19" t="str">
        <x:f>IF(COUNTIFS('51_版本配置事实'!$B$6:$B$127,"PC-N90-MAX-CAND",'51_版本配置事实'!$C$6:$C$127,$A56,'51_版本配置事实'!$J$6:$J$127,"STANDARD_CURRENT")&gt;0,"STANDARD_CURRENT","NOT_EVIDENCED")</x:f>
        <x:v>NOT_EVIDENCED</x:v>
      </x:c>
      <x:c r="I56" s="19" t="str">
        <x:f>IF(COUNTIFS('51_版本配置事实'!$B$6:$B$127,"PC-N90-ROOF-CAND",'51_版本配置事实'!$C$6:$C$127,$A56,'51_版本配置事实'!$T$6:$T$127,"&lt;&gt;NONE")&gt;0,"CONFLICTED",IF(COUNTIFS('51_版本配置事实'!$B$6:$B$127,"PC-N90-ROOF-CAND",'51_版本配置事实'!$C$6:$C$127,$A56,'51_版本配置事实'!$I$6:$I$127,"STANDARD_AT_RELEASE")&gt;0,"STANDARD_AT_RELEASE",IF(COUNTIFS('51_版本配置事实'!$B$6:$B$127,"PC-N90-ROOF-CAND",'51_版本配置事实'!$C$6:$C$127,$A56,'51_版本配置事实'!$I$6:$I$127,"OPTIONAL_AT_RELEASE")&gt;0,"OPTIONAL_AT_RELEASE",IF(COUNTIFS('51_版本配置事实'!$B$6:$B$127,"PC-N90-ROOF-CAND",'51_版本配置事实'!$C$6:$C$127,$A56,'51_版本配置事实'!$I$6:$I$127,"SEPARATE_PURCHASE")&gt;0,"SEPARATE_PURCHASE",IF(COUNTIFS('51_版本配置事实'!$B$6:$B$127,"PC-N90-ROOF-CAND",'51_版本配置事实'!$C$6:$C$127,$A56,'51_版本配置事实'!$I$6:$I$127,"EQUIPPED_STANDARD_UNCONFIRMED")&gt;0,"EQUIPPED_STANDARD_UNCONFIRMED",IF(COUNTIFS('51_版本配置事实'!$B$6:$B$127,"PC-N90-ROOF-CAND",'51_版本配置事实'!$C$6:$C$127,$A56,'51_版本配置事实'!$I$6:$I$127,"SERIES_CAPABILITY")&gt;0,"SERIES_CAPABILITY",IF(COUNTIFS('51_版本配置事实'!$B$6:$B$127,"PC-N90-ROOF-CAND",'51_版本配置事实'!$C$6:$C$127,$A56,'51_版本配置事实'!$I$6:$I$127,"NOT_DISCLOSED")&gt;0,"NOT_DISCLOSED","NOT_DISCLOSED")))))))</x:f>
        <x:v>NOT_DISCLOSED</x:v>
      </x:c>
      <x:c r="J56" s="19" t="str">
        <x:f>IF(COUNTIFS('51_版本配置事实'!$B$6:$B$127,"PC-N90-ROOF-CAND",'51_版本配置事实'!$C$6:$C$127,$A56,'51_版本配置事实'!$J$6:$J$127,"STANDARD_CURRENT")&gt;0,"STANDARD_CURRENT","NOT_EVIDENCED")</x:f>
        <x:v>NOT_EVIDENCED</x:v>
      </x:c>
      <x:c r="K56" s="19" t="str">
        <x:f>IF(AND(E56=G56,E56&lt;&gt;"NOT_DISCLOSED",E56&lt;&gt;"CONFLICTED"),IF(COUNTIFS('50_发布会逐项主张'!$H$6:$H$137,$A56,'50_发布会逐项主张'!$O$6:$O$137,"ALL_PENGCHENG")&gt;0,"EXPLICIT_COMMON_ANNOUNCED_MAX","MATCHED_NOT_PROVED_COMMON"),"NOT_PROVED_COMMON")</x:f>
        <x:v>NOT_PROVED_COMMON</x:v>
      </x:c>
      <x:c r="L56" s="19" t="str">
        <x:f>IF(OR(C56="NOT_DISCLOSED",E56="NOT_DISCLOSED",C56="CONFLICTED",E56="CONFLICTED"),"UNRESOLVED",IF(C56=E56,"NO_CHANGE",IF(AND(C56="STANDARD_AT_RELEASE",E56="OPTIONAL_AT_RELEASE"),"STANDARD_TO_OPTIONAL",IF(AND(C56="OPTIONAL_AT_RELEASE",E56="STANDARD_AT_RELEASE"),"OPTIONAL_TO_STANDARD",IF(E56="STANDARD_AT_RELEASE","ADDED_STANDARD","REVIEW_CHANGE")))))</x:f>
        <x:v>UNRESOLVED</x:v>
      </x:c>
      <x:c r="M56" s="19" t="str">
        <x:f>IF(OR(E56="NOT_DISCLOSED",G56="NOT_DISCLOSED",E56="CONFLICTED",G56="CONFLICTED"),"UNRESOLVED",IF(E56=G56,"NO_CHANGE",IF(AND(E56="STANDARD_AT_RELEASE",G56="OPTIONAL_AT_RELEASE"),"STANDARD_TO_OPTIONAL",IF(AND(E56="OPTIONAL_AT_RELEASE",G56="STANDARD_AT_RELEASE"),"OPTIONAL_TO_STANDARD",IF(G56="STANDARD_AT_RELEASE","ADDED_STANDARD","REVIEW_CHANGE")))))</x:f>
        <x:v>UNRESOLVED</x:v>
      </x:c>
      <x:c r="N56" s="19" t="str">
        <x:f>IF(OR(G56="NOT_DISCLOSED",I56="NOT_DISCLOSED",G56="CONFLICTED",I56="CONFLICTED"),"UNRESOLVED",IF(G56=I56,"NO_CHANGE",IF(AND(G56="STANDARD_AT_RELEASE",I56="OPTIONAL_AT_RELEASE"),"STANDARD_TO_OPTIONAL",IF(AND(G56="OPTIONAL_AT_RELEASE",I56="STANDARD_AT_RELEASE"),"OPTIONAL_TO_STANDARD",IF(I56="STANDARD_AT_RELEASE","ADDED_STANDARD","REVIEW_CHANGE")))))</x:f>
        <x:v>UNRESOLVED</x:v>
      </x:c>
      <x:c r="O56" s="19" t="str">
        <x:v>E_DRIVE</x:v>
      </x:c>
      <x:c r="P56" s="19" t="str">
        <x:v>DC_POWERTRAIN_peak_torque</x:v>
      </x:c>
      <x:c r="Q56" s="19" t="n">
        <x:f>COUNTIF('50_发布会逐项主张'!$H$6:$H$137,A56)</x:f>
        <x:v>1</x:v>
      </x:c>
      <x:c r="R56" s="19" t="str">
        <x:f>IF(COUNTIFS('50_发布会逐项主张'!$H$6:$H$137,A56,'50_发布会逐项主张'!$X$6:$X$137,"&lt;&gt;NONE")&gt;0,"CONFLICTED","NONE")</x:f>
        <x:v>NONE</x:v>
      </x:c>
    </x:row>
    <x:row r="57" ht="48" customHeight="1">
      <x:c r="A57" s="369" t="str">
        <x:v>power_ports</x:v>
      </x:c>
      <x:c r="B57" s="369" t="str">
        <x:v>CABIN</x:v>
      </x:c>
      <x:c r="C57" s="369" t="str">
        <x:f>IF(COUNTIFS('51_版本配置事实'!$B$6:$B$127,"PC-N70-BASE-CAND",'51_版本配置事实'!$C$6:$C$127,$A57,'51_版本配置事实'!$T$6:$T$127,"&lt;&gt;NONE")&gt;0,"CONFLICTED",IF(COUNTIFS('51_版本配置事实'!$B$6:$B$127,"PC-N70-BASE-CAND",'51_版本配置事实'!$C$6:$C$127,$A57,'51_版本配置事实'!$I$6:$I$127,"STANDARD_AT_RELEASE")&gt;0,"STANDARD_AT_RELEASE",IF(COUNTIFS('51_版本配置事实'!$B$6:$B$127,"PC-N70-BASE-CAND",'51_版本配置事实'!$C$6:$C$127,$A57,'51_版本配置事实'!$I$6:$I$127,"OPTIONAL_AT_RELEASE")&gt;0,"OPTIONAL_AT_RELEASE",IF(COUNTIFS('51_版本配置事实'!$B$6:$B$127,"PC-N70-BASE-CAND",'51_版本配置事实'!$C$6:$C$127,$A57,'51_版本配置事实'!$I$6:$I$127,"SEPARATE_PURCHASE")&gt;0,"SEPARATE_PURCHASE",IF(COUNTIFS('51_版本配置事实'!$B$6:$B$127,"PC-N70-BASE-CAND",'51_版本配置事实'!$C$6:$C$127,$A57,'51_版本配置事实'!$I$6:$I$127,"EQUIPPED_STANDARD_UNCONFIRMED")&gt;0,"EQUIPPED_STANDARD_UNCONFIRMED",IF(COUNTIFS('51_版本配置事实'!$B$6:$B$127,"PC-N70-BASE-CAND",'51_版本配置事实'!$C$6:$C$127,$A57,'51_版本配置事实'!$I$6:$I$127,"SERIES_CAPABILITY")&gt;0,"SERIES_CAPABILITY",IF(COUNTIFS('51_版本配置事实'!$B$6:$B$127,"PC-N70-BASE-CAND",'51_版本配置事实'!$C$6:$C$127,$A57,'51_版本配置事实'!$I$6:$I$127,"NOT_DISCLOSED")&gt;0,"NOT_DISCLOSED","NOT_DISCLOSED")))))))</x:f>
        <x:v>NOT_DISCLOSED</x:v>
      </x:c>
      <x:c r="D57" s="369" t="str">
        <x:f>IF(COUNTIFS('51_版本配置事实'!$B$6:$B$127,"PC-N70-BASE-CAND",'51_版本配置事实'!$C$6:$C$127,$A57,'51_版本配置事实'!$J$6:$J$127,"STANDARD_CURRENT")&gt;0,"STANDARD_CURRENT","NOT_EVIDENCED")</x:f>
        <x:v>NOT_EVIDENCED</x:v>
      </x:c>
      <x:c r="E57" s="369" t="str">
        <x:f>IF(COUNTIFS('51_版本配置事实'!$B$6:$B$127,"PC-N70-MAX-CAND",'51_版本配置事实'!$C$6:$C$127,$A57,'51_版本配置事实'!$T$6:$T$127,"&lt;&gt;NONE")&gt;0,"CONFLICTED",IF(COUNTIFS('51_版本配置事实'!$B$6:$B$127,"PC-N70-MAX-CAND",'51_版本配置事实'!$C$6:$C$127,$A57,'51_版本配置事实'!$I$6:$I$127,"STANDARD_AT_RELEASE")&gt;0,"STANDARD_AT_RELEASE",IF(COUNTIFS('51_版本配置事实'!$B$6:$B$127,"PC-N70-MAX-CAND",'51_版本配置事实'!$C$6:$C$127,$A57,'51_版本配置事实'!$I$6:$I$127,"OPTIONAL_AT_RELEASE")&gt;0,"OPTIONAL_AT_RELEASE",IF(COUNTIFS('51_版本配置事实'!$B$6:$B$127,"PC-N70-MAX-CAND",'51_版本配置事实'!$C$6:$C$127,$A57,'51_版本配置事实'!$I$6:$I$127,"SEPARATE_PURCHASE")&gt;0,"SEPARATE_PURCHASE",IF(COUNTIFS('51_版本配置事实'!$B$6:$B$127,"PC-N70-MAX-CAND",'51_版本配置事实'!$C$6:$C$127,$A57,'51_版本配置事实'!$I$6:$I$127,"EQUIPPED_STANDARD_UNCONFIRMED")&gt;0,"EQUIPPED_STANDARD_UNCONFIRMED",IF(COUNTIFS('51_版本配置事实'!$B$6:$B$127,"PC-N70-MAX-CAND",'51_版本配置事实'!$C$6:$C$127,$A57,'51_版本配置事实'!$I$6:$I$127,"SERIES_CAPABILITY")&gt;0,"SERIES_CAPABILITY",IF(COUNTIFS('51_版本配置事实'!$B$6:$B$127,"PC-N70-MAX-CAND",'51_版本配置事实'!$C$6:$C$127,$A57,'51_版本配置事实'!$I$6:$I$127,"NOT_DISCLOSED")&gt;0,"NOT_DISCLOSED","NOT_DISCLOSED")))))))</x:f>
        <x:v>NOT_DISCLOSED</x:v>
      </x:c>
      <x:c r="F57" s="369" t="str">
        <x:f>IF(COUNTIFS('51_版本配置事实'!$B$6:$B$127,"PC-N70-MAX-CAND",'51_版本配置事实'!$C$6:$C$127,$A57,'51_版本配置事实'!$J$6:$J$127,"STANDARD_CURRENT")&gt;0,"STANDARD_CURRENT","NOT_EVIDENCED")</x:f>
        <x:v>NOT_EVIDENCED</x:v>
      </x:c>
      <x:c r="G57" s="369" t="str">
        <x:f>IF(COUNTIFS('51_版本配置事实'!$B$6:$B$127,"PC-N90-MAX-CAND",'51_版本配置事实'!$C$6:$C$127,$A57,'51_版本配置事实'!$T$6:$T$127,"&lt;&gt;NONE")&gt;0,"CONFLICTED",IF(COUNTIFS('51_版本配置事实'!$B$6:$B$127,"PC-N90-MAX-CAND",'51_版本配置事实'!$C$6:$C$127,$A57,'51_版本配置事实'!$I$6:$I$127,"STANDARD_AT_RELEASE")&gt;0,"STANDARD_AT_RELEASE",IF(COUNTIFS('51_版本配置事实'!$B$6:$B$127,"PC-N90-MAX-CAND",'51_版本配置事实'!$C$6:$C$127,$A57,'51_版本配置事实'!$I$6:$I$127,"OPTIONAL_AT_RELEASE")&gt;0,"OPTIONAL_AT_RELEASE",IF(COUNTIFS('51_版本配置事实'!$B$6:$B$127,"PC-N90-MAX-CAND",'51_版本配置事实'!$C$6:$C$127,$A57,'51_版本配置事实'!$I$6:$I$127,"SEPARATE_PURCHASE")&gt;0,"SEPARATE_PURCHASE",IF(COUNTIFS('51_版本配置事实'!$B$6:$B$127,"PC-N90-MAX-CAND",'51_版本配置事实'!$C$6:$C$127,$A57,'51_版本配置事实'!$I$6:$I$127,"EQUIPPED_STANDARD_UNCONFIRMED")&gt;0,"EQUIPPED_STANDARD_UNCONFIRMED",IF(COUNTIFS('51_版本配置事实'!$B$6:$B$127,"PC-N90-MAX-CAND",'51_版本配置事实'!$C$6:$C$127,$A57,'51_版本配置事实'!$I$6:$I$127,"SERIES_CAPABILITY")&gt;0,"SERIES_CAPABILITY",IF(COUNTIFS('51_版本配置事实'!$B$6:$B$127,"PC-N90-MAX-CAND",'51_版本配置事实'!$C$6:$C$127,$A57,'51_版本配置事实'!$I$6:$I$127,"NOT_DISCLOSED")&gt;0,"NOT_DISCLOSED","NOT_DISCLOSED")))))))</x:f>
        <x:v>EQUIPPED_STANDARD_UNCONFIRMED</x:v>
      </x:c>
      <x:c r="H57" s="369" t="str">
        <x:f>IF(COUNTIFS('51_版本配置事实'!$B$6:$B$127,"PC-N90-MAX-CAND",'51_版本配置事实'!$C$6:$C$127,$A57,'51_版本配置事实'!$J$6:$J$127,"STANDARD_CURRENT")&gt;0,"STANDARD_CURRENT","NOT_EVIDENCED")</x:f>
        <x:v>NOT_EVIDENCED</x:v>
      </x:c>
      <x:c r="I57" s="369" t="str">
        <x:f>IF(COUNTIFS('51_版本配置事实'!$B$6:$B$127,"PC-N90-ROOF-CAND",'51_版本配置事实'!$C$6:$C$127,$A57,'51_版本配置事实'!$T$6:$T$127,"&lt;&gt;NONE")&gt;0,"CONFLICTED",IF(COUNTIFS('51_版本配置事实'!$B$6:$B$127,"PC-N90-ROOF-CAND",'51_版本配置事实'!$C$6:$C$127,$A57,'51_版本配置事实'!$I$6:$I$127,"STANDARD_AT_RELEASE")&gt;0,"STANDARD_AT_RELEASE",IF(COUNTIFS('51_版本配置事实'!$B$6:$B$127,"PC-N90-ROOF-CAND",'51_版本配置事实'!$C$6:$C$127,$A57,'51_版本配置事实'!$I$6:$I$127,"OPTIONAL_AT_RELEASE")&gt;0,"OPTIONAL_AT_RELEASE",IF(COUNTIFS('51_版本配置事实'!$B$6:$B$127,"PC-N90-ROOF-CAND",'51_版本配置事实'!$C$6:$C$127,$A57,'51_版本配置事实'!$I$6:$I$127,"SEPARATE_PURCHASE")&gt;0,"SEPARATE_PURCHASE",IF(COUNTIFS('51_版本配置事实'!$B$6:$B$127,"PC-N90-ROOF-CAND",'51_版本配置事实'!$C$6:$C$127,$A57,'51_版本配置事实'!$I$6:$I$127,"EQUIPPED_STANDARD_UNCONFIRMED")&gt;0,"EQUIPPED_STANDARD_UNCONFIRMED",IF(COUNTIFS('51_版本配置事实'!$B$6:$B$127,"PC-N90-ROOF-CAND",'51_版本配置事实'!$C$6:$C$127,$A57,'51_版本配置事实'!$I$6:$I$127,"SERIES_CAPABILITY")&gt;0,"SERIES_CAPABILITY",IF(COUNTIFS('51_版本配置事实'!$B$6:$B$127,"PC-N90-ROOF-CAND",'51_版本配置事实'!$C$6:$C$127,$A57,'51_版本配置事实'!$I$6:$I$127,"NOT_DISCLOSED")&gt;0,"NOT_DISCLOSED","NOT_DISCLOSED")))))))</x:f>
        <x:v>NOT_DISCLOSED</x:v>
      </x:c>
      <x:c r="J57" s="369" t="str">
        <x:f>IF(COUNTIFS('51_版本配置事实'!$B$6:$B$127,"PC-N90-ROOF-CAND",'51_版本配置事实'!$C$6:$C$127,$A57,'51_版本配置事实'!$J$6:$J$127,"STANDARD_CURRENT")&gt;0,"STANDARD_CURRENT","NOT_EVIDENCED")</x:f>
        <x:v>NOT_EVIDENCED</x:v>
      </x:c>
      <x:c r="K57" s="369" t="str">
        <x:f>IF(AND(E57=G57,E57&lt;&gt;"NOT_DISCLOSED",E57&lt;&gt;"CONFLICTED"),IF(COUNTIFS('50_发布会逐项主张'!$H$6:$H$137,$A57,'50_发布会逐项主张'!$O$6:$O$137,"ALL_PENGCHENG")&gt;0,"EXPLICIT_COMMON_ANNOUNCED_MAX","MATCHED_NOT_PROVED_COMMON"),"NOT_PROVED_COMMON")</x:f>
        <x:v>NOT_PROVED_COMMON</x:v>
      </x:c>
      <x:c r="L57" s="369" t="str">
        <x:f>IF(OR(C57="NOT_DISCLOSED",E57="NOT_DISCLOSED",C57="CONFLICTED",E57="CONFLICTED"),"UNRESOLVED",IF(C57=E57,"NO_CHANGE",IF(AND(C57="STANDARD_AT_RELEASE",E57="OPTIONAL_AT_RELEASE"),"STANDARD_TO_OPTIONAL",IF(AND(C57="OPTIONAL_AT_RELEASE",E57="STANDARD_AT_RELEASE"),"OPTIONAL_TO_STANDARD",IF(E57="STANDARD_AT_RELEASE","ADDED_STANDARD","REVIEW_CHANGE")))))</x:f>
        <x:v>UNRESOLVED</x:v>
      </x:c>
      <x:c r="M57" s="369" t="str">
        <x:f>IF(OR(E57="NOT_DISCLOSED",G57="NOT_DISCLOSED",E57="CONFLICTED",G57="CONFLICTED"),"UNRESOLVED",IF(E57=G57,"NO_CHANGE",IF(AND(E57="STANDARD_AT_RELEASE",G57="OPTIONAL_AT_RELEASE"),"STANDARD_TO_OPTIONAL",IF(AND(E57="OPTIONAL_AT_RELEASE",G57="STANDARD_AT_RELEASE"),"OPTIONAL_TO_STANDARD",IF(G57="STANDARD_AT_RELEASE","ADDED_STANDARD","REVIEW_CHANGE")))))</x:f>
        <x:v>UNRESOLVED</x:v>
      </x:c>
      <x:c r="N57" s="369" t="str">
        <x:f>IF(OR(G57="NOT_DISCLOSED",I57="NOT_DISCLOSED",G57="CONFLICTED",I57="CONFLICTED"),"UNRESOLVED",IF(G57=I57,"NO_CHANGE",IF(AND(G57="STANDARD_AT_RELEASE",I57="OPTIONAL_AT_RELEASE"),"STANDARD_TO_OPTIONAL",IF(AND(G57="OPTIONAL_AT_RELEASE",I57="STANDARD_AT_RELEASE"),"OPTIONAL_TO_STANDARD",IF(I57="STANDARD_AT_RELEASE","ADDED_STANDARD","REVIEW_CHANGE")))))</x:f>
        <x:v>UNRESOLVED</x:v>
      </x:c>
      <x:c r="O57" s="369" t="str">
        <x:v>CABIN_COMFORT</x:v>
      </x:c>
      <x:c r="P57" s="369" t="str">
        <x:v>DC_CABIN_power_ports</x:v>
      </x:c>
      <x:c r="Q57" s="369" t="n">
        <x:f>COUNTIF('50_发布会逐项主张'!$H$6:$H$137,A57)</x:f>
        <x:v>1</x:v>
      </x:c>
      <x:c r="R57" s="369" t="str">
        <x:f>IF(COUNTIFS('50_发布会逐项主张'!$H$6:$H$137,A57,'50_发布会逐项主张'!$X$6:$X$137,"&lt;&gt;NONE")&gt;0,"CONFLICTED","NONE")</x:f>
        <x:v>NONE</x:v>
      </x:c>
    </x:row>
    <x:row r="58" ht="48" customHeight="1">
      <x:c r="A58" s="19" t="str">
        <x:v>power_running_boards</x:v>
      </x:c>
      <x:c r="B58" s="19" t="str">
        <x:v>EXTERIOR</x:v>
      </x:c>
      <x:c r="C58" s="19" t="str">
        <x:f>IF(COUNTIFS('51_版本配置事实'!$B$6:$B$127,"PC-N70-BASE-CAND",'51_版本配置事实'!$C$6:$C$127,$A58,'51_版本配置事实'!$T$6:$T$127,"&lt;&gt;NONE")&gt;0,"CONFLICTED",IF(COUNTIFS('51_版本配置事实'!$B$6:$B$127,"PC-N70-BASE-CAND",'51_版本配置事实'!$C$6:$C$127,$A58,'51_版本配置事实'!$I$6:$I$127,"STANDARD_AT_RELEASE")&gt;0,"STANDARD_AT_RELEASE",IF(COUNTIFS('51_版本配置事实'!$B$6:$B$127,"PC-N70-BASE-CAND",'51_版本配置事实'!$C$6:$C$127,$A58,'51_版本配置事实'!$I$6:$I$127,"OPTIONAL_AT_RELEASE")&gt;0,"OPTIONAL_AT_RELEASE",IF(COUNTIFS('51_版本配置事实'!$B$6:$B$127,"PC-N70-BASE-CAND",'51_版本配置事实'!$C$6:$C$127,$A58,'51_版本配置事实'!$I$6:$I$127,"SEPARATE_PURCHASE")&gt;0,"SEPARATE_PURCHASE",IF(COUNTIFS('51_版本配置事实'!$B$6:$B$127,"PC-N70-BASE-CAND",'51_版本配置事实'!$C$6:$C$127,$A58,'51_版本配置事实'!$I$6:$I$127,"EQUIPPED_STANDARD_UNCONFIRMED")&gt;0,"EQUIPPED_STANDARD_UNCONFIRMED",IF(COUNTIFS('51_版本配置事实'!$B$6:$B$127,"PC-N70-BASE-CAND",'51_版本配置事实'!$C$6:$C$127,$A58,'51_版本配置事实'!$I$6:$I$127,"SERIES_CAPABILITY")&gt;0,"SERIES_CAPABILITY",IF(COUNTIFS('51_版本配置事实'!$B$6:$B$127,"PC-N70-BASE-CAND",'51_版本配置事实'!$C$6:$C$127,$A58,'51_版本配置事实'!$I$6:$I$127,"NOT_DISCLOSED")&gt;0,"NOT_DISCLOSED","NOT_DISCLOSED")))))))</x:f>
        <x:v>NOT_DISCLOSED</x:v>
      </x:c>
      <x:c r="D58" s="19" t="str">
        <x:f>IF(COUNTIFS('51_版本配置事实'!$B$6:$B$127,"PC-N70-BASE-CAND",'51_版本配置事实'!$C$6:$C$127,$A58,'51_版本配置事实'!$J$6:$J$127,"STANDARD_CURRENT")&gt;0,"STANDARD_CURRENT","NOT_EVIDENCED")</x:f>
        <x:v>NOT_EVIDENCED</x:v>
      </x:c>
      <x:c r="E58" s="19" t="str">
        <x:f>IF(COUNTIFS('51_版本配置事实'!$B$6:$B$127,"PC-N70-MAX-CAND",'51_版本配置事实'!$C$6:$C$127,$A58,'51_版本配置事实'!$T$6:$T$127,"&lt;&gt;NONE")&gt;0,"CONFLICTED",IF(COUNTIFS('51_版本配置事实'!$B$6:$B$127,"PC-N70-MAX-CAND",'51_版本配置事实'!$C$6:$C$127,$A58,'51_版本配置事实'!$I$6:$I$127,"STANDARD_AT_RELEASE")&gt;0,"STANDARD_AT_RELEASE",IF(COUNTIFS('51_版本配置事实'!$B$6:$B$127,"PC-N70-MAX-CAND",'51_版本配置事实'!$C$6:$C$127,$A58,'51_版本配置事实'!$I$6:$I$127,"OPTIONAL_AT_RELEASE")&gt;0,"OPTIONAL_AT_RELEASE",IF(COUNTIFS('51_版本配置事实'!$B$6:$B$127,"PC-N70-MAX-CAND",'51_版本配置事实'!$C$6:$C$127,$A58,'51_版本配置事实'!$I$6:$I$127,"SEPARATE_PURCHASE")&gt;0,"SEPARATE_PURCHASE",IF(COUNTIFS('51_版本配置事实'!$B$6:$B$127,"PC-N70-MAX-CAND",'51_版本配置事实'!$C$6:$C$127,$A58,'51_版本配置事实'!$I$6:$I$127,"EQUIPPED_STANDARD_UNCONFIRMED")&gt;0,"EQUIPPED_STANDARD_UNCONFIRMED",IF(COUNTIFS('51_版本配置事实'!$B$6:$B$127,"PC-N70-MAX-CAND",'51_版本配置事实'!$C$6:$C$127,$A58,'51_版本配置事实'!$I$6:$I$127,"SERIES_CAPABILITY")&gt;0,"SERIES_CAPABILITY",IF(COUNTIFS('51_版本配置事实'!$B$6:$B$127,"PC-N70-MAX-CAND",'51_版本配置事实'!$C$6:$C$127,$A58,'51_版本配置事实'!$I$6:$I$127,"NOT_DISCLOSED")&gt;0,"NOT_DISCLOSED","NOT_DISCLOSED")))))))</x:f>
        <x:v>NOT_DISCLOSED</x:v>
      </x:c>
      <x:c r="F58" s="19" t="str">
        <x:f>IF(COUNTIFS('51_版本配置事实'!$B$6:$B$127,"PC-N70-MAX-CAND",'51_版本配置事实'!$C$6:$C$127,$A58,'51_版本配置事实'!$J$6:$J$127,"STANDARD_CURRENT")&gt;0,"STANDARD_CURRENT","NOT_EVIDENCED")</x:f>
        <x:v>NOT_EVIDENCED</x:v>
      </x:c>
      <x:c r="G58" s="19" t="str">
        <x:f>IF(COUNTIFS('51_版本配置事实'!$B$6:$B$127,"PC-N90-MAX-CAND",'51_版本配置事实'!$C$6:$C$127,$A58,'51_版本配置事实'!$T$6:$T$127,"&lt;&gt;NONE")&gt;0,"CONFLICTED",IF(COUNTIFS('51_版本配置事实'!$B$6:$B$127,"PC-N90-MAX-CAND",'51_版本配置事实'!$C$6:$C$127,$A58,'51_版本配置事实'!$I$6:$I$127,"STANDARD_AT_RELEASE")&gt;0,"STANDARD_AT_RELEASE",IF(COUNTIFS('51_版本配置事实'!$B$6:$B$127,"PC-N90-MAX-CAND",'51_版本配置事实'!$C$6:$C$127,$A58,'51_版本配置事实'!$I$6:$I$127,"OPTIONAL_AT_RELEASE")&gt;0,"OPTIONAL_AT_RELEASE",IF(COUNTIFS('51_版本配置事实'!$B$6:$B$127,"PC-N90-MAX-CAND",'51_版本配置事实'!$C$6:$C$127,$A58,'51_版本配置事实'!$I$6:$I$127,"SEPARATE_PURCHASE")&gt;0,"SEPARATE_PURCHASE",IF(COUNTIFS('51_版本配置事实'!$B$6:$B$127,"PC-N90-MAX-CAND",'51_版本配置事实'!$C$6:$C$127,$A58,'51_版本配置事实'!$I$6:$I$127,"EQUIPPED_STANDARD_UNCONFIRMED")&gt;0,"EQUIPPED_STANDARD_UNCONFIRMED",IF(COUNTIFS('51_版本配置事实'!$B$6:$B$127,"PC-N90-MAX-CAND",'51_版本配置事实'!$C$6:$C$127,$A58,'51_版本配置事实'!$I$6:$I$127,"SERIES_CAPABILITY")&gt;0,"SERIES_CAPABILITY",IF(COUNTIFS('51_版本配置事实'!$B$6:$B$127,"PC-N90-MAX-CAND",'51_版本配置事实'!$C$6:$C$127,$A58,'51_版本配置事实'!$I$6:$I$127,"NOT_DISCLOSED")&gt;0,"NOT_DISCLOSED","NOT_DISCLOSED")))))))</x:f>
        <x:v>OPTIONAL_AT_RELEASE</x:v>
      </x:c>
      <x:c r="H58" s="19" t="str">
        <x:f>IF(COUNTIFS('51_版本配置事实'!$B$6:$B$127,"PC-N90-MAX-CAND",'51_版本配置事实'!$C$6:$C$127,$A58,'51_版本配置事实'!$J$6:$J$127,"STANDARD_CURRENT")&gt;0,"STANDARD_CURRENT","NOT_EVIDENCED")</x:f>
        <x:v>NOT_EVIDENCED</x:v>
      </x:c>
      <x:c r="I58" s="19" t="str">
        <x:f>IF(COUNTIFS('51_版本配置事实'!$B$6:$B$127,"PC-N90-ROOF-CAND",'51_版本配置事实'!$C$6:$C$127,$A58,'51_版本配置事实'!$T$6:$T$127,"&lt;&gt;NONE")&gt;0,"CONFLICTED",IF(COUNTIFS('51_版本配置事实'!$B$6:$B$127,"PC-N90-ROOF-CAND",'51_版本配置事实'!$C$6:$C$127,$A58,'51_版本配置事实'!$I$6:$I$127,"STANDARD_AT_RELEASE")&gt;0,"STANDARD_AT_RELEASE",IF(COUNTIFS('51_版本配置事实'!$B$6:$B$127,"PC-N90-ROOF-CAND",'51_版本配置事实'!$C$6:$C$127,$A58,'51_版本配置事实'!$I$6:$I$127,"OPTIONAL_AT_RELEASE")&gt;0,"OPTIONAL_AT_RELEASE",IF(COUNTIFS('51_版本配置事实'!$B$6:$B$127,"PC-N90-ROOF-CAND",'51_版本配置事实'!$C$6:$C$127,$A58,'51_版本配置事实'!$I$6:$I$127,"SEPARATE_PURCHASE")&gt;0,"SEPARATE_PURCHASE",IF(COUNTIFS('51_版本配置事实'!$B$6:$B$127,"PC-N90-ROOF-CAND",'51_版本配置事实'!$C$6:$C$127,$A58,'51_版本配置事实'!$I$6:$I$127,"EQUIPPED_STANDARD_UNCONFIRMED")&gt;0,"EQUIPPED_STANDARD_UNCONFIRMED",IF(COUNTIFS('51_版本配置事实'!$B$6:$B$127,"PC-N90-ROOF-CAND",'51_版本配置事实'!$C$6:$C$127,$A58,'51_版本配置事实'!$I$6:$I$127,"SERIES_CAPABILITY")&gt;0,"SERIES_CAPABILITY",IF(COUNTIFS('51_版本配置事实'!$B$6:$B$127,"PC-N90-ROOF-CAND",'51_版本配置事实'!$C$6:$C$127,$A58,'51_版本配置事实'!$I$6:$I$127,"NOT_DISCLOSED")&gt;0,"NOT_DISCLOSED","NOT_DISCLOSED")))))))</x:f>
        <x:v>NOT_DISCLOSED</x:v>
      </x:c>
      <x:c r="J58" s="19" t="str">
        <x:f>IF(COUNTIFS('51_版本配置事实'!$B$6:$B$127,"PC-N90-ROOF-CAND",'51_版本配置事实'!$C$6:$C$127,$A58,'51_版本配置事实'!$J$6:$J$127,"STANDARD_CURRENT")&gt;0,"STANDARD_CURRENT","NOT_EVIDENCED")</x:f>
        <x:v>NOT_EVIDENCED</x:v>
      </x:c>
      <x:c r="K58" s="19" t="str">
        <x:f>IF(AND(E58=G58,E58&lt;&gt;"NOT_DISCLOSED",E58&lt;&gt;"CONFLICTED"),IF(COUNTIFS('50_发布会逐项主张'!$H$6:$H$137,$A58,'50_发布会逐项主张'!$O$6:$O$137,"ALL_PENGCHENG")&gt;0,"EXPLICIT_COMMON_ANNOUNCED_MAX","MATCHED_NOT_PROVED_COMMON"),"NOT_PROVED_COMMON")</x:f>
        <x:v>NOT_PROVED_COMMON</x:v>
      </x:c>
      <x:c r="L58" s="19" t="str">
        <x:f>IF(OR(C58="NOT_DISCLOSED",E58="NOT_DISCLOSED",C58="CONFLICTED",E58="CONFLICTED"),"UNRESOLVED",IF(C58=E58,"NO_CHANGE",IF(AND(C58="STANDARD_AT_RELEASE",E58="OPTIONAL_AT_RELEASE"),"STANDARD_TO_OPTIONAL",IF(AND(C58="OPTIONAL_AT_RELEASE",E58="STANDARD_AT_RELEASE"),"OPTIONAL_TO_STANDARD",IF(E58="STANDARD_AT_RELEASE","ADDED_STANDARD","REVIEW_CHANGE")))))</x:f>
        <x:v>UNRESOLVED</x:v>
      </x:c>
      <x:c r="M58" s="19" t="str">
        <x:f>IF(OR(E58="NOT_DISCLOSED",G58="NOT_DISCLOSED",E58="CONFLICTED",G58="CONFLICTED"),"UNRESOLVED",IF(E58=G58,"NO_CHANGE",IF(AND(E58="STANDARD_AT_RELEASE",G58="OPTIONAL_AT_RELEASE"),"STANDARD_TO_OPTIONAL",IF(AND(E58="OPTIONAL_AT_RELEASE",G58="STANDARD_AT_RELEASE"),"OPTIONAL_TO_STANDARD",IF(G58="STANDARD_AT_RELEASE","ADDED_STANDARD","REVIEW_CHANGE")))))</x:f>
        <x:v>UNRESOLVED</x:v>
      </x:c>
      <x:c r="N58" s="19" t="str">
        <x:f>IF(OR(G58="NOT_DISCLOSED",I58="NOT_DISCLOSED",G58="CONFLICTED",I58="CONFLICTED"),"UNRESOLVED",IF(G58=I58,"NO_CHANGE",IF(AND(G58="STANDARD_AT_RELEASE",I58="OPTIONAL_AT_RELEASE"),"STANDARD_TO_OPTIONAL",IF(AND(G58="OPTIONAL_AT_RELEASE",I58="STANDARD_AT_RELEASE"),"OPTIONAL_TO_STANDARD",IF(I58="STANDARD_AT_RELEASE","ADDED_STANDARD","REVIEW_CHANGE")))))</x:f>
        <x:v>UNRESOLVED</x:v>
      </x:c>
      <x:c r="O58" s="19" t="str">
        <x:v>OPTIONS_ACCESSORIES</x:v>
      </x:c>
      <x:c r="P58" s="19" t="str">
        <x:v>DC_EXTERIOR_power_running_boards</x:v>
      </x:c>
      <x:c r="Q58" s="19" t="n">
        <x:f>COUNTIF('50_发布会逐项主张'!$H$6:$H$137,A58)</x:f>
        <x:v>1</x:v>
      </x:c>
      <x:c r="R58" s="19" t="str">
        <x:f>IF(COUNTIFS('50_发布会逐项主张'!$H$6:$H$137,A58,'50_发布会逐项主张'!$X$6:$X$137,"&lt;&gt;NONE")&gt;0,"CONFLICTED","NONE")</x:f>
        <x:v>NONE</x:v>
      </x:c>
    </x:row>
    <x:row r="59" ht="48" customHeight="1">
      <x:c r="A59" s="369" t="str">
        <x:v>privacy_curtains</x:v>
      </x:c>
      <x:c r="B59" s="369" t="str">
        <x:v>ACCESSORY</x:v>
      </x:c>
      <x:c r="C59" s="369" t="str">
        <x:f>IF(COUNTIFS('51_版本配置事实'!$B$6:$B$127,"PC-N70-BASE-CAND",'51_版本配置事实'!$C$6:$C$127,$A59,'51_版本配置事实'!$T$6:$T$127,"&lt;&gt;NONE")&gt;0,"CONFLICTED",IF(COUNTIFS('51_版本配置事实'!$B$6:$B$127,"PC-N70-BASE-CAND",'51_版本配置事实'!$C$6:$C$127,$A59,'51_版本配置事实'!$I$6:$I$127,"STANDARD_AT_RELEASE")&gt;0,"STANDARD_AT_RELEASE",IF(COUNTIFS('51_版本配置事实'!$B$6:$B$127,"PC-N70-BASE-CAND",'51_版本配置事实'!$C$6:$C$127,$A59,'51_版本配置事实'!$I$6:$I$127,"OPTIONAL_AT_RELEASE")&gt;0,"OPTIONAL_AT_RELEASE",IF(COUNTIFS('51_版本配置事实'!$B$6:$B$127,"PC-N70-BASE-CAND",'51_版本配置事实'!$C$6:$C$127,$A59,'51_版本配置事实'!$I$6:$I$127,"SEPARATE_PURCHASE")&gt;0,"SEPARATE_PURCHASE",IF(COUNTIFS('51_版本配置事实'!$B$6:$B$127,"PC-N70-BASE-CAND",'51_版本配置事实'!$C$6:$C$127,$A59,'51_版本配置事实'!$I$6:$I$127,"EQUIPPED_STANDARD_UNCONFIRMED")&gt;0,"EQUIPPED_STANDARD_UNCONFIRMED",IF(COUNTIFS('51_版本配置事实'!$B$6:$B$127,"PC-N70-BASE-CAND",'51_版本配置事实'!$C$6:$C$127,$A59,'51_版本配置事实'!$I$6:$I$127,"SERIES_CAPABILITY")&gt;0,"SERIES_CAPABILITY",IF(COUNTIFS('51_版本配置事实'!$B$6:$B$127,"PC-N70-BASE-CAND",'51_版本配置事实'!$C$6:$C$127,$A59,'51_版本配置事实'!$I$6:$I$127,"NOT_DISCLOSED")&gt;0,"NOT_DISCLOSED","NOT_DISCLOSED")))))))</x:f>
        <x:v>NOT_DISCLOSED</x:v>
      </x:c>
      <x:c r="D59" s="369" t="str">
        <x:f>IF(COUNTIFS('51_版本配置事实'!$B$6:$B$127,"PC-N70-BASE-CAND",'51_版本配置事实'!$C$6:$C$127,$A59,'51_版本配置事实'!$J$6:$J$127,"STANDARD_CURRENT")&gt;0,"STANDARD_CURRENT","NOT_EVIDENCED")</x:f>
        <x:v>NOT_EVIDENCED</x:v>
      </x:c>
      <x:c r="E59" s="369" t="str">
        <x:f>IF(COUNTIFS('51_版本配置事实'!$B$6:$B$127,"PC-N70-MAX-CAND",'51_版本配置事实'!$C$6:$C$127,$A59,'51_版本配置事实'!$T$6:$T$127,"&lt;&gt;NONE")&gt;0,"CONFLICTED",IF(COUNTIFS('51_版本配置事实'!$B$6:$B$127,"PC-N70-MAX-CAND",'51_版本配置事实'!$C$6:$C$127,$A59,'51_版本配置事实'!$I$6:$I$127,"STANDARD_AT_RELEASE")&gt;0,"STANDARD_AT_RELEASE",IF(COUNTIFS('51_版本配置事实'!$B$6:$B$127,"PC-N70-MAX-CAND",'51_版本配置事实'!$C$6:$C$127,$A59,'51_版本配置事实'!$I$6:$I$127,"OPTIONAL_AT_RELEASE")&gt;0,"OPTIONAL_AT_RELEASE",IF(COUNTIFS('51_版本配置事实'!$B$6:$B$127,"PC-N70-MAX-CAND",'51_版本配置事实'!$C$6:$C$127,$A59,'51_版本配置事实'!$I$6:$I$127,"SEPARATE_PURCHASE")&gt;0,"SEPARATE_PURCHASE",IF(COUNTIFS('51_版本配置事实'!$B$6:$B$127,"PC-N70-MAX-CAND",'51_版本配置事实'!$C$6:$C$127,$A59,'51_版本配置事实'!$I$6:$I$127,"EQUIPPED_STANDARD_UNCONFIRMED")&gt;0,"EQUIPPED_STANDARD_UNCONFIRMED",IF(COUNTIFS('51_版本配置事实'!$B$6:$B$127,"PC-N70-MAX-CAND",'51_版本配置事实'!$C$6:$C$127,$A59,'51_版本配置事实'!$I$6:$I$127,"SERIES_CAPABILITY")&gt;0,"SERIES_CAPABILITY",IF(COUNTIFS('51_版本配置事实'!$B$6:$B$127,"PC-N70-MAX-CAND",'51_版本配置事实'!$C$6:$C$127,$A59,'51_版本配置事实'!$I$6:$I$127,"NOT_DISCLOSED")&gt;0,"NOT_DISCLOSED","NOT_DISCLOSED")))))))</x:f>
        <x:v>NOT_DISCLOSED</x:v>
      </x:c>
      <x:c r="F59" s="369" t="str">
        <x:f>IF(COUNTIFS('51_版本配置事实'!$B$6:$B$127,"PC-N70-MAX-CAND",'51_版本配置事实'!$C$6:$C$127,$A59,'51_版本配置事实'!$J$6:$J$127,"STANDARD_CURRENT")&gt;0,"STANDARD_CURRENT","NOT_EVIDENCED")</x:f>
        <x:v>NOT_EVIDENCED</x:v>
      </x:c>
      <x:c r="G59" s="369" t="str">
        <x:f>IF(COUNTIFS('51_版本配置事实'!$B$6:$B$127,"PC-N90-MAX-CAND",'51_版本配置事实'!$C$6:$C$127,$A59,'51_版本配置事实'!$T$6:$T$127,"&lt;&gt;NONE")&gt;0,"CONFLICTED",IF(COUNTIFS('51_版本配置事实'!$B$6:$B$127,"PC-N90-MAX-CAND",'51_版本配置事实'!$C$6:$C$127,$A59,'51_版本配置事实'!$I$6:$I$127,"STANDARD_AT_RELEASE")&gt;0,"STANDARD_AT_RELEASE",IF(COUNTIFS('51_版本配置事实'!$B$6:$B$127,"PC-N90-MAX-CAND",'51_版本配置事实'!$C$6:$C$127,$A59,'51_版本配置事实'!$I$6:$I$127,"OPTIONAL_AT_RELEASE")&gt;0,"OPTIONAL_AT_RELEASE",IF(COUNTIFS('51_版本配置事实'!$B$6:$B$127,"PC-N90-MAX-CAND",'51_版本配置事实'!$C$6:$C$127,$A59,'51_版本配置事实'!$I$6:$I$127,"SEPARATE_PURCHASE")&gt;0,"SEPARATE_PURCHASE",IF(COUNTIFS('51_版本配置事实'!$B$6:$B$127,"PC-N90-MAX-CAND",'51_版本配置事实'!$C$6:$C$127,$A59,'51_版本配置事实'!$I$6:$I$127,"EQUIPPED_STANDARD_UNCONFIRMED")&gt;0,"EQUIPPED_STANDARD_UNCONFIRMED",IF(COUNTIFS('51_版本配置事实'!$B$6:$B$127,"PC-N90-MAX-CAND",'51_版本配置事实'!$C$6:$C$127,$A59,'51_版本配置事实'!$I$6:$I$127,"SERIES_CAPABILITY")&gt;0,"SERIES_CAPABILITY",IF(COUNTIFS('51_版本配置事实'!$B$6:$B$127,"PC-N90-MAX-CAND",'51_版本配置事实'!$C$6:$C$127,$A59,'51_版本配置事实'!$I$6:$I$127,"NOT_DISCLOSED")&gt;0,"NOT_DISCLOSED","NOT_DISCLOSED")))))))</x:f>
        <x:v>SEPARATE_PURCHASE</x:v>
      </x:c>
      <x:c r="H59" s="369" t="str">
        <x:f>IF(COUNTIFS('51_版本配置事实'!$B$6:$B$127,"PC-N90-MAX-CAND",'51_版本配置事实'!$C$6:$C$127,$A59,'51_版本配置事实'!$J$6:$J$127,"STANDARD_CURRENT")&gt;0,"STANDARD_CURRENT","NOT_EVIDENCED")</x:f>
        <x:v>NOT_EVIDENCED</x:v>
      </x:c>
      <x:c r="I59" s="369" t="str">
        <x:f>IF(COUNTIFS('51_版本配置事实'!$B$6:$B$127,"PC-N90-ROOF-CAND",'51_版本配置事实'!$C$6:$C$127,$A59,'51_版本配置事实'!$T$6:$T$127,"&lt;&gt;NONE")&gt;0,"CONFLICTED",IF(COUNTIFS('51_版本配置事实'!$B$6:$B$127,"PC-N90-ROOF-CAND",'51_版本配置事实'!$C$6:$C$127,$A59,'51_版本配置事实'!$I$6:$I$127,"STANDARD_AT_RELEASE")&gt;0,"STANDARD_AT_RELEASE",IF(COUNTIFS('51_版本配置事实'!$B$6:$B$127,"PC-N90-ROOF-CAND",'51_版本配置事实'!$C$6:$C$127,$A59,'51_版本配置事实'!$I$6:$I$127,"OPTIONAL_AT_RELEASE")&gt;0,"OPTIONAL_AT_RELEASE",IF(COUNTIFS('51_版本配置事实'!$B$6:$B$127,"PC-N90-ROOF-CAND",'51_版本配置事实'!$C$6:$C$127,$A59,'51_版本配置事实'!$I$6:$I$127,"SEPARATE_PURCHASE")&gt;0,"SEPARATE_PURCHASE",IF(COUNTIFS('51_版本配置事实'!$B$6:$B$127,"PC-N90-ROOF-CAND",'51_版本配置事实'!$C$6:$C$127,$A59,'51_版本配置事实'!$I$6:$I$127,"EQUIPPED_STANDARD_UNCONFIRMED")&gt;0,"EQUIPPED_STANDARD_UNCONFIRMED",IF(COUNTIFS('51_版本配置事实'!$B$6:$B$127,"PC-N90-ROOF-CAND",'51_版本配置事实'!$C$6:$C$127,$A59,'51_版本配置事实'!$I$6:$I$127,"SERIES_CAPABILITY")&gt;0,"SERIES_CAPABILITY",IF(COUNTIFS('51_版本配置事实'!$B$6:$B$127,"PC-N90-ROOF-CAND",'51_版本配置事实'!$C$6:$C$127,$A59,'51_版本配置事实'!$I$6:$I$127,"NOT_DISCLOSED")&gt;0,"NOT_DISCLOSED","NOT_DISCLOSED")))))))</x:f>
        <x:v>NOT_DISCLOSED</x:v>
      </x:c>
      <x:c r="J59" s="369" t="str">
        <x:f>IF(COUNTIFS('51_版本配置事实'!$B$6:$B$127,"PC-N90-ROOF-CAND",'51_版本配置事实'!$C$6:$C$127,$A59,'51_版本配置事实'!$J$6:$J$127,"STANDARD_CURRENT")&gt;0,"STANDARD_CURRENT","NOT_EVIDENCED")</x:f>
        <x:v>NOT_EVIDENCED</x:v>
      </x:c>
      <x:c r="K59" s="369" t="str">
        <x:f>IF(AND(E59=G59,E59&lt;&gt;"NOT_DISCLOSED",E59&lt;&gt;"CONFLICTED"),IF(COUNTIFS('50_发布会逐项主张'!$H$6:$H$137,$A59,'50_发布会逐项主张'!$O$6:$O$137,"ALL_PENGCHENG")&gt;0,"EXPLICIT_COMMON_ANNOUNCED_MAX","MATCHED_NOT_PROVED_COMMON"),"NOT_PROVED_COMMON")</x:f>
        <x:v>NOT_PROVED_COMMON</x:v>
      </x:c>
      <x:c r="L59" s="369" t="str">
        <x:f>IF(OR(C59="NOT_DISCLOSED",E59="NOT_DISCLOSED",C59="CONFLICTED",E59="CONFLICTED"),"UNRESOLVED",IF(C59=E59,"NO_CHANGE",IF(AND(C59="STANDARD_AT_RELEASE",E59="OPTIONAL_AT_RELEASE"),"STANDARD_TO_OPTIONAL",IF(AND(C59="OPTIONAL_AT_RELEASE",E59="STANDARD_AT_RELEASE"),"OPTIONAL_TO_STANDARD",IF(E59="STANDARD_AT_RELEASE","ADDED_STANDARD","REVIEW_CHANGE")))))</x:f>
        <x:v>UNRESOLVED</x:v>
      </x:c>
      <x:c r="M59" s="369" t="str">
        <x:f>IF(OR(E59="NOT_DISCLOSED",G59="NOT_DISCLOSED",E59="CONFLICTED",G59="CONFLICTED"),"UNRESOLVED",IF(E59=G59,"NO_CHANGE",IF(AND(E59="STANDARD_AT_RELEASE",G59="OPTIONAL_AT_RELEASE"),"STANDARD_TO_OPTIONAL",IF(AND(E59="OPTIONAL_AT_RELEASE",G59="STANDARD_AT_RELEASE"),"OPTIONAL_TO_STANDARD",IF(G59="STANDARD_AT_RELEASE","ADDED_STANDARD","REVIEW_CHANGE")))))</x:f>
        <x:v>UNRESOLVED</x:v>
      </x:c>
      <x:c r="N59" s="369" t="str">
        <x:f>IF(OR(G59="NOT_DISCLOSED",I59="NOT_DISCLOSED",G59="CONFLICTED",I59="CONFLICTED"),"UNRESOLVED",IF(G59=I59,"NO_CHANGE",IF(AND(G59="STANDARD_AT_RELEASE",I59="OPTIONAL_AT_RELEASE"),"STANDARD_TO_OPTIONAL",IF(AND(G59="OPTIONAL_AT_RELEASE",I59="STANDARD_AT_RELEASE"),"OPTIONAL_TO_STANDARD",IF(I59="STANDARD_AT_RELEASE","ADDED_STANDARD","REVIEW_CHANGE")))))</x:f>
        <x:v>UNRESOLVED</x:v>
      </x:c>
      <x:c r="O59" s="369" t="str">
        <x:v>OPTIONS_ACCESSORIES</x:v>
      </x:c>
      <x:c r="P59" s="369" t="str">
        <x:v>DC_ACCESSORY_privacy_curtains</x:v>
      </x:c>
      <x:c r="Q59" s="369" t="n">
        <x:f>COUNTIF('50_发布会逐项主张'!$H$6:$H$137,A59)</x:f>
        <x:v>1</x:v>
      </x:c>
      <x:c r="R59" s="369" t="str">
        <x:f>IF(COUNTIFS('50_发布会逐项主张'!$H$6:$H$137,A59,'50_发布会逐项主张'!$X$6:$X$137,"&lt;&gt;NONE")&gt;0,"CONFLICTED","NONE")</x:f>
        <x:v>NONE</x:v>
      </x:c>
    </x:row>
    <x:row r="60" ht="48" customHeight="1">
      <x:c r="A60" s="19" t="str">
        <x:v>rear_entertainment_screen</x:v>
      </x:c>
      <x:c r="B60" s="19" t="str">
        <x:v>CABIN</x:v>
      </x:c>
      <x:c r="C60" s="19" t="str">
        <x:f>IF(COUNTIFS('51_版本配置事实'!$B$6:$B$127,"PC-N70-BASE-CAND",'51_版本配置事实'!$C$6:$C$127,$A60,'51_版本配置事实'!$T$6:$T$127,"&lt;&gt;NONE")&gt;0,"CONFLICTED",IF(COUNTIFS('51_版本配置事实'!$B$6:$B$127,"PC-N70-BASE-CAND",'51_版本配置事实'!$C$6:$C$127,$A60,'51_版本配置事实'!$I$6:$I$127,"STANDARD_AT_RELEASE")&gt;0,"STANDARD_AT_RELEASE",IF(COUNTIFS('51_版本配置事实'!$B$6:$B$127,"PC-N70-BASE-CAND",'51_版本配置事实'!$C$6:$C$127,$A60,'51_版本配置事实'!$I$6:$I$127,"OPTIONAL_AT_RELEASE")&gt;0,"OPTIONAL_AT_RELEASE",IF(COUNTIFS('51_版本配置事实'!$B$6:$B$127,"PC-N70-BASE-CAND",'51_版本配置事实'!$C$6:$C$127,$A60,'51_版本配置事实'!$I$6:$I$127,"SEPARATE_PURCHASE")&gt;0,"SEPARATE_PURCHASE",IF(COUNTIFS('51_版本配置事实'!$B$6:$B$127,"PC-N70-BASE-CAND",'51_版本配置事实'!$C$6:$C$127,$A60,'51_版本配置事实'!$I$6:$I$127,"EQUIPPED_STANDARD_UNCONFIRMED")&gt;0,"EQUIPPED_STANDARD_UNCONFIRMED",IF(COUNTIFS('51_版本配置事实'!$B$6:$B$127,"PC-N70-BASE-CAND",'51_版本配置事实'!$C$6:$C$127,$A60,'51_版本配置事实'!$I$6:$I$127,"SERIES_CAPABILITY")&gt;0,"SERIES_CAPABILITY",IF(COUNTIFS('51_版本配置事实'!$B$6:$B$127,"PC-N70-BASE-CAND",'51_版本配置事实'!$C$6:$C$127,$A60,'51_版本配置事实'!$I$6:$I$127,"NOT_DISCLOSED")&gt;0,"NOT_DISCLOSED","NOT_DISCLOSED")))))))</x:f>
        <x:v>NOT_DISCLOSED</x:v>
      </x:c>
      <x:c r="D60" s="19" t="str">
        <x:f>IF(COUNTIFS('51_版本配置事实'!$B$6:$B$127,"PC-N70-BASE-CAND",'51_版本配置事实'!$C$6:$C$127,$A60,'51_版本配置事实'!$J$6:$J$127,"STANDARD_CURRENT")&gt;0,"STANDARD_CURRENT","NOT_EVIDENCED")</x:f>
        <x:v>NOT_EVIDENCED</x:v>
      </x:c>
      <x:c r="E60" s="19" t="str">
        <x:f>IF(COUNTIFS('51_版本配置事实'!$B$6:$B$127,"PC-N70-MAX-CAND",'51_版本配置事实'!$C$6:$C$127,$A60,'51_版本配置事实'!$T$6:$T$127,"&lt;&gt;NONE")&gt;0,"CONFLICTED",IF(COUNTIFS('51_版本配置事实'!$B$6:$B$127,"PC-N70-MAX-CAND",'51_版本配置事实'!$C$6:$C$127,$A60,'51_版本配置事实'!$I$6:$I$127,"STANDARD_AT_RELEASE")&gt;0,"STANDARD_AT_RELEASE",IF(COUNTIFS('51_版本配置事实'!$B$6:$B$127,"PC-N70-MAX-CAND",'51_版本配置事实'!$C$6:$C$127,$A60,'51_版本配置事实'!$I$6:$I$127,"OPTIONAL_AT_RELEASE")&gt;0,"OPTIONAL_AT_RELEASE",IF(COUNTIFS('51_版本配置事实'!$B$6:$B$127,"PC-N70-MAX-CAND",'51_版本配置事实'!$C$6:$C$127,$A60,'51_版本配置事实'!$I$6:$I$127,"SEPARATE_PURCHASE")&gt;0,"SEPARATE_PURCHASE",IF(COUNTIFS('51_版本配置事实'!$B$6:$B$127,"PC-N70-MAX-CAND",'51_版本配置事实'!$C$6:$C$127,$A60,'51_版本配置事实'!$I$6:$I$127,"EQUIPPED_STANDARD_UNCONFIRMED")&gt;0,"EQUIPPED_STANDARD_UNCONFIRMED",IF(COUNTIFS('51_版本配置事实'!$B$6:$B$127,"PC-N70-MAX-CAND",'51_版本配置事实'!$C$6:$C$127,$A60,'51_版本配置事实'!$I$6:$I$127,"SERIES_CAPABILITY")&gt;0,"SERIES_CAPABILITY",IF(COUNTIFS('51_版本配置事实'!$B$6:$B$127,"PC-N70-MAX-CAND",'51_版本配置事实'!$C$6:$C$127,$A60,'51_版本配置事实'!$I$6:$I$127,"NOT_DISCLOSED")&gt;0,"NOT_DISCLOSED","NOT_DISCLOSED")))))))</x:f>
        <x:v>NOT_DISCLOSED</x:v>
      </x:c>
      <x:c r="F60" s="19" t="str">
        <x:f>IF(COUNTIFS('51_版本配置事实'!$B$6:$B$127,"PC-N70-MAX-CAND",'51_版本配置事实'!$C$6:$C$127,$A60,'51_版本配置事实'!$J$6:$J$127,"STANDARD_CURRENT")&gt;0,"STANDARD_CURRENT","NOT_EVIDENCED")</x:f>
        <x:v>NOT_EVIDENCED</x:v>
      </x:c>
      <x:c r="G60" s="19" t="str">
        <x:f>IF(COUNTIFS('51_版本配置事实'!$B$6:$B$127,"PC-N90-MAX-CAND",'51_版本配置事实'!$C$6:$C$127,$A60,'51_版本配置事实'!$T$6:$T$127,"&lt;&gt;NONE")&gt;0,"CONFLICTED",IF(COUNTIFS('51_版本配置事实'!$B$6:$B$127,"PC-N90-MAX-CAND",'51_版本配置事实'!$C$6:$C$127,$A60,'51_版本配置事实'!$I$6:$I$127,"STANDARD_AT_RELEASE")&gt;0,"STANDARD_AT_RELEASE",IF(COUNTIFS('51_版本配置事实'!$B$6:$B$127,"PC-N90-MAX-CAND",'51_版本配置事实'!$C$6:$C$127,$A60,'51_版本配置事实'!$I$6:$I$127,"OPTIONAL_AT_RELEASE")&gt;0,"OPTIONAL_AT_RELEASE",IF(COUNTIFS('51_版本配置事实'!$B$6:$B$127,"PC-N90-MAX-CAND",'51_版本配置事实'!$C$6:$C$127,$A60,'51_版本配置事实'!$I$6:$I$127,"SEPARATE_PURCHASE")&gt;0,"SEPARATE_PURCHASE",IF(COUNTIFS('51_版本配置事实'!$B$6:$B$127,"PC-N90-MAX-CAND",'51_版本配置事实'!$C$6:$C$127,$A60,'51_版本配置事实'!$I$6:$I$127,"EQUIPPED_STANDARD_UNCONFIRMED")&gt;0,"EQUIPPED_STANDARD_UNCONFIRMED",IF(COUNTIFS('51_版本配置事实'!$B$6:$B$127,"PC-N90-MAX-CAND",'51_版本配置事实'!$C$6:$C$127,$A60,'51_版本配置事实'!$I$6:$I$127,"SERIES_CAPABILITY")&gt;0,"SERIES_CAPABILITY",IF(COUNTIFS('51_版本配置事实'!$B$6:$B$127,"PC-N90-MAX-CAND",'51_版本配置事实'!$C$6:$C$127,$A60,'51_版本配置事实'!$I$6:$I$127,"NOT_DISCLOSED")&gt;0,"NOT_DISCLOSED","NOT_DISCLOSED")))))))</x:f>
        <x:v>NOT_DISCLOSED</x:v>
      </x:c>
      <x:c r="H60" s="19" t="str">
        <x:f>IF(COUNTIFS('51_版本配置事实'!$B$6:$B$127,"PC-N90-MAX-CAND",'51_版本配置事实'!$C$6:$C$127,$A60,'51_版本配置事实'!$J$6:$J$127,"STANDARD_CURRENT")&gt;0,"STANDARD_CURRENT","NOT_EVIDENCED")</x:f>
        <x:v>NOT_EVIDENCED</x:v>
      </x:c>
      <x:c r="I60" s="19" t="str">
        <x:f>IF(COUNTIFS('51_版本配置事实'!$B$6:$B$127,"PC-N90-ROOF-CAND",'51_版本配置事实'!$C$6:$C$127,$A60,'51_版本配置事实'!$T$6:$T$127,"&lt;&gt;NONE")&gt;0,"CONFLICTED",IF(COUNTIFS('51_版本配置事实'!$B$6:$B$127,"PC-N90-ROOF-CAND",'51_版本配置事实'!$C$6:$C$127,$A60,'51_版本配置事实'!$I$6:$I$127,"STANDARD_AT_RELEASE")&gt;0,"STANDARD_AT_RELEASE",IF(COUNTIFS('51_版本配置事实'!$B$6:$B$127,"PC-N90-ROOF-CAND",'51_版本配置事实'!$C$6:$C$127,$A60,'51_版本配置事实'!$I$6:$I$127,"OPTIONAL_AT_RELEASE")&gt;0,"OPTIONAL_AT_RELEASE",IF(COUNTIFS('51_版本配置事实'!$B$6:$B$127,"PC-N90-ROOF-CAND",'51_版本配置事实'!$C$6:$C$127,$A60,'51_版本配置事实'!$I$6:$I$127,"SEPARATE_PURCHASE")&gt;0,"SEPARATE_PURCHASE",IF(COUNTIFS('51_版本配置事实'!$B$6:$B$127,"PC-N90-ROOF-CAND",'51_版本配置事实'!$C$6:$C$127,$A60,'51_版本配置事实'!$I$6:$I$127,"EQUIPPED_STANDARD_UNCONFIRMED")&gt;0,"EQUIPPED_STANDARD_UNCONFIRMED",IF(COUNTIFS('51_版本配置事实'!$B$6:$B$127,"PC-N90-ROOF-CAND",'51_版本配置事实'!$C$6:$C$127,$A60,'51_版本配置事实'!$I$6:$I$127,"SERIES_CAPABILITY")&gt;0,"SERIES_CAPABILITY",IF(COUNTIFS('51_版本配置事实'!$B$6:$B$127,"PC-N90-ROOF-CAND",'51_版本配置事实'!$C$6:$C$127,$A60,'51_版本配置事实'!$I$6:$I$127,"NOT_DISCLOSED")&gt;0,"NOT_DISCLOSED","NOT_DISCLOSED")))))))</x:f>
        <x:v>NOT_DISCLOSED</x:v>
      </x:c>
      <x:c r="J60" s="19" t="str">
        <x:f>IF(COUNTIFS('51_版本配置事实'!$B$6:$B$127,"PC-N90-ROOF-CAND",'51_版本配置事实'!$C$6:$C$127,$A60,'51_版本配置事实'!$J$6:$J$127,"STANDARD_CURRENT")&gt;0,"STANDARD_CURRENT","NOT_EVIDENCED")</x:f>
        <x:v>NOT_EVIDENCED</x:v>
      </x:c>
      <x:c r="K60" s="19" t="str">
        <x:f>IF(AND(E60=G60,E60&lt;&gt;"NOT_DISCLOSED",E60&lt;&gt;"CONFLICTED"),IF(COUNTIFS('50_发布会逐项主张'!$H$6:$H$137,$A60,'50_发布会逐项主张'!$O$6:$O$137,"ALL_PENGCHENG")&gt;0,"EXPLICIT_COMMON_ANNOUNCED_MAX","MATCHED_NOT_PROVED_COMMON"),"NOT_PROVED_COMMON")</x:f>
        <x:v>NOT_PROVED_COMMON</x:v>
      </x:c>
      <x:c r="L60" s="19" t="str">
        <x:f>IF(OR(C60="NOT_DISCLOSED",E60="NOT_DISCLOSED",C60="CONFLICTED",E60="CONFLICTED"),"UNRESOLVED",IF(C60=E60,"NO_CHANGE",IF(AND(C60="STANDARD_AT_RELEASE",E60="OPTIONAL_AT_RELEASE"),"STANDARD_TO_OPTIONAL",IF(AND(C60="OPTIONAL_AT_RELEASE",E60="STANDARD_AT_RELEASE"),"OPTIONAL_TO_STANDARD",IF(E60="STANDARD_AT_RELEASE","ADDED_STANDARD","REVIEW_CHANGE")))))</x:f>
        <x:v>UNRESOLVED</x:v>
      </x:c>
      <x:c r="M60" s="19" t="str">
        <x:f>IF(OR(E60="NOT_DISCLOSED",G60="NOT_DISCLOSED",E60="CONFLICTED",G60="CONFLICTED"),"UNRESOLVED",IF(E60=G60,"NO_CHANGE",IF(AND(E60="STANDARD_AT_RELEASE",G60="OPTIONAL_AT_RELEASE"),"STANDARD_TO_OPTIONAL",IF(AND(E60="OPTIONAL_AT_RELEASE",G60="STANDARD_AT_RELEASE"),"OPTIONAL_TO_STANDARD",IF(G60="STANDARD_AT_RELEASE","ADDED_STANDARD","REVIEW_CHANGE")))))</x:f>
        <x:v>UNRESOLVED</x:v>
      </x:c>
      <x:c r="N60" s="19" t="str">
        <x:f>IF(OR(G60="NOT_DISCLOSED",I60="NOT_DISCLOSED",G60="CONFLICTED",I60="CONFLICTED"),"UNRESOLVED",IF(G60=I60,"NO_CHANGE",IF(AND(G60="STANDARD_AT_RELEASE",I60="OPTIONAL_AT_RELEASE"),"STANDARD_TO_OPTIONAL",IF(AND(G60="OPTIONAL_AT_RELEASE",I60="STANDARD_AT_RELEASE"),"OPTIONAL_TO_STANDARD",IF(I60="STANDARD_AT_RELEASE","ADDED_STANDARD","REVIEW_CHANGE")))))</x:f>
        <x:v>UNRESOLVED</x:v>
      </x:c>
      <x:c r="O60" s="19" t="str">
        <x:v>CABIN_COMFORT</x:v>
      </x:c>
      <x:c r="P60" s="19" t="str">
        <x:v>DC_CABIN_rear_entertainment_screen</x:v>
      </x:c>
      <x:c r="Q60" s="19" t="n">
        <x:f>COUNTIF('50_发布会逐项主张'!$H$6:$H$137,A60)</x:f>
        <x:v>1</x:v>
      </x:c>
      <x:c r="R60" s="19" t="str">
        <x:f>IF(COUNTIFS('50_发布会逐项主张'!$H$6:$H$137,A60,'50_发布会逐项主张'!$X$6:$X$137,"&lt;&gt;NONE")&gt;0,"CONFLICTED","NONE")</x:f>
        <x:v>NONE</x:v>
      </x:c>
    </x:row>
    <x:row r="61" ht="48" customHeight="1">
      <x:c r="A61" s="369" t="str">
        <x:v>rear_solid_state_lidar</x:v>
      </x:c>
      <x:c r="B61" s="369" t="str">
        <x:v>ADAS</x:v>
      </x:c>
      <x:c r="C61" s="369" t="str">
        <x:f>IF(COUNTIFS('51_版本配置事实'!$B$6:$B$127,"PC-N70-BASE-CAND",'51_版本配置事实'!$C$6:$C$127,$A61,'51_版本配置事实'!$T$6:$T$127,"&lt;&gt;NONE")&gt;0,"CONFLICTED",IF(COUNTIFS('51_版本配置事实'!$B$6:$B$127,"PC-N70-BASE-CAND",'51_版本配置事实'!$C$6:$C$127,$A61,'51_版本配置事实'!$I$6:$I$127,"STANDARD_AT_RELEASE")&gt;0,"STANDARD_AT_RELEASE",IF(COUNTIFS('51_版本配置事实'!$B$6:$B$127,"PC-N70-BASE-CAND",'51_版本配置事实'!$C$6:$C$127,$A61,'51_版本配置事实'!$I$6:$I$127,"OPTIONAL_AT_RELEASE")&gt;0,"OPTIONAL_AT_RELEASE",IF(COUNTIFS('51_版本配置事实'!$B$6:$B$127,"PC-N70-BASE-CAND",'51_版本配置事实'!$C$6:$C$127,$A61,'51_版本配置事实'!$I$6:$I$127,"SEPARATE_PURCHASE")&gt;0,"SEPARATE_PURCHASE",IF(COUNTIFS('51_版本配置事实'!$B$6:$B$127,"PC-N70-BASE-CAND",'51_版本配置事实'!$C$6:$C$127,$A61,'51_版本配置事实'!$I$6:$I$127,"EQUIPPED_STANDARD_UNCONFIRMED")&gt;0,"EQUIPPED_STANDARD_UNCONFIRMED",IF(COUNTIFS('51_版本配置事实'!$B$6:$B$127,"PC-N70-BASE-CAND",'51_版本配置事实'!$C$6:$C$127,$A61,'51_版本配置事实'!$I$6:$I$127,"SERIES_CAPABILITY")&gt;0,"SERIES_CAPABILITY",IF(COUNTIFS('51_版本配置事实'!$B$6:$B$127,"PC-N70-BASE-CAND",'51_版本配置事实'!$C$6:$C$127,$A61,'51_版本配置事实'!$I$6:$I$127,"NOT_DISCLOSED")&gt;0,"NOT_DISCLOSED","NOT_DISCLOSED")))))))</x:f>
        <x:v>NOT_DISCLOSED</x:v>
      </x:c>
      <x:c r="D61" s="369" t="str">
        <x:f>IF(COUNTIFS('51_版本配置事实'!$B$6:$B$127,"PC-N70-BASE-CAND",'51_版本配置事实'!$C$6:$C$127,$A61,'51_版本配置事实'!$J$6:$J$127,"STANDARD_CURRENT")&gt;0,"STANDARD_CURRENT","NOT_EVIDENCED")</x:f>
        <x:v>NOT_EVIDENCED</x:v>
      </x:c>
      <x:c r="E61" s="369" t="str">
        <x:f>IF(COUNTIFS('51_版本配置事实'!$B$6:$B$127,"PC-N70-MAX-CAND",'51_版本配置事实'!$C$6:$C$127,$A61,'51_版本配置事实'!$T$6:$T$127,"&lt;&gt;NONE")&gt;0,"CONFLICTED",IF(COUNTIFS('51_版本配置事实'!$B$6:$B$127,"PC-N70-MAX-CAND",'51_版本配置事实'!$C$6:$C$127,$A61,'51_版本配置事实'!$I$6:$I$127,"STANDARD_AT_RELEASE")&gt;0,"STANDARD_AT_RELEASE",IF(COUNTIFS('51_版本配置事实'!$B$6:$B$127,"PC-N70-MAX-CAND",'51_版本配置事实'!$C$6:$C$127,$A61,'51_版本配置事实'!$I$6:$I$127,"OPTIONAL_AT_RELEASE")&gt;0,"OPTIONAL_AT_RELEASE",IF(COUNTIFS('51_版本配置事实'!$B$6:$B$127,"PC-N70-MAX-CAND",'51_版本配置事实'!$C$6:$C$127,$A61,'51_版本配置事实'!$I$6:$I$127,"SEPARATE_PURCHASE")&gt;0,"SEPARATE_PURCHASE",IF(COUNTIFS('51_版本配置事实'!$B$6:$B$127,"PC-N70-MAX-CAND",'51_版本配置事实'!$C$6:$C$127,$A61,'51_版本配置事实'!$I$6:$I$127,"EQUIPPED_STANDARD_UNCONFIRMED")&gt;0,"EQUIPPED_STANDARD_UNCONFIRMED",IF(COUNTIFS('51_版本配置事实'!$B$6:$B$127,"PC-N70-MAX-CAND",'51_版本配置事实'!$C$6:$C$127,$A61,'51_版本配置事实'!$I$6:$I$127,"SERIES_CAPABILITY")&gt;0,"SERIES_CAPABILITY",IF(COUNTIFS('51_版本配置事实'!$B$6:$B$127,"PC-N70-MAX-CAND",'51_版本配置事实'!$C$6:$C$127,$A61,'51_版本配置事实'!$I$6:$I$127,"NOT_DISCLOSED")&gt;0,"NOT_DISCLOSED","NOT_DISCLOSED")))))))</x:f>
        <x:v>NOT_DISCLOSED</x:v>
      </x:c>
      <x:c r="F61" s="369" t="str">
        <x:f>IF(COUNTIFS('51_版本配置事实'!$B$6:$B$127,"PC-N70-MAX-CAND",'51_版本配置事实'!$C$6:$C$127,$A61,'51_版本配置事实'!$J$6:$J$127,"STANDARD_CURRENT")&gt;0,"STANDARD_CURRENT","NOT_EVIDENCED")</x:f>
        <x:v>NOT_EVIDENCED</x:v>
      </x:c>
      <x:c r="G61" s="369" t="str">
        <x:f>IF(COUNTIFS('51_版本配置事实'!$B$6:$B$127,"PC-N90-MAX-CAND",'51_版本配置事实'!$C$6:$C$127,$A61,'51_版本配置事实'!$T$6:$T$127,"&lt;&gt;NONE")&gt;0,"CONFLICTED",IF(COUNTIFS('51_版本配置事实'!$B$6:$B$127,"PC-N90-MAX-CAND",'51_版本配置事实'!$C$6:$C$127,$A61,'51_版本配置事实'!$I$6:$I$127,"STANDARD_AT_RELEASE")&gt;0,"STANDARD_AT_RELEASE",IF(COUNTIFS('51_版本配置事实'!$B$6:$B$127,"PC-N90-MAX-CAND",'51_版本配置事实'!$C$6:$C$127,$A61,'51_版本配置事实'!$I$6:$I$127,"OPTIONAL_AT_RELEASE")&gt;0,"OPTIONAL_AT_RELEASE",IF(COUNTIFS('51_版本配置事实'!$B$6:$B$127,"PC-N90-MAX-CAND",'51_版本配置事实'!$C$6:$C$127,$A61,'51_版本配置事实'!$I$6:$I$127,"SEPARATE_PURCHASE")&gt;0,"SEPARATE_PURCHASE",IF(COUNTIFS('51_版本配置事实'!$B$6:$B$127,"PC-N90-MAX-CAND",'51_版本配置事实'!$C$6:$C$127,$A61,'51_版本配置事实'!$I$6:$I$127,"EQUIPPED_STANDARD_UNCONFIRMED")&gt;0,"EQUIPPED_STANDARD_UNCONFIRMED",IF(COUNTIFS('51_版本配置事实'!$B$6:$B$127,"PC-N90-MAX-CAND",'51_版本配置事实'!$C$6:$C$127,$A61,'51_版本配置事实'!$I$6:$I$127,"SERIES_CAPABILITY")&gt;0,"SERIES_CAPABILITY",IF(COUNTIFS('51_版本配置事实'!$B$6:$B$127,"PC-N90-MAX-CAND",'51_版本配置事实'!$C$6:$C$127,$A61,'51_版本配置事实'!$I$6:$I$127,"NOT_DISCLOSED")&gt;0,"NOT_DISCLOSED","NOT_DISCLOSED")))))))</x:f>
        <x:v>EQUIPPED_STANDARD_UNCONFIRMED</x:v>
      </x:c>
      <x:c r="H61" s="369" t="str">
        <x:f>IF(COUNTIFS('51_版本配置事实'!$B$6:$B$127,"PC-N90-MAX-CAND",'51_版本配置事实'!$C$6:$C$127,$A61,'51_版本配置事实'!$J$6:$J$127,"STANDARD_CURRENT")&gt;0,"STANDARD_CURRENT","NOT_EVIDENCED")</x:f>
        <x:v>NOT_EVIDENCED</x:v>
      </x:c>
      <x:c r="I61" s="369" t="str">
        <x:f>IF(COUNTIFS('51_版本配置事实'!$B$6:$B$127,"PC-N90-ROOF-CAND",'51_版本配置事实'!$C$6:$C$127,$A61,'51_版本配置事实'!$T$6:$T$127,"&lt;&gt;NONE")&gt;0,"CONFLICTED",IF(COUNTIFS('51_版本配置事实'!$B$6:$B$127,"PC-N90-ROOF-CAND",'51_版本配置事实'!$C$6:$C$127,$A61,'51_版本配置事实'!$I$6:$I$127,"STANDARD_AT_RELEASE")&gt;0,"STANDARD_AT_RELEASE",IF(COUNTIFS('51_版本配置事实'!$B$6:$B$127,"PC-N90-ROOF-CAND",'51_版本配置事实'!$C$6:$C$127,$A61,'51_版本配置事实'!$I$6:$I$127,"OPTIONAL_AT_RELEASE")&gt;0,"OPTIONAL_AT_RELEASE",IF(COUNTIFS('51_版本配置事实'!$B$6:$B$127,"PC-N90-ROOF-CAND",'51_版本配置事实'!$C$6:$C$127,$A61,'51_版本配置事实'!$I$6:$I$127,"SEPARATE_PURCHASE")&gt;0,"SEPARATE_PURCHASE",IF(COUNTIFS('51_版本配置事实'!$B$6:$B$127,"PC-N90-ROOF-CAND",'51_版本配置事实'!$C$6:$C$127,$A61,'51_版本配置事实'!$I$6:$I$127,"EQUIPPED_STANDARD_UNCONFIRMED")&gt;0,"EQUIPPED_STANDARD_UNCONFIRMED",IF(COUNTIFS('51_版本配置事实'!$B$6:$B$127,"PC-N90-ROOF-CAND",'51_版本配置事实'!$C$6:$C$127,$A61,'51_版本配置事实'!$I$6:$I$127,"SERIES_CAPABILITY")&gt;0,"SERIES_CAPABILITY",IF(COUNTIFS('51_版本配置事实'!$B$6:$B$127,"PC-N90-ROOF-CAND",'51_版本配置事实'!$C$6:$C$127,$A61,'51_版本配置事实'!$I$6:$I$127,"NOT_DISCLOSED")&gt;0,"NOT_DISCLOSED","NOT_DISCLOSED")))))))</x:f>
        <x:v>NOT_DISCLOSED</x:v>
      </x:c>
      <x:c r="J61" s="369" t="str">
        <x:f>IF(COUNTIFS('51_版本配置事实'!$B$6:$B$127,"PC-N90-ROOF-CAND",'51_版本配置事实'!$C$6:$C$127,$A61,'51_版本配置事实'!$J$6:$J$127,"STANDARD_CURRENT")&gt;0,"STANDARD_CURRENT","NOT_EVIDENCED")</x:f>
        <x:v>NOT_EVIDENCED</x:v>
      </x:c>
      <x:c r="K61" s="369" t="str">
        <x:f>IF(AND(E61=G61,E61&lt;&gt;"NOT_DISCLOSED",E61&lt;&gt;"CONFLICTED"),IF(COUNTIFS('50_发布会逐项主张'!$H$6:$H$137,$A61,'50_发布会逐项主张'!$O$6:$O$137,"ALL_PENGCHENG")&gt;0,"EXPLICIT_COMMON_ANNOUNCED_MAX","MATCHED_NOT_PROVED_COMMON"),"NOT_PROVED_COMMON")</x:f>
        <x:v>NOT_PROVED_COMMON</x:v>
      </x:c>
      <x:c r="L61" s="369" t="str">
        <x:f>IF(OR(C61="NOT_DISCLOSED",E61="NOT_DISCLOSED",C61="CONFLICTED",E61="CONFLICTED"),"UNRESOLVED",IF(C61=E61,"NO_CHANGE",IF(AND(C61="STANDARD_AT_RELEASE",E61="OPTIONAL_AT_RELEASE"),"STANDARD_TO_OPTIONAL",IF(AND(C61="OPTIONAL_AT_RELEASE",E61="STANDARD_AT_RELEASE"),"OPTIONAL_TO_STANDARD",IF(E61="STANDARD_AT_RELEASE","ADDED_STANDARD","REVIEW_CHANGE")))))</x:f>
        <x:v>UNRESOLVED</x:v>
      </x:c>
      <x:c r="M61" s="369" t="str">
        <x:f>IF(OR(E61="NOT_DISCLOSED",G61="NOT_DISCLOSED",E61="CONFLICTED",G61="CONFLICTED"),"UNRESOLVED",IF(E61=G61,"NO_CHANGE",IF(AND(E61="STANDARD_AT_RELEASE",G61="OPTIONAL_AT_RELEASE"),"STANDARD_TO_OPTIONAL",IF(AND(E61="OPTIONAL_AT_RELEASE",G61="STANDARD_AT_RELEASE"),"OPTIONAL_TO_STANDARD",IF(G61="STANDARD_AT_RELEASE","ADDED_STANDARD","REVIEW_CHANGE")))))</x:f>
        <x:v>UNRESOLVED</x:v>
      </x:c>
      <x:c r="N61" s="369" t="str">
        <x:f>IF(OR(G61="NOT_DISCLOSED",I61="NOT_DISCLOSED",G61="CONFLICTED",I61="CONFLICTED"),"UNRESOLVED",IF(G61=I61,"NO_CHANGE",IF(AND(G61="STANDARD_AT_RELEASE",I61="OPTIONAL_AT_RELEASE"),"STANDARD_TO_OPTIONAL",IF(AND(G61="OPTIONAL_AT_RELEASE",I61="STANDARD_AT_RELEASE"),"OPTIONAL_TO_STANDARD",IF(I61="STANDARD_AT_RELEASE","ADDED_STANDARD","REVIEW_CHANGE")))))</x:f>
        <x:v>UNRESOLVED</x:v>
      </x:c>
      <x:c r="O61" s="369" t="str">
        <x:v>INTELLIGENCE_EE</x:v>
      </x:c>
      <x:c r="P61" s="369" t="str">
        <x:v>DC_ADAS_STACK</x:v>
      </x:c>
      <x:c r="Q61" s="369" t="n">
        <x:f>COUNTIF('50_发布会逐项主张'!$H$6:$H$137,A61)</x:f>
        <x:v>2</x:v>
      </x:c>
      <x:c r="R61" s="369" t="str">
        <x:f>IF(COUNTIFS('50_发布会逐项主张'!$H$6:$H$137,A61,'50_发布会逐项主张'!$X$6:$X$137,"&lt;&gt;NONE")&gt;0,"CONFLICTED","NONE")</x:f>
        <x:v>NONE</x:v>
      </x:c>
    </x:row>
    <x:row r="62" ht="48" customHeight="1">
      <x:c r="A62" s="19" t="str">
        <x:v>roof_crush_load</x:v>
      </x:c>
      <x:c r="B62" s="19" t="str">
        <x:v>BODY_SAFETY</x:v>
      </x:c>
      <x:c r="C62" s="19" t="str">
        <x:f>IF(COUNTIFS('51_版本配置事实'!$B$6:$B$127,"PC-N70-BASE-CAND",'51_版本配置事实'!$C$6:$C$127,$A62,'51_版本配置事实'!$T$6:$T$127,"&lt;&gt;NONE")&gt;0,"CONFLICTED",IF(COUNTIFS('51_版本配置事实'!$B$6:$B$127,"PC-N70-BASE-CAND",'51_版本配置事实'!$C$6:$C$127,$A62,'51_版本配置事实'!$I$6:$I$127,"STANDARD_AT_RELEASE")&gt;0,"STANDARD_AT_RELEASE",IF(COUNTIFS('51_版本配置事实'!$B$6:$B$127,"PC-N70-BASE-CAND",'51_版本配置事实'!$C$6:$C$127,$A62,'51_版本配置事实'!$I$6:$I$127,"OPTIONAL_AT_RELEASE")&gt;0,"OPTIONAL_AT_RELEASE",IF(COUNTIFS('51_版本配置事实'!$B$6:$B$127,"PC-N70-BASE-CAND",'51_版本配置事实'!$C$6:$C$127,$A62,'51_版本配置事实'!$I$6:$I$127,"SEPARATE_PURCHASE")&gt;0,"SEPARATE_PURCHASE",IF(COUNTIFS('51_版本配置事实'!$B$6:$B$127,"PC-N70-BASE-CAND",'51_版本配置事实'!$C$6:$C$127,$A62,'51_版本配置事实'!$I$6:$I$127,"EQUIPPED_STANDARD_UNCONFIRMED")&gt;0,"EQUIPPED_STANDARD_UNCONFIRMED",IF(COUNTIFS('51_版本配置事实'!$B$6:$B$127,"PC-N70-BASE-CAND",'51_版本配置事实'!$C$6:$C$127,$A62,'51_版本配置事实'!$I$6:$I$127,"SERIES_CAPABILITY")&gt;0,"SERIES_CAPABILITY",IF(COUNTIFS('51_版本配置事实'!$B$6:$B$127,"PC-N70-BASE-CAND",'51_版本配置事实'!$C$6:$C$127,$A62,'51_版本配置事实'!$I$6:$I$127,"NOT_DISCLOSED")&gt;0,"NOT_DISCLOSED","NOT_DISCLOSED")))))))</x:f>
        <x:v>NOT_DISCLOSED</x:v>
      </x:c>
      <x:c r="D62" s="19" t="str">
        <x:f>IF(COUNTIFS('51_版本配置事实'!$B$6:$B$127,"PC-N70-BASE-CAND",'51_版本配置事实'!$C$6:$C$127,$A62,'51_版本配置事实'!$J$6:$J$127,"STANDARD_CURRENT")&gt;0,"STANDARD_CURRENT","NOT_EVIDENCED")</x:f>
        <x:v>NOT_EVIDENCED</x:v>
      </x:c>
      <x:c r="E62" s="19" t="str">
        <x:f>IF(COUNTIFS('51_版本配置事实'!$B$6:$B$127,"PC-N70-MAX-CAND",'51_版本配置事实'!$C$6:$C$127,$A62,'51_版本配置事实'!$T$6:$T$127,"&lt;&gt;NONE")&gt;0,"CONFLICTED",IF(COUNTIFS('51_版本配置事实'!$B$6:$B$127,"PC-N70-MAX-CAND",'51_版本配置事实'!$C$6:$C$127,$A62,'51_版本配置事实'!$I$6:$I$127,"STANDARD_AT_RELEASE")&gt;0,"STANDARD_AT_RELEASE",IF(COUNTIFS('51_版本配置事实'!$B$6:$B$127,"PC-N70-MAX-CAND",'51_版本配置事实'!$C$6:$C$127,$A62,'51_版本配置事实'!$I$6:$I$127,"OPTIONAL_AT_RELEASE")&gt;0,"OPTIONAL_AT_RELEASE",IF(COUNTIFS('51_版本配置事实'!$B$6:$B$127,"PC-N70-MAX-CAND",'51_版本配置事实'!$C$6:$C$127,$A62,'51_版本配置事实'!$I$6:$I$127,"SEPARATE_PURCHASE")&gt;0,"SEPARATE_PURCHASE",IF(COUNTIFS('51_版本配置事实'!$B$6:$B$127,"PC-N70-MAX-CAND",'51_版本配置事实'!$C$6:$C$127,$A62,'51_版本配置事实'!$I$6:$I$127,"EQUIPPED_STANDARD_UNCONFIRMED")&gt;0,"EQUIPPED_STANDARD_UNCONFIRMED",IF(COUNTIFS('51_版本配置事实'!$B$6:$B$127,"PC-N70-MAX-CAND",'51_版本配置事实'!$C$6:$C$127,$A62,'51_版本配置事实'!$I$6:$I$127,"SERIES_CAPABILITY")&gt;0,"SERIES_CAPABILITY",IF(COUNTIFS('51_版本配置事实'!$B$6:$B$127,"PC-N70-MAX-CAND",'51_版本配置事实'!$C$6:$C$127,$A62,'51_版本配置事实'!$I$6:$I$127,"NOT_DISCLOSED")&gt;0,"NOT_DISCLOSED","NOT_DISCLOSED")))))))</x:f>
        <x:v>NOT_DISCLOSED</x:v>
      </x:c>
      <x:c r="F62" s="19" t="str">
        <x:f>IF(COUNTIFS('51_版本配置事实'!$B$6:$B$127,"PC-N70-MAX-CAND",'51_版本配置事实'!$C$6:$C$127,$A62,'51_版本配置事实'!$J$6:$J$127,"STANDARD_CURRENT")&gt;0,"STANDARD_CURRENT","NOT_EVIDENCED")</x:f>
        <x:v>NOT_EVIDENCED</x:v>
      </x:c>
      <x:c r="G62" s="19" t="str">
        <x:f>IF(COUNTIFS('51_版本配置事实'!$B$6:$B$127,"PC-N90-MAX-CAND",'51_版本配置事实'!$C$6:$C$127,$A62,'51_版本配置事实'!$T$6:$T$127,"&lt;&gt;NONE")&gt;0,"CONFLICTED",IF(COUNTIFS('51_版本配置事实'!$B$6:$B$127,"PC-N90-MAX-CAND",'51_版本配置事实'!$C$6:$C$127,$A62,'51_版本配置事实'!$I$6:$I$127,"STANDARD_AT_RELEASE")&gt;0,"STANDARD_AT_RELEASE",IF(COUNTIFS('51_版本配置事实'!$B$6:$B$127,"PC-N90-MAX-CAND",'51_版本配置事实'!$C$6:$C$127,$A62,'51_版本配置事实'!$I$6:$I$127,"OPTIONAL_AT_RELEASE")&gt;0,"OPTIONAL_AT_RELEASE",IF(COUNTIFS('51_版本配置事实'!$B$6:$B$127,"PC-N90-MAX-CAND",'51_版本配置事实'!$C$6:$C$127,$A62,'51_版本配置事实'!$I$6:$I$127,"SEPARATE_PURCHASE")&gt;0,"SEPARATE_PURCHASE",IF(COUNTIFS('51_版本配置事实'!$B$6:$B$127,"PC-N90-MAX-CAND",'51_版本配置事实'!$C$6:$C$127,$A62,'51_版本配置事实'!$I$6:$I$127,"EQUIPPED_STANDARD_UNCONFIRMED")&gt;0,"EQUIPPED_STANDARD_UNCONFIRMED",IF(COUNTIFS('51_版本配置事实'!$B$6:$B$127,"PC-N90-MAX-CAND",'51_版本配置事实'!$C$6:$C$127,$A62,'51_版本配置事实'!$I$6:$I$127,"SERIES_CAPABILITY")&gt;0,"SERIES_CAPABILITY",IF(COUNTIFS('51_版本配置事实'!$B$6:$B$127,"PC-N90-MAX-CAND",'51_版本配置事实'!$C$6:$C$127,$A62,'51_版本配置事实'!$I$6:$I$127,"NOT_DISCLOSED")&gt;0,"NOT_DISCLOSED","NOT_DISCLOSED")))))))</x:f>
        <x:v>EQUIPPED_STANDARD_UNCONFIRMED</x:v>
      </x:c>
      <x:c r="H62" s="19" t="str">
        <x:f>IF(COUNTIFS('51_版本配置事实'!$B$6:$B$127,"PC-N90-MAX-CAND",'51_版本配置事实'!$C$6:$C$127,$A62,'51_版本配置事实'!$J$6:$J$127,"STANDARD_CURRENT")&gt;0,"STANDARD_CURRENT","NOT_EVIDENCED")</x:f>
        <x:v>NOT_EVIDENCED</x:v>
      </x:c>
      <x:c r="I62" s="19" t="str">
        <x:f>IF(COUNTIFS('51_版本配置事实'!$B$6:$B$127,"PC-N90-ROOF-CAND",'51_版本配置事实'!$C$6:$C$127,$A62,'51_版本配置事实'!$T$6:$T$127,"&lt;&gt;NONE")&gt;0,"CONFLICTED",IF(COUNTIFS('51_版本配置事实'!$B$6:$B$127,"PC-N90-ROOF-CAND",'51_版本配置事实'!$C$6:$C$127,$A62,'51_版本配置事实'!$I$6:$I$127,"STANDARD_AT_RELEASE")&gt;0,"STANDARD_AT_RELEASE",IF(COUNTIFS('51_版本配置事实'!$B$6:$B$127,"PC-N90-ROOF-CAND",'51_版本配置事实'!$C$6:$C$127,$A62,'51_版本配置事实'!$I$6:$I$127,"OPTIONAL_AT_RELEASE")&gt;0,"OPTIONAL_AT_RELEASE",IF(COUNTIFS('51_版本配置事实'!$B$6:$B$127,"PC-N90-ROOF-CAND",'51_版本配置事实'!$C$6:$C$127,$A62,'51_版本配置事实'!$I$6:$I$127,"SEPARATE_PURCHASE")&gt;0,"SEPARATE_PURCHASE",IF(COUNTIFS('51_版本配置事实'!$B$6:$B$127,"PC-N90-ROOF-CAND",'51_版本配置事实'!$C$6:$C$127,$A62,'51_版本配置事实'!$I$6:$I$127,"EQUIPPED_STANDARD_UNCONFIRMED")&gt;0,"EQUIPPED_STANDARD_UNCONFIRMED",IF(COUNTIFS('51_版本配置事实'!$B$6:$B$127,"PC-N90-ROOF-CAND",'51_版本配置事实'!$C$6:$C$127,$A62,'51_版本配置事实'!$I$6:$I$127,"SERIES_CAPABILITY")&gt;0,"SERIES_CAPABILITY",IF(COUNTIFS('51_版本配置事实'!$B$6:$B$127,"PC-N90-ROOF-CAND",'51_版本配置事实'!$C$6:$C$127,$A62,'51_版本配置事实'!$I$6:$I$127,"NOT_DISCLOSED")&gt;0,"NOT_DISCLOSED","NOT_DISCLOSED")))))))</x:f>
        <x:v>NOT_DISCLOSED</x:v>
      </x:c>
      <x:c r="J62" s="19" t="str">
        <x:f>IF(COUNTIFS('51_版本配置事实'!$B$6:$B$127,"PC-N90-ROOF-CAND",'51_版本配置事实'!$C$6:$C$127,$A62,'51_版本配置事实'!$J$6:$J$127,"STANDARD_CURRENT")&gt;0,"STANDARD_CURRENT","NOT_EVIDENCED")</x:f>
        <x:v>NOT_EVIDENCED</x:v>
      </x:c>
      <x:c r="K62" s="19" t="str">
        <x:f>IF(AND(E62=G62,E62&lt;&gt;"NOT_DISCLOSED",E62&lt;&gt;"CONFLICTED"),IF(COUNTIFS('50_发布会逐项主张'!$H$6:$H$137,$A62,'50_发布会逐项主张'!$O$6:$O$137,"ALL_PENGCHENG")&gt;0,"EXPLICIT_COMMON_ANNOUNCED_MAX","MATCHED_NOT_PROVED_COMMON"),"NOT_PROVED_COMMON")</x:f>
        <x:v>NOT_PROVED_COMMON</x:v>
      </x:c>
      <x:c r="L62" s="19" t="str">
        <x:f>IF(OR(C62="NOT_DISCLOSED",E62="NOT_DISCLOSED",C62="CONFLICTED",E62="CONFLICTED"),"UNRESOLVED",IF(C62=E62,"NO_CHANGE",IF(AND(C62="STANDARD_AT_RELEASE",E62="OPTIONAL_AT_RELEASE"),"STANDARD_TO_OPTIONAL",IF(AND(C62="OPTIONAL_AT_RELEASE",E62="STANDARD_AT_RELEASE"),"OPTIONAL_TO_STANDARD",IF(E62="STANDARD_AT_RELEASE","ADDED_STANDARD","REVIEW_CHANGE")))))</x:f>
        <x:v>UNRESOLVED</x:v>
      </x:c>
      <x:c r="M62" s="19" t="str">
        <x:f>IF(OR(E62="NOT_DISCLOSED",G62="NOT_DISCLOSED",E62="CONFLICTED",G62="CONFLICTED"),"UNRESOLVED",IF(E62=G62,"NO_CHANGE",IF(AND(E62="STANDARD_AT_RELEASE",G62="OPTIONAL_AT_RELEASE"),"STANDARD_TO_OPTIONAL",IF(AND(E62="OPTIONAL_AT_RELEASE",G62="STANDARD_AT_RELEASE"),"OPTIONAL_TO_STANDARD",IF(G62="STANDARD_AT_RELEASE","ADDED_STANDARD","REVIEW_CHANGE")))))</x:f>
        <x:v>UNRESOLVED</x:v>
      </x:c>
      <x:c r="N62" s="19" t="str">
        <x:f>IF(OR(G62="NOT_DISCLOSED",I62="NOT_DISCLOSED",G62="CONFLICTED",I62="CONFLICTED"),"UNRESOLVED",IF(G62=I62,"NO_CHANGE",IF(AND(G62="STANDARD_AT_RELEASE",I62="OPTIONAL_AT_RELEASE"),"STANDARD_TO_OPTIONAL",IF(AND(G62="OPTIONAL_AT_RELEASE",I62="STANDARD_AT_RELEASE"),"OPTIONAL_TO_STANDARD",IF(I62="STANDARD_AT_RELEASE","ADDED_STANDARD","REVIEW_CHANGE")))))</x:f>
        <x:v>UNRESOLVED</x:v>
      </x:c>
      <x:c r="O62" s="19" t="str">
        <x:v>BODY_SPACE_SAFETY</x:v>
      </x:c>
      <x:c r="P62" s="19" t="str">
        <x:v>DC_BODY_SAFETY_roof_crush_load</x:v>
      </x:c>
      <x:c r="Q62" s="19" t="n">
        <x:f>COUNTIF('50_发布会逐项主张'!$H$6:$H$137,A62)</x:f>
        <x:v>1</x:v>
      </x:c>
      <x:c r="R62" s="19" t="str">
        <x:f>IF(COUNTIFS('50_发布会逐项主张'!$H$6:$H$137,A62,'50_发布会逐项主张'!$X$6:$X$137,"&lt;&gt;NONE")&gt;0,"CONFLICTED","NONE")</x:f>
        <x:v>NONE</x:v>
      </x:c>
    </x:row>
    <x:row r="63" ht="48" customHeight="1">
      <x:c r="A63" s="369" t="str">
        <x:v>row2_space</x:v>
      </x:c>
      <x:c r="B63" s="369" t="str">
        <x:v>BODY_SPACE</x:v>
      </x:c>
      <x:c r="C63" s="369" t="str">
        <x:f>IF(COUNTIFS('51_版本配置事实'!$B$6:$B$127,"PC-N70-BASE-CAND",'51_版本配置事实'!$C$6:$C$127,$A63,'51_版本配置事实'!$T$6:$T$127,"&lt;&gt;NONE")&gt;0,"CONFLICTED",IF(COUNTIFS('51_版本配置事实'!$B$6:$B$127,"PC-N70-BASE-CAND",'51_版本配置事实'!$C$6:$C$127,$A63,'51_版本配置事实'!$I$6:$I$127,"STANDARD_AT_RELEASE")&gt;0,"STANDARD_AT_RELEASE",IF(COUNTIFS('51_版本配置事实'!$B$6:$B$127,"PC-N70-BASE-CAND",'51_版本配置事实'!$C$6:$C$127,$A63,'51_版本配置事实'!$I$6:$I$127,"OPTIONAL_AT_RELEASE")&gt;0,"OPTIONAL_AT_RELEASE",IF(COUNTIFS('51_版本配置事实'!$B$6:$B$127,"PC-N70-BASE-CAND",'51_版本配置事实'!$C$6:$C$127,$A63,'51_版本配置事实'!$I$6:$I$127,"SEPARATE_PURCHASE")&gt;0,"SEPARATE_PURCHASE",IF(COUNTIFS('51_版本配置事实'!$B$6:$B$127,"PC-N70-BASE-CAND",'51_版本配置事实'!$C$6:$C$127,$A63,'51_版本配置事实'!$I$6:$I$127,"EQUIPPED_STANDARD_UNCONFIRMED")&gt;0,"EQUIPPED_STANDARD_UNCONFIRMED",IF(COUNTIFS('51_版本配置事实'!$B$6:$B$127,"PC-N70-BASE-CAND",'51_版本配置事实'!$C$6:$C$127,$A63,'51_版本配置事实'!$I$6:$I$127,"SERIES_CAPABILITY")&gt;0,"SERIES_CAPABILITY",IF(COUNTIFS('51_版本配置事实'!$B$6:$B$127,"PC-N70-BASE-CAND",'51_版本配置事实'!$C$6:$C$127,$A63,'51_版本配置事实'!$I$6:$I$127,"NOT_DISCLOSED")&gt;0,"NOT_DISCLOSED","NOT_DISCLOSED")))))))</x:f>
        <x:v>NOT_DISCLOSED</x:v>
      </x:c>
      <x:c r="D63" s="369" t="str">
        <x:f>IF(COUNTIFS('51_版本配置事实'!$B$6:$B$127,"PC-N70-BASE-CAND",'51_版本配置事实'!$C$6:$C$127,$A63,'51_版本配置事实'!$J$6:$J$127,"STANDARD_CURRENT")&gt;0,"STANDARD_CURRENT","NOT_EVIDENCED")</x:f>
        <x:v>NOT_EVIDENCED</x:v>
      </x:c>
      <x:c r="E63" s="369" t="str">
        <x:f>IF(COUNTIFS('51_版本配置事实'!$B$6:$B$127,"PC-N70-MAX-CAND",'51_版本配置事实'!$C$6:$C$127,$A63,'51_版本配置事实'!$T$6:$T$127,"&lt;&gt;NONE")&gt;0,"CONFLICTED",IF(COUNTIFS('51_版本配置事实'!$B$6:$B$127,"PC-N70-MAX-CAND",'51_版本配置事实'!$C$6:$C$127,$A63,'51_版本配置事实'!$I$6:$I$127,"STANDARD_AT_RELEASE")&gt;0,"STANDARD_AT_RELEASE",IF(COUNTIFS('51_版本配置事实'!$B$6:$B$127,"PC-N70-MAX-CAND",'51_版本配置事实'!$C$6:$C$127,$A63,'51_版本配置事实'!$I$6:$I$127,"OPTIONAL_AT_RELEASE")&gt;0,"OPTIONAL_AT_RELEASE",IF(COUNTIFS('51_版本配置事实'!$B$6:$B$127,"PC-N70-MAX-CAND",'51_版本配置事实'!$C$6:$C$127,$A63,'51_版本配置事实'!$I$6:$I$127,"SEPARATE_PURCHASE")&gt;0,"SEPARATE_PURCHASE",IF(COUNTIFS('51_版本配置事实'!$B$6:$B$127,"PC-N70-MAX-CAND",'51_版本配置事实'!$C$6:$C$127,$A63,'51_版本配置事实'!$I$6:$I$127,"EQUIPPED_STANDARD_UNCONFIRMED")&gt;0,"EQUIPPED_STANDARD_UNCONFIRMED",IF(COUNTIFS('51_版本配置事实'!$B$6:$B$127,"PC-N70-MAX-CAND",'51_版本配置事实'!$C$6:$C$127,$A63,'51_版本配置事实'!$I$6:$I$127,"SERIES_CAPABILITY")&gt;0,"SERIES_CAPABILITY",IF(COUNTIFS('51_版本配置事实'!$B$6:$B$127,"PC-N70-MAX-CAND",'51_版本配置事实'!$C$6:$C$127,$A63,'51_版本配置事实'!$I$6:$I$127,"NOT_DISCLOSED")&gt;0,"NOT_DISCLOSED","NOT_DISCLOSED")))))))</x:f>
        <x:v>NOT_DISCLOSED</x:v>
      </x:c>
      <x:c r="F63" s="369" t="str">
        <x:f>IF(COUNTIFS('51_版本配置事实'!$B$6:$B$127,"PC-N70-MAX-CAND",'51_版本配置事实'!$C$6:$C$127,$A63,'51_版本配置事实'!$J$6:$J$127,"STANDARD_CURRENT")&gt;0,"STANDARD_CURRENT","NOT_EVIDENCED")</x:f>
        <x:v>NOT_EVIDENCED</x:v>
      </x:c>
      <x:c r="G63" s="369" t="str">
        <x:f>IF(COUNTIFS('51_版本配置事实'!$B$6:$B$127,"PC-N90-MAX-CAND",'51_版本配置事实'!$C$6:$C$127,$A63,'51_版本配置事实'!$T$6:$T$127,"&lt;&gt;NONE")&gt;0,"CONFLICTED",IF(COUNTIFS('51_版本配置事实'!$B$6:$B$127,"PC-N90-MAX-CAND",'51_版本配置事实'!$C$6:$C$127,$A63,'51_版本配置事实'!$I$6:$I$127,"STANDARD_AT_RELEASE")&gt;0,"STANDARD_AT_RELEASE",IF(COUNTIFS('51_版本配置事实'!$B$6:$B$127,"PC-N90-MAX-CAND",'51_版本配置事实'!$C$6:$C$127,$A63,'51_版本配置事实'!$I$6:$I$127,"OPTIONAL_AT_RELEASE")&gt;0,"OPTIONAL_AT_RELEASE",IF(COUNTIFS('51_版本配置事实'!$B$6:$B$127,"PC-N90-MAX-CAND",'51_版本配置事实'!$C$6:$C$127,$A63,'51_版本配置事实'!$I$6:$I$127,"SEPARATE_PURCHASE")&gt;0,"SEPARATE_PURCHASE",IF(COUNTIFS('51_版本配置事实'!$B$6:$B$127,"PC-N90-MAX-CAND",'51_版本配置事实'!$C$6:$C$127,$A63,'51_版本配置事实'!$I$6:$I$127,"EQUIPPED_STANDARD_UNCONFIRMED")&gt;0,"EQUIPPED_STANDARD_UNCONFIRMED",IF(COUNTIFS('51_版本配置事实'!$B$6:$B$127,"PC-N90-MAX-CAND",'51_版本配置事实'!$C$6:$C$127,$A63,'51_版本配置事实'!$I$6:$I$127,"SERIES_CAPABILITY")&gt;0,"SERIES_CAPABILITY",IF(COUNTIFS('51_版本配置事实'!$B$6:$B$127,"PC-N90-MAX-CAND",'51_版本配置事实'!$C$6:$C$127,$A63,'51_版本配置事实'!$I$6:$I$127,"NOT_DISCLOSED")&gt;0,"NOT_DISCLOSED","NOT_DISCLOSED")))))))</x:f>
        <x:v>EQUIPPED_STANDARD_UNCONFIRMED</x:v>
      </x:c>
      <x:c r="H63" s="369" t="str">
        <x:f>IF(COUNTIFS('51_版本配置事实'!$B$6:$B$127,"PC-N90-MAX-CAND",'51_版本配置事实'!$C$6:$C$127,$A63,'51_版本配置事实'!$J$6:$J$127,"STANDARD_CURRENT")&gt;0,"STANDARD_CURRENT","NOT_EVIDENCED")</x:f>
        <x:v>NOT_EVIDENCED</x:v>
      </x:c>
      <x:c r="I63" s="369" t="str">
        <x:f>IF(COUNTIFS('51_版本配置事实'!$B$6:$B$127,"PC-N90-ROOF-CAND",'51_版本配置事实'!$C$6:$C$127,$A63,'51_版本配置事实'!$T$6:$T$127,"&lt;&gt;NONE")&gt;0,"CONFLICTED",IF(COUNTIFS('51_版本配置事实'!$B$6:$B$127,"PC-N90-ROOF-CAND",'51_版本配置事实'!$C$6:$C$127,$A63,'51_版本配置事实'!$I$6:$I$127,"STANDARD_AT_RELEASE")&gt;0,"STANDARD_AT_RELEASE",IF(COUNTIFS('51_版本配置事实'!$B$6:$B$127,"PC-N90-ROOF-CAND",'51_版本配置事实'!$C$6:$C$127,$A63,'51_版本配置事实'!$I$6:$I$127,"OPTIONAL_AT_RELEASE")&gt;0,"OPTIONAL_AT_RELEASE",IF(COUNTIFS('51_版本配置事实'!$B$6:$B$127,"PC-N90-ROOF-CAND",'51_版本配置事实'!$C$6:$C$127,$A63,'51_版本配置事实'!$I$6:$I$127,"SEPARATE_PURCHASE")&gt;0,"SEPARATE_PURCHASE",IF(COUNTIFS('51_版本配置事实'!$B$6:$B$127,"PC-N90-ROOF-CAND",'51_版本配置事实'!$C$6:$C$127,$A63,'51_版本配置事实'!$I$6:$I$127,"EQUIPPED_STANDARD_UNCONFIRMED")&gt;0,"EQUIPPED_STANDARD_UNCONFIRMED",IF(COUNTIFS('51_版本配置事实'!$B$6:$B$127,"PC-N90-ROOF-CAND",'51_版本配置事实'!$C$6:$C$127,$A63,'51_版本配置事实'!$I$6:$I$127,"SERIES_CAPABILITY")&gt;0,"SERIES_CAPABILITY",IF(COUNTIFS('51_版本配置事实'!$B$6:$B$127,"PC-N90-ROOF-CAND",'51_版本配置事实'!$C$6:$C$127,$A63,'51_版本配置事实'!$I$6:$I$127,"NOT_DISCLOSED")&gt;0,"NOT_DISCLOSED","NOT_DISCLOSED")))))))</x:f>
        <x:v>NOT_DISCLOSED</x:v>
      </x:c>
      <x:c r="J63" s="369" t="str">
        <x:f>IF(COUNTIFS('51_版本配置事实'!$B$6:$B$127,"PC-N90-ROOF-CAND",'51_版本配置事实'!$C$6:$C$127,$A63,'51_版本配置事实'!$J$6:$J$127,"STANDARD_CURRENT")&gt;0,"STANDARD_CURRENT","NOT_EVIDENCED")</x:f>
        <x:v>NOT_EVIDENCED</x:v>
      </x:c>
      <x:c r="K63" s="369" t="str">
        <x:f>IF(AND(E63=G63,E63&lt;&gt;"NOT_DISCLOSED",E63&lt;&gt;"CONFLICTED"),IF(COUNTIFS('50_发布会逐项主张'!$H$6:$H$137,$A63,'50_发布会逐项主张'!$O$6:$O$137,"ALL_PENGCHENG")&gt;0,"EXPLICIT_COMMON_ANNOUNCED_MAX","MATCHED_NOT_PROVED_COMMON"),"NOT_PROVED_COMMON")</x:f>
        <x:v>NOT_PROVED_COMMON</x:v>
      </x:c>
      <x:c r="L63" s="369" t="str">
        <x:f>IF(OR(C63="NOT_DISCLOSED",E63="NOT_DISCLOSED",C63="CONFLICTED",E63="CONFLICTED"),"UNRESOLVED",IF(C63=E63,"NO_CHANGE",IF(AND(C63="STANDARD_AT_RELEASE",E63="OPTIONAL_AT_RELEASE"),"STANDARD_TO_OPTIONAL",IF(AND(C63="OPTIONAL_AT_RELEASE",E63="STANDARD_AT_RELEASE"),"OPTIONAL_TO_STANDARD",IF(E63="STANDARD_AT_RELEASE","ADDED_STANDARD","REVIEW_CHANGE")))))</x:f>
        <x:v>UNRESOLVED</x:v>
      </x:c>
      <x:c r="M63" s="369" t="str">
        <x:f>IF(OR(E63="NOT_DISCLOSED",G63="NOT_DISCLOSED",E63="CONFLICTED",G63="CONFLICTED"),"UNRESOLVED",IF(E63=G63,"NO_CHANGE",IF(AND(E63="STANDARD_AT_RELEASE",G63="OPTIONAL_AT_RELEASE"),"STANDARD_TO_OPTIONAL",IF(AND(E63="OPTIONAL_AT_RELEASE",G63="STANDARD_AT_RELEASE"),"OPTIONAL_TO_STANDARD",IF(G63="STANDARD_AT_RELEASE","ADDED_STANDARD","REVIEW_CHANGE")))))</x:f>
        <x:v>UNRESOLVED</x:v>
      </x:c>
      <x:c r="N63" s="369" t="str">
        <x:f>IF(OR(G63="NOT_DISCLOSED",I63="NOT_DISCLOSED",G63="CONFLICTED",I63="CONFLICTED"),"UNRESOLVED",IF(G63=I63,"NO_CHANGE",IF(AND(G63="STANDARD_AT_RELEASE",I63="OPTIONAL_AT_RELEASE"),"STANDARD_TO_OPTIONAL",IF(AND(G63="OPTIONAL_AT_RELEASE",I63="STANDARD_AT_RELEASE"),"OPTIONAL_TO_STANDARD",IF(I63="STANDARD_AT_RELEASE","ADDED_STANDARD","REVIEW_CHANGE")))))</x:f>
        <x:v>UNRESOLVED</x:v>
      </x:c>
      <x:c r="O63" s="369" t="str">
        <x:v>BODY_SPACE_SAFETY</x:v>
      </x:c>
      <x:c r="P63" s="369" t="str">
        <x:v>DC_BODY_SPACE_row2_space</x:v>
      </x:c>
      <x:c r="Q63" s="369" t="n">
        <x:f>COUNTIF('50_发布会逐项主张'!$H$6:$H$137,A63)</x:f>
        <x:v>1</x:v>
      </x:c>
      <x:c r="R63" s="369" t="str">
        <x:f>IF(COUNTIFS('50_发布会逐项主张'!$H$6:$H$137,A63,'50_发布会逐项主张'!$X$6:$X$137,"&lt;&gt;NONE")&gt;0,"CONFLICTED","NONE")</x:f>
        <x:v>NONE</x:v>
      </x:c>
    </x:row>
    <x:row r="64" ht="48" customHeight="1">
      <x:c r="A64" s="19" t="str">
        <x:v>row2_space_max</x:v>
      </x:c>
      <x:c r="B64" s="19" t="str">
        <x:v>BODY_SPACE</x:v>
      </x:c>
      <x:c r="C64" s="19" t="str">
        <x:f>IF(COUNTIFS('51_版本配置事实'!$B$6:$B$127,"PC-N70-BASE-CAND",'51_版本配置事实'!$C$6:$C$127,$A64,'51_版本配置事实'!$T$6:$T$127,"&lt;&gt;NONE")&gt;0,"CONFLICTED",IF(COUNTIFS('51_版本配置事实'!$B$6:$B$127,"PC-N70-BASE-CAND",'51_版本配置事实'!$C$6:$C$127,$A64,'51_版本配置事实'!$I$6:$I$127,"STANDARD_AT_RELEASE")&gt;0,"STANDARD_AT_RELEASE",IF(COUNTIFS('51_版本配置事实'!$B$6:$B$127,"PC-N70-BASE-CAND",'51_版本配置事实'!$C$6:$C$127,$A64,'51_版本配置事实'!$I$6:$I$127,"OPTIONAL_AT_RELEASE")&gt;0,"OPTIONAL_AT_RELEASE",IF(COUNTIFS('51_版本配置事实'!$B$6:$B$127,"PC-N70-BASE-CAND",'51_版本配置事实'!$C$6:$C$127,$A64,'51_版本配置事实'!$I$6:$I$127,"SEPARATE_PURCHASE")&gt;0,"SEPARATE_PURCHASE",IF(COUNTIFS('51_版本配置事实'!$B$6:$B$127,"PC-N70-BASE-CAND",'51_版本配置事实'!$C$6:$C$127,$A64,'51_版本配置事实'!$I$6:$I$127,"EQUIPPED_STANDARD_UNCONFIRMED")&gt;0,"EQUIPPED_STANDARD_UNCONFIRMED",IF(COUNTIFS('51_版本配置事实'!$B$6:$B$127,"PC-N70-BASE-CAND",'51_版本配置事实'!$C$6:$C$127,$A64,'51_版本配置事实'!$I$6:$I$127,"SERIES_CAPABILITY")&gt;0,"SERIES_CAPABILITY",IF(COUNTIFS('51_版本配置事实'!$B$6:$B$127,"PC-N70-BASE-CAND",'51_版本配置事实'!$C$6:$C$127,$A64,'51_版本配置事实'!$I$6:$I$127,"NOT_DISCLOSED")&gt;0,"NOT_DISCLOSED","NOT_DISCLOSED")))))))</x:f>
        <x:v>NOT_DISCLOSED</x:v>
      </x:c>
      <x:c r="D64" s="19" t="str">
        <x:f>IF(COUNTIFS('51_版本配置事实'!$B$6:$B$127,"PC-N70-BASE-CAND",'51_版本配置事实'!$C$6:$C$127,$A64,'51_版本配置事实'!$J$6:$J$127,"STANDARD_CURRENT")&gt;0,"STANDARD_CURRENT","NOT_EVIDENCED")</x:f>
        <x:v>NOT_EVIDENCED</x:v>
      </x:c>
      <x:c r="E64" s="19" t="str">
        <x:f>IF(COUNTIFS('51_版本配置事实'!$B$6:$B$127,"PC-N70-MAX-CAND",'51_版本配置事实'!$C$6:$C$127,$A64,'51_版本配置事实'!$T$6:$T$127,"&lt;&gt;NONE")&gt;0,"CONFLICTED",IF(COUNTIFS('51_版本配置事实'!$B$6:$B$127,"PC-N70-MAX-CAND",'51_版本配置事实'!$C$6:$C$127,$A64,'51_版本配置事实'!$I$6:$I$127,"STANDARD_AT_RELEASE")&gt;0,"STANDARD_AT_RELEASE",IF(COUNTIFS('51_版本配置事实'!$B$6:$B$127,"PC-N70-MAX-CAND",'51_版本配置事实'!$C$6:$C$127,$A64,'51_版本配置事实'!$I$6:$I$127,"OPTIONAL_AT_RELEASE")&gt;0,"OPTIONAL_AT_RELEASE",IF(COUNTIFS('51_版本配置事实'!$B$6:$B$127,"PC-N70-MAX-CAND",'51_版本配置事实'!$C$6:$C$127,$A64,'51_版本配置事实'!$I$6:$I$127,"SEPARATE_PURCHASE")&gt;0,"SEPARATE_PURCHASE",IF(COUNTIFS('51_版本配置事实'!$B$6:$B$127,"PC-N70-MAX-CAND",'51_版本配置事实'!$C$6:$C$127,$A64,'51_版本配置事实'!$I$6:$I$127,"EQUIPPED_STANDARD_UNCONFIRMED")&gt;0,"EQUIPPED_STANDARD_UNCONFIRMED",IF(COUNTIFS('51_版本配置事实'!$B$6:$B$127,"PC-N70-MAX-CAND",'51_版本配置事实'!$C$6:$C$127,$A64,'51_版本配置事实'!$I$6:$I$127,"SERIES_CAPABILITY")&gt;0,"SERIES_CAPABILITY",IF(COUNTIFS('51_版本配置事实'!$B$6:$B$127,"PC-N70-MAX-CAND",'51_版本配置事实'!$C$6:$C$127,$A64,'51_版本配置事实'!$I$6:$I$127,"NOT_DISCLOSED")&gt;0,"NOT_DISCLOSED","NOT_DISCLOSED")))))))</x:f>
        <x:v>NOT_DISCLOSED</x:v>
      </x:c>
      <x:c r="F64" s="19" t="str">
        <x:f>IF(COUNTIFS('51_版本配置事实'!$B$6:$B$127,"PC-N70-MAX-CAND",'51_版本配置事实'!$C$6:$C$127,$A64,'51_版本配置事实'!$J$6:$J$127,"STANDARD_CURRENT")&gt;0,"STANDARD_CURRENT","NOT_EVIDENCED")</x:f>
        <x:v>NOT_EVIDENCED</x:v>
      </x:c>
      <x:c r="G64" s="19" t="str">
        <x:f>IF(COUNTIFS('51_版本配置事实'!$B$6:$B$127,"PC-N90-MAX-CAND",'51_版本配置事实'!$C$6:$C$127,$A64,'51_版本配置事实'!$T$6:$T$127,"&lt;&gt;NONE")&gt;0,"CONFLICTED",IF(COUNTIFS('51_版本配置事实'!$B$6:$B$127,"PC-N90-MAX-CAND",'51_版本配置事实'!$C$6:$C$127,$A64,'51_版本配置事实'!$I$6:$I$127,"STANDARD_AT_RELEASE")&gt;0,"STANDARD_AT_RELEASE",IF(COUNTIFS('51_版本配置事实'!$B$6:$B$127,"PC-N90-MAX-CAND",'51_版本配置事实'!$C$6:$C$127,$A64,'51_版本配置事实'!$I$6:$I$127,"OPTIONAL_AT_RELEASE")&gt;0,"OPTIONAL_AT_RELEASE",IF(COUNTIFS('51_版本配置事实'!$B$6:$B$127,"PC-N90-MAX-CAND",'51_版本配置事实'!$C$6:$C$127,$A64,'51_版本配置事实'!$I$6:$I$127,"SEPARATE_PURCHASE")&gt;0,"SEPARATE_PURCHASE",IF(COUNTIFS('51_版本配置事实'!$B$6:$B$127,"PC-N90-MAX-CAND",'51_版本配置事实'!$C$6:$C$127,$A64,'51_版本配置事实'!$I$6:$I$127,"EQUIPPED_STANDARD_UNCONFIRMED")&gt;0,"EQUIPPED_STANDARD_UNCONFIRMED",IF(COUNTIFS('51_版本配置事实'!$B$6:$B$127,"PC-N90-MAX-CAND",'51_版本配置事实'!$C$6:$C$127,$A64,'51_版本配置事实'!$I$6:$I$127,"SERIES_CAPABILITY")&gt;0,"SERIES_CAPABILITY",IF(COUNTIFS('51_版本配置事实'!$B$6:$B$127,"PC-N90-MAX-CAND",'51_版本配置事实'!$C$6:$C$127,$A64,'51_版本配置事实'!$I$6:$I$127,"NOT_DISCLOSED")&gt;0,"NOT_DISCLOSED","NOT_DISCLOSED")))))))</x:f>
        <x:v>EQUIPPED_STANDARD_UNCONFIRMED</x:v>
      </x:c>
      <x:c r="H64" s="19" t="str">
        <x:f>IF(COUNTIFS('51_版本配置事实'!$B$6:$B$127,"PC-N90-MAX-CAND",'51_版本配置事实'!$C$6:$C$127,$A64,'51_版本配置事实'!$J$6:$J$127,"STANDARD_CURRENT")&gt;0,"STANDARD_CURRENT","NOT_EVIDENCED")</x:f>
        <x:v>NOT_EVIDENCED</x:v>
      </x:c>
      <x:c r="I64" s="19" t="str">
        <x:f>IF(COUNTIFS('51_版本配置事实'!$B$6:$B$127,"PC-N90-ROOF-CAND",'51_版本配置事实'!$C$6:$C$127,$A64,'51_版本配置事实'!$T$6:$T$127,"&lt;&gt;NONE")&gt;0,"CONFLICTED",IF(COUNTIFS('51_版本配置事实'!$B$6:$B$127,"PC-N90-ROOF-CAND",'51_版本配置事实'!$C$6:$C$127,$A64,'51_版本配置事实'!$I$6:$I$127,"STANDARD_AT_RELEASE")&gt;0,"STANDARD_AT_RELEASE",IF(COUNTIFS('51_版本配置事实'!$B$6:$B$127,"PC-N90-ROOF-CAND",'51_版本配置事实'!$C$6:$C$127,$A64,'51_版本配置事实'!$I$6:$I$127,"OPTIONAL_AT_RELEASE")&gt;0,"OPTIONAL_AT_RELEASE",IF(COUNTIFS('51_版本配置事实'!$B$6:$B$127,"PC-N90-ROOF-CAND",'51_版本配置事实'!$C$6:$C$127,$A64,'51_版本配置事实'!$I$6:$I$127,"SEPARATE_PURCHASE")&gt;0,"SEPARATE_PURCHASE",IF(COUNTIFS('51_版本配置事实'!$B$6:$B$127,"PC-N90-ROOF-CAND",'51_版本配置事实'!$C$6:$C$127,$A64,'51_版本配置事实'!$I$6:$I$127,"EQUIPPED_STANDARD_UNCONFIRMED")&gt;0,"EQUIPPED_STANDARD_UNCONFIRMED",IF(COUNTIFS('51_版本配置事实'!$B$6:$B$127,"PC-N90-ROOF-CAND",'51_版本配置事实'!$C$6:$C$127,$A64,'51_版本配置事实'!$I$6:$I$127,"SERIES_CAPABILITY")&gt;0,"SERIES_CAPABILITY",IF(COUNTIFS('51_版本配置事实'!$B$6:$B$127,"PC-N90-ROOF-CAND",'51_版本配置事实'!$C$6:$C$127,$A64,'51_版本配置事实'!$I$6:$I$127,"NOT_DISCLOSED")&gt;0,"NOT_DISCLOSED","NOT_DISCLOSED")))))))</x:f>
        <x:v>NOT_DISCLOSED</x:v>
      </x:c>
      <x:c r="J64" s="19" t="str">
        <x:f>IF(COUNTIFS('51_版本配置事实'!$B$6:$B$127,"PC-N90-ROOF-CAND",'51_版本配置事实'!$C$6:$C$127,$A64,'51_版本配置事实'!$J$6:$J$127,"STANDARD_CURRENT")&gt;0,"STANDARD_CURRENT","NOT_EVIDENCED")</x:f>
        <x:v>NOT_EVIDENCED</x:v>
      </x:c>
      <x:c r="K64" s="19" t="str">
        <x:f>IF(AND(E64=G64,E64&lt;&gt;"NOT_DISCLOSED",E64&lt;&gt;"CONFLICTED"),IF(COUNTIFS('50_发布会逐项主张'!$H$6:$H$137,$A64,'50_发布会逐项主张'!$O$6:$O$137,"ALL_PENGCHENG")&gt;0,"EXPLICIT_COMMON_ANNOUNCED_MAX","MATCHED_NOT_PROVED_COMMON"),"NOT_PROVED_COMMON")</x:f>
        <x:v>NOT_PROVED_COMMON</x:v>
      </x:c>
      <x:c r="L64" s="19" t="str">
        <x:f>IF(OR(C64="NOT_DISCLOSED",E64="NOT_DISCLOSED",C64="CONFLICTED",E64="CONFLICTED"),"UNRESOLVED",IF(C64=E64,"NO_CHANGE",IF(AND(C64="STANDARD_AT_RELEASE",E64="OPTIONAL_AT_RELEASE"),"STANDARD_TO_OPTIONAL",IF(AND(C64="OPTIONAL_AT_RELEASE",E64="STANDARD_AT_RELEASE"),"OPTIONAL_TO_STANDARD",IF(E64="STANDARD_AT_RELEASE","ADDED_STANDARD","REVIEW_CHANGE")))))</x:f>
        <x:v>UNRESOLVED</x:v>
      </x:c>
      <x:c r="M64" s="19" t="str">
        <x:f>IF(OR(E64="NOT_DISCLOSED",G64="NOT_DISCLOSED",E64="CONFLICTED",G64="CONFLICTED"),"UNRESOLVED",IF(E64=G64,"NO_CHANGE",IF(AND(E64="STANDARD_AT_RELEASE",G64="OPTIONAL_AT_RELEASE"),"STANDARD_TO_OPTIONAL",IF(AND(E64="OPTIONAL_AT_RELEASE",G64="STANDARD_AT_RELEASE"),"OPTIONAL_TO_STANDARD",IF(G64="STANDARD_AT_RELEASE","ADDED_STANDARD","REVIEW_CHANGE")))))</x:f>
        <x:v>UNRESOLVED</x:v>
      </x:c>
      <x:c r="N64" s="19" t="str">
        <x:f>IF(OR(G64="NOT_DISCLOSED",I64="NOT_DISCLOSED",G64="CONFLICTED",I64="CONFLICTED"),"UNRESOLVED",IF(G64=I64,"NO_CHANGE",IF(AND(G64="STANDARD_AT_RELEASE",I64="OPTIONAL_AT_RELEASE"),"STANDARD_TO_OPTIONAL",IF(AND(G64="OPTIONAL_AT_RELEASE",I64="STANDARD_AT_RELEASE"),"OPTIONAL_TO_STANDARD",IF(I64="STANDARD_AT_RELEASE","ADDED_STANDARD","REVIEW_CHANGE")))))</x:f>
        <x:v>UNRESOLVED</x:v>
      </x:c>
      <x:c r="O64" s="19" t="str">
        <x:v>BODY_SPACE_SAFETY</x:v>
      </x:c>
      <x:c r="P64" s="19" t="str">
        <x:v>DC_BODY_SPACE_row2_space_max</x:v>
      </x:c>
      <x:c r="Q64" s="19" t="n">
        <x:f>COUNTIF('50_发布会逐项主张'!$H$6:$H$137,A64)</x:f>
        <x:v>2</x:v>
      </x:c>
      <x:c r="R64" s="19" t="str">
        <x:f>IF(COUNTIFS('50_发布会逐项主张'!$H$6:$H$137,A64,'50_发布会逐项主张'!$X$6:$X$137,"&lt;&gt;NONE")&gt;0,"CONFLICTED","NONE")</x:f>
        <x:v>NONE</x:v>
      </x:c>
    </x:row>
    <x:row r="65" ht="48" customHeight="1">
      <x:c r="A65" s="369" t="str">
        <x:v>row2_standing_height_min</x:v>
      </x:c>
      <x:c r="B65" s="369" t="str">
        <x:v>BODY_SPACE</x:v>
      </x:c>
      <x:c r="C65" s="369" t="str">
        <x:f>IF(COUNTIFS('51_版本配置事实'!$B$6:$B$127,"PC-N70-BASE-CAND",'51_版本配置事实'!$C$6:$C$127,$A65,'51_版本配置事实'!$T$6:$T$127,"&lt;&gt;NONE")&gt;0,"CONFLICTED",IF(COUNTIFS('51_版本配置事实'!$B$6:$B$127,"PC-N70-BASE-CAND",'51_版本配置事实'!$C$6:$C$127,$A65,'51_版本配置事实'!$I$6:$I$127,"STANDARD_AT_RELEASE")&gt;0,"STANDARD_AT_RELEASE",IF(COUNTIFS('51_版本配置事实'!$B$6:$B$127,"PC-N70-BASE-CAND",'51_版本配置事实'!$C$6:$C$127,$A65,'51_版本配置事实'!$I$6:$I$127,"OPTIONAL_AT_RELEASE")&gt;0,"OPTIONAL_AT_RELEASE",IF(COUNTIFS('51_版本配置事实'!$B$6:$B$127,"PC-N70-BASE-CAND",'51_版本配置事实'!$C$6:$C$127,$A65,'51_版本配置事实'!$I$6:$I$127,"SEPARATE_PURCHASE")&gt;0,"SEPARATE_PURCHASE",IF(COUNTIFS('51_版本配置事实'!$B$6:$B$127,"PC-N70-BASE-CAND",'51_版本配置事实'!$C$6:$C$127,$A65,'51_版本配置事实'!$I$6:$I$127,"EQUIPPED_STANDARD_UNCONFIRMED")&gt;0,"EQUIPPED_STANDARD_UNCONFIRMED",IF(COUNTIFS('51_版本配置事实'!$B$6:$B$127,"PC-N70-BASE-CAND",'51_版本配置事实'!$C$6:$C$127,$A65,'51_版本配置事实'!$I$6:$I$127,"SERIES_CAPABILITY")&gt;0,"SERIES_CAPABILITY",IF(COUNTIFS('51_版本配置事实'!$B$6:$B$127,"PC-N70-BASE-CAND",'51_版本配置事实'!$C$6:$C$127,$A65,'51_版本配置事实'!$I$6:$I$127,"NOT_DISCLOSED")&gt;0,"NOT_DISCLOSED","NOT_DISCLOSED")))))))</x:f>
        <x:v>NOT_DISCLOSED</x:v>
      </x:c>
      <x:c r="D65" s="369" t="str">
        <x:f>IF(COUNTIFS('51_版本配置事实'!$B$6:$B$127,"PC-N70-BASE-CAND",'51_版本配置事实'!$C$6:$C$127,$A65,'51_版本配置事实'!$J$6:$J$127,"STANDARD_CURRENT")&gt;0,"STANDARD_CURRENT","NOT_EVIDENCED")</x:f>
        <x:v>NOT_EVIDENCED</x:v>
      </x:c>
      <x:c r="E65" s="369" t="str">
        <x:f>IF(COUNTIFS('51_版本配置事实'!$B$6:$B$127,"PC-N70-MAX-CAND",'51_版本配置事实'!$C$6:$C$127,$A65,'51_版本配置事实'!$T$6:$T$127,"&lt;&gt;NONE")&gt;0,"CONFLICTED",IF(COUNTIFS('51_版本配置事实'!$B$6:$B$127,"PC-N70-MAX-CAND",'51_版本配置事实'!$C$6:$C$127,$A65,'51_版本配置事实'!$I$6:$I$127,"STANDARD_AT_RELEASE")&gt;0,"STANDARD_AT_RELEASE",IF(COUNTIFS('51_版本配置事实'!$B$6:$B$127,"PC-N70-MAX-CAND",'51_版本配置事实'!$C$6:$C$127,$A65,'51_版本配置事实'!$I$6:$I$127,"OPTIONAL_AT_RELEASE")&gt;0,"OPTIONAL_AT_RELEASE",IF(COUNTIFS('51_版本配置事实'!$B$6:$B$127,"PC-N70-MAX-CAND",'51_版本配置事实'!$C$6:$C$127,$A65,'51_版本配置事实'!$I$6:$I$127,"SEPARATE_PURCHASE")&gt;0,"SEPARATE_PURCHASE",IF(COUNTIFS('51_版本配置事实'!$B$6:$B$127,"PC-N70-MAX-CAND",'51_版本配置事实'!$C$6:$C$127,$A65,'51_版本配置事实'!$I$6:$I$127,"EQUIPPED_STANDARD_UNCONFIRMED")&gt;0,"EQUIPPED_STANDARD_UNCONFIRMED",IF(COUNTIFS('51_版本配置事实'!$B$6:$B$127,"PC-N70-MAX-CAND",'51_版本配置事实'!$C$6:$C$127,$A65,'51_版本配置事实'!$I$6:$I$127,"SERIES_CAPABILITY")&gt;0,"SERIES_CAPABILITY",IF(COUNTIFS('51_版本配置事实'!$B$6:$B$127,"PC-N70-MAX-CAND",'51_版本配置事实'!$C$6:$C$127,$A65,'51_版本配置事实'!$I$6:$I$127,"NOT_DISCLOSED")&gt;0,"NOT_DISCLOSED","NOT_DISCLOSED")))))))</x:f>
        <x:v>NOT_DISCLOSED</x:v>
      </x:c>
      <x:c r="F65" s="369" t="str">
        <x:f>IF(COUNTIFS('51_版本配置事实'!$B$6:$B$127,"PC-N70-MAX-CAND",'51_版本配置事实'!$C$6:$C$127,$A65,'51_版本配置事实'!$J$6:$J$127,"STANDARD_CURRENT")&gt;0,"STANDARD_CURRENT","NOT_EVIDENCED")</x:f>
        <x:v>NOT_EVIDENCED</x:v>
      </x:c>
      <x:c r="G65" s="369" t="str">
        <x:f>IF(COUNTIFS('51_版本配置事实'!$B$6:$B$127,"PC-N90-MAX-CAND",'51_版本配置事实'!$C$6:$C$127,$A65,'51_版本配置事实'!$T$6:$T$127,"&lt;&gt;NONE")&gt;0,"CONFLICTED",IF(COUNTIFS('51_版本配置事实'!$B$6:$B$127,"PC-N90-MAX-CAND",'51_版本配置事实'!$C$6:$C$127,$A65,'51_版本配置事实'!$I$6:$I$127,"STANDARD_AT_RELEASE")&gt;0,"STANDARD_AT_RELEASE",IF(COUNTIFS('51_版本配置事实'!$B$6:$B$127,"PC-N90-MAX-CAND",'51_版本配置事实'!$C$6:$C$127,$A65,'51_版本配置事实'!$I$6:$I$127,"OPTIONAL_AT_RELEASE")&gt;0,"OPTIONAL_AT_RELEASE",IF(COUNTIFS('51_版本配置事实'!$B$6:$B$127,"PC-N90-MAX-CAND",'51_版本配置事实'!$C$6:$C$127,$A65,'51_版本配置事实'!$I$6:$I$127,"SEPARATE_PURCHASE")&gt;0,"SEPARATE_PURCHASE",IF(COUNTIFS('51_版本配置事实'!$B$6:$B$127,"PC-N90-MAX-CAND",'51_版本配置事实'!$C$6:$C$127,$A65,'51_版本配置事实'!$I$6:$I$127,"EQUIPPED_STANDARD_UNCONFIRMED")&gt;0,"EQUIPPED_STANDARD_UNCONFIRMED",IF(COUNTIFS('51_版本配置事实'!$B$6:$B$127,"PC-N90-MAX-CAND",'51_版本配置事实'!$C$6:$C$127,$A65,'51_版本配置事实'!$I$6:$I$127,"SERIES_CAPABILITY")&gt;0,"SERIES_CAPABILITY",IF(COUNTIFS('51_版本配置事实'!$B$6:$B$127,"PC-N90-MAX-CAND",'51_版本配置事实'!$C$6:$C$127,$A65,'51_版本配置事实'!$I$6:$I$127,"NOT_DISCLOSED")&gt;0,"NOT_DISCLOSED","NOT_DISCLOSED")))))))</x:f>
        <x:v>EQUIPPED_STANDARD_UNCONFIRMED</x:v>
      </x:c>
      <x:c r="H65" s="369" t="str">
        <x:f>IF(COUNTIFS('51_版本配置事实'!$B$6:$B$127,"PC-N90-MAX-CAND",'51_版本配置事实'!$C$6:$C$127,$A65,'51_版本配置事实'!$J$6:$J$127,"STANDARD_CURRENT")&gt;0,"STANDARD_CURRENT","NOT_EVIDENCED")</x:f>
        <x:v>NOT_EVIDENCED</x:v>
      </x:c>
      <x:c r="I65" s="369" t="str">
        <x:f>IF(COUNTIFS('51_版本配置事实'!$B$6:$B$127,"PC-N90-ROOF-CAND",'51_版本配置事实'!$C$6:$C$127,$A65,'51_版本配置事实'!$T$6:$T$127,"&lt;&gt;NONE")&gt;0,"CONFLICTED",IF(COUNTIFS('51_版本配置事实'!$B$6:$B$127,"PC-N90-ROOF-CAND",'51_版本配置事实'!$C$6:$C$127,$A65,'51_版本配置事实'!$I$6:$I$127,"STANDARD_AT_RELEASE")&gt;0,"STANDARD_AT_RELEASE",IF(COUNTIFS('51_版本配置事实'!$B$6:$B$127,"PC-N90-ROOF-CAND",'51_版本配置事实'!$C$6:$C$127,$A65,'51_版本配置事实'!$I$6:$I$127,"OPTIONAL_AT_RELEASE")&gt;0,"OPTIONAL_AT_RELEASE",IF(COUNTIFS('51_版本配置事实'!$B$6:$B$127,"PC-N90-ROOF-CAND",'51_版本配置事实'!$C$6:$C$127,$A65,'51_版本配置事实'!$I$6:$I$127,"SEPARATE_PURCHASE")&gt;0,"SEPARATE_PURCHASE",IF(COUNTIFS('51_版本配置事实'!$B$6:$B$127,"PC-N90-ROOF-CAND",'51_版本配置事实'!$C$6:$C$127,$A65,'51_版本配置事实'!$I$6:$I$127,"EQUIPPED_STANDARD_UNCONFIRMED")&gt;0,"EQUIPPED_STANDARD_UNCONFIRMED",IF(COUNTIFS('51_版本配置事实'!$B$6:$B$127,"PC-N90-ROOF-CAND",'51_版本配置事实'!$C$6:$C$127,$A65,'51_版本配置事实'!$I$6:$I$127,"SERIES_CAPABILITY")&gt;0,"SERIES_CAPABILITY",IF(COUNTIFS('51_版本配置事实'!$B$6:$B$127,"PC-N90-ROOF-CAND",'51_版本配置事实'!$C$6:$C$127,$A65,'51_版本配置事实'!$I$6:$I$127,"NOT_DISCLOSED")&gt;0,"NOT_DISCLOSED","NOT_DISCLOSED")))))))</x:f>
        <x:v>NOT_DISCLOSED</x:v>
      </x:c>
      <x:c r="J65" s="369" t="str">
        <x:f>IF(COUNTIFS('51_版本配置事实'!$B$6:$B$127,"PC-N90-ROOF-CAND",'51_版本配置事实'!$C$6:$C$127,$A65,'51_版本配置事实'!$J$6:$J$127,"STANDARD_CURRENT")&gt;0,"STANDARD_CURRENT","NOT_EVIDENCED")</x:f>
        <x:v>NOT_EVIDENCED</x:v>
      </x:c>
      <x:c r="K65" s="369" t="str">
        <x:f>IF(AND(E65=G65,E65&lt;&gt;"NOT_DISCLOSED",E65&lt;&gt;"CONFLICTED"),IF(COUNTIFS('50_发布会逐项主张'!$H$6:$H$137,$A65,'50_发布会逐项主张'!$O$6:$O$137,"ALL_PENGCHENG")&gt;0,"EXPLICIT_COMMON_ANNOUNCED_MAX","MATCHED_NOT_PROVED_COMMON"),"NOT_PROVED_COMMON")</x:f>
        <x:v>NOT_PROVED_COMMON</x:v>
      </x:c>
      <x:c r="L65" s="369" t="str">
        <x:f>IF(OR(C65="NOT_DISCLOSED",E65="NOT_DISCLOSED",C65="CONFLICTED",E65="CONFLICTED"),"UNRESOLVED",IF(C65=E65,"NO_CHANGE",IF(AND(C65="STANDARD_AT_RELEASE",E65="OPTIONAL_AT_RELEASE"),"STANDARD_TO_OPTIONAL",IF(AND(C65="OPTIONAL_AT_RELEASE",E65="STANDARD_AT_RELEASE"),"OPTIONAL_TO_STANDARD",IF(E65="STANDARD_AT_RELEASE","ADDED_STANDARD","REVIEW_CHANGE")))))</x:f>
        <x:v>UNRESOLVED</x:v>
      </x:c>
      <x:c r="M65" s="369" t="str">
        <x:f>IF(OR(E65="NOT_DISCLOSED",G65="NOT_DISCLOSED",E65="CONFLICTED",G65="CONFLICTED"),"UNRESOLVED",IF(E65=G65,"NO_CHANGE",IF(AND(E65="STANDARD_AT_RELEASE",G65="OPTIONAL_AT_RELEASE"),"STANDARD_TO_OPTIONAL",IF(AND(E65="OPTIONAL_AT_RELEASE",G65="STANDARD_AT_RELEASE"),"OPTIONAL_TO_STANDARD",IF(G65="STANDARD_AT_RELEASE","ADDED_STANDARD","REVIEW_CHANGE")))))</x:f>
        <x:v>UNRESOLVED</x:v>
      </x:c>
      <x:c r="N65" s="369" t="str">
        <x:f>IF(OR(G65="NOT_DISCLOSED",I65="NOT_DISCLOSED",G65="CONFLICTED",I65="CONFLICTED"),"UNRESOLVED",IF(G65=I65,"NO_CHANGE",IF(AND(G65="STANDARD_AT_RELEASE",I65="OPTIONAL_AT_RELEASE"),"STANDARD_TO_OPTIONAL",IF(AND(G65="OPTIONAL_AT_RELEASE",I65="STANDARD_AT_RELEASE"),"OPTIONAL_TO_STANDARD",IF(I65="STANDARD_AT_RELEASE","ADDED_STANDARD","REVIEW_CHANGE")))))</x:f>
        <x:v>UNRESOLVED</x:v>
      </x:c>
      <x:c r="O65" s="369" t="str">
        <x:v>BODY_SPACE_SAFETY</x:v>
      </x:c>
      <x:c r="P65" s="369" t="str">
        <x:v>DC_BODY_SPACE_row2_standing_height_min</x:v>
      </x:c>
      <x:c r="Q65" s="369" t="n">
        <x:f>COUNTIF('50_发布会逐项主张'!$H$6:$H$137,A65)</x:f>
        <x:v>1</x:v>
      </x:c>
      <x:c r="R65" s="369" t="str">
        <x:f>IF(COUNTIFS('50_发布会逐项主张'!$H$6:$H$137,A65,'50_发布会逐项主张'!$X$6:$X$137,"&lt;&gt;NONE")&gt;0,"CONFLICTED","NONE")</x:f>
        <x:v>NONE</x:v>
      </x:c>
    </x:row>
    <x:row r="66" ht="48" customHeight="1">
      <x:c r="A66" s="19" t="str">
        <x:v>row3_headroom</x:v>
      </x:c>
      <x:c r="B66" s="19" t="str">
        <x:v>BODY_SPACE</x:v>
      </x:c>
      <x:c r="C66" s="19" t="str">
        <x:f>IF(COUNTIFS('51_版本配置事实'!$B$6:$B$127,"PC-N70-BASE-CAND",'51_版本配置事实'!$C$6:$C$127,$A66,'51_版本配置事实'!$T$6:$T$127,"&lt;&gt;NONE")&gt;0,"CONFLICTED",IF(COUNTIFS('51_版本配置事实'!$B$6:$B$127,"PC-N70-BASE-CAND",'51_版本配置事实'!$C$6:$C$127,$A66,'51_版本配置事实'!$I$6:$I$127,"STANDARD_AT_RELEASE")&gt;0,"STANDARD_AT_RELEASE",IF(COUNTIFS('51_版本配置事实'!$B$6:$B$127,"PC-N70-BASE-CAND",'51_版本配置事实'!$C$6:$C$127,$A66,'51_版本配置事实'!$I$6:$I$127,"OPTIONAL_AT_RELEASE")&gt;0,"OPTIONAL_AT_RELEASE",IF(COUNTIFS('51_版本配置事实'!$B$6:$B$127,"PC-N70-BASE-CAND",'51_版本配置事实'!$C$6:$C$127,$A66,'51_版本配置事实'!$I$6:$I$127,"SEPARATE_PURCHASE")&gt;0,"SEPARATE_PURCHASE",IF(COUNTIFS('51_版本配置事实'!$B$6:$B$127,"PC-N70-BASE-CAND",'51_版本配置事实'!$C$6:$C$127,$A66,'51_版本配置事实'!$I$6:$I$127,"EQUIPPED_STANDARD_UNCONFIRMED")&gt;0,"EQUIPPED_STANDARD_UNCONFIRMED",IF(COUNTIFS('51_版本配置事实'!$B$6:$B$127,"PC-N70-BASE-CAND",'51_版本配置事实'!$C$6:$C$127,$A66,'51_版本配置事实'!$I$6:$I$127,"SERIES_CAPABILITY")&gt;0,"SERIES_CAPABILITY",IF(COUNTIFS('51_版本配置事实'!$B$6:$B$127,"PC-N70-BASE-CAND",'51_版本配置事实'!$C$6:$C$127,$A66,'51_版本配置事实'!$I$6:$I$127,"NOT_DISCLOSED")&gt;0,"NOT_DISCLOSED","NOT_DISCLOSED")))))))</x:f>
        <x:v>NOT_DISCLOSED</x:v>
      </x:c>
      <x:c r="D66" s="19" t="str">
        <x:f>IF(COUNTIFS('51_版本配置事实'!$B$6:$B$127,"PC-N70-BASE-CAND",'51_版本配置事实'!$C$6:$C$127,$A66,'51_版本配置事实'!$J$6:$J$127,"STANDARD_CURRENT")&gt;0,"STANDARD_CURRENT","NOT_EVIDENCED")</x:f>
        <x:v>NOT_EVIDENCED</x:v>
      </x:c>
      <x:c r="E66" s="19" t="str">
        <x:f>IF(COUNTIFS('51_版本配置事实'!$B$6:$B$127,"PC-N70-MAX-CAND",'51_版本配置事实'!$C$6:$C$127,$A66,'51_版本配置事实'!$T$6:$T$127,"&lt;&gt;NONE")&gt;0,"CONFLICTED",IF(COUNTIFS('51_版本配置事实'!$B$6:$B$127,"PC-N70-MAX-CAND",'51_版本配置事实'!$C$6:$C$127,$A66,'51_版本配置事实'!$I$6:$I$127,"STANDARD_AT_RELEASE")&gt;0,"STANDARD_AT_RELEASE",IF(COUNTIFS('51_版本配置事实'!$B$6:$B$127,"PC-N70-MAX-CAND",'51_版本配置事实'!$C$6:$C$127,$A66,'51_版本配置事实'!$I$6:$I$127,"OPTIONAL_AT_RELEASE")&gt;0,"OPTIONAL_AT_RELEASE",IF(COUNTIFS('51_版本配置事实'!$B$6:$B$127,"PC-N70-MAX-CAND",'51_版本配置事实'!$C$6:$C$127,$A66,'51_版本配置事实'!$I$6:$I$127,"SEPARATE_PURCHASE")&gt;0,"SEPARATE_PURCHASE",IF(COUNTIFS('51_版本配置事实'!$B$6:$B$127,"PC-N70-MAX-CAND",'51_版本配置事实'!$C$6:$C$127,$A66,'51_版本配置事实'!$I$6:$I$127,"EQUIPPED_STANDARD_UNCONFIRMED")&gt;0,"EQUIPPED_STANDARD_UNCONFIRMED",IF(COUNTIFS('51_版本配置事实'!$B$6:$B$127,"PC-N70-MAX-CAND",'51_版本配置事实'!$C$6:$C$127,$A66,'51_版本配置事实'!$I$6:$I$127,"SERIES_CAPABILITY")&gt;0,"SERIES_CAPABILITY",IF(COUNTIFS('51_版本配置事实'!$B$6:$B$127,"PC-N70-MAX-CAND",'51_版本配置事实'!$C$6:$C$127,$A66,'51_版本配置事实'!$I$6:$I$127,"NOT_DISCLOSED")&gt;0,"NOT_DISCLOSED","NOT_DISCLOSED")))))))</x:f>
        <x:v>NOT_DISCLOSED</x:v>
      </x:c>
      <x:c r="F66" s="19" t="str">
        <x:f>IF(COUNTIFS('51_版本配置事实'!$B$6:$B$127,"PC-N70-MAX-CAND",'51_版本配置事实'!$C$6:$C$127,$A66,'51_版本配置事实'!$J$6:$J$127,"STANDARD_CURRENT")&gt;0,"STANDARD_CURRENT","NOT_EVIDENCED")</x:f>
        <x:v>NOT_EVIDENCED</x:v>
      </x:c>
      <x:c r="G66" s="19" t="str">
        <x:f>IF(COUNTIFS('51_版本配置事实'!$B$6:$B$127,"PC-N90-MAX-CAND",'51_版本配置事实'!$C$6:$C$127,$A66,'51_版本配置事实'!$T$6:$T$127,"&lt;&gt;NONE")&gt;0,"CONFLICTED",IF(COUNTIFS('51_版本配置事实'!$B$6:$B$127,"PC-N90-MAX-CAND",'51_版本配置事实'!$C$6:$C$127,$A66,'51_版本配置事实'!$I$6:$I$127,"STANDARD_AT_RELEASE")&gt;0,"STANDARD_AT_RELEASE",IF(COUNTIFS('51_版本配置事实'!$B$6:$B$127,"PC-N90-MAX-CAND",'51_版本配置事实'!$C$6:$C$127,$A66,'51_版本配置事实'!$I$6:$I$127,"OPTIONAL_AT_RELEASE")&gt;0,"OPTIONAL_AT_RELEASE",IF(COUNTIFS('51_版本配置事实'!$B$6:$B$127,"PC-N90-MAX-CAND",'51_版本配置事实'!$C$6:$C$127,$A66,'51_版本配置事实'!$I$6:$I$127,"SEPARATE_PURCHASE")&gt;0,"SEPARATE_PURCHASE",IF(COUNTIFS('51_版本配置事实'!$B$6:$B$127,"PC-N90-MAX-CAND",'51_版本配置事实'!$C$6:$C$127,$A66,'51_版本配置事实'!$I$6:$I$127,"EQUIPPED_STANDARD_UNCONFIRMED")&gt;0,"EQUIPPED_STANDARD_UNCONFIRMED",IF(COUNTIFS('51_版本配置事实'!$B$6:$B$127,"PC-N90-MAX-CAND",'51_版本配置事实'!$C$6:$C$127,$A66,'51_版本配置事实'!$I$6:$I$127,"SERIES_CAPABILITY")&gt;0,"SERIES_CAPABILITY",IF(COUNTIFS('51_版本配置事实'!$B$6:$B$127,"PC-N90-MAX-CAND",'51_版本配置事实'!$C$6:$C$127,$A66,'51_版本配置事实'!$I$6:$I$127,"NOT_DISCLOSED")&gt;0,"NOT_DISCLOSED","NOT_DISCLOSED")))))))</x:f>
        <x:v>EQUIPPED_STANDARD_UNCONFIRMED</x:v>
      </x:c>
      <x:c r="H66" s="19" t="str">
        <x:f>IF(COUNTIFS('51_版本配置事实'!$B$6:$B$127,"PC-N90-MAX-CAND",'51_版本配置事实'!$C$6:$C$127,$A66,'51_版本配置事实'!$J$6:$J$127,"STANDARD_CURRENT")&gt;0,"STANDARD_CURRENT","NOT_EVIDENCED")</x:f>
        <x:v>NOT_EVIDENCED</x:v>
      </x:c>
      <x:c r="I66" s="19" t="str">
        <x:f>IF(COUNTIFS('51_版本配置事实'!$B$6:$B$127,"PC-N90-ROOF-CAND",'51_版本配置事实'!$C$6:$C$127,$A66,'51_版本配置事实'!$T$6:$T$127,"&lt;&gt;NONE")&gt;0,"CONFLICTED",IF(COUNTIFS('51_版本配置事实'!$B$6:$B$127,"PC-N90-ROOF-CAND",'51_版本配置事实'!$C$6:$C$127,$A66,'51_版本配置事实'!$I$6:$I$127,"STANDARD_AT_RELEASE")&gt;0,"STANDARD_AT_RELEASE",IF(COUNTIFS('51_版本配置事实'!$B$6:$B$127,"PC-N90-ROOF-CAND",'51_版本配置事实'!$C$6:$C$127,$A66,'51_版本配置事实'!$I$6:$I$127,"OPTIONAL_AT_RELEASE")&gt;0,"OPTIONAL_AT_RELEASE",IF(COUNTIFS('51_版本配置事实'!$B$6:$B$127,"PC-N90-ROOF-CAND",'51_版本配置事实'!$C$6:$C$127,$A66,'51_版本配置事实'!$I$6:$I$127,"SEPARATE_PURCHASE")&gt;0,"SEPARATE_PURCHASE",IF(COUNTIFS('51_版本配置事实'!$B$6:$B$127,"PC-N90-ROOF-CAND",'51_版本配置事实'!$C$6:$C$127,$A66,'51_版本配置事实'!$I$6:$I$127,"EQUIPPED_STANDARD_UNCONFIRMED")&gt;0,"EQUIPPED_STANDARD_UNCONFIRMED",IF(COUNTIFS('51_版本配置事实'!$B$6:$B$127,"PC-N90-ROOF-CAND",'51_版本配置事实'!$C$6:$C$127,$A66,'51_版本配置事实'!$I$6:$I$127,"SERIES_CAPABILITY")&gt;0,"SERIES_CAPABILITY",IF(COUNTIFS('51_版本配置事实'!$B$6:$B$127,"PC-N90-ROOF-CAND",'51_版本配置事实'!$C$6:$C$127,$A66,'51_版本配置事实'!$I$6:$I$127,"NOT_DISCLOSED")&gt;0,"NOT_DISCLOSED","NOT_DISCLOSED")))))))</x:f>
        <x:v>NOT_DISCLOSED</x:v>
      </x:c>
      <x:c r="J66" s="19" t="str">
        <x:f>IF(COUNTIFS('51_版本配置事实'!$B$6:$B$127,"PC-N90-ROOF-CAND",'51_版本配置事实'!$C$6:$C$127,$A66,'51_版本配置事实'!$J$6:$J$127,"STANDARD_CURRENT")&gt;0,"STANDARD_CURRENT","NOT_EVIDENCED")</x:f>
        <x:v>NOT_EVIDENCED</x:v>
      </x:c>
      <x:c r="K66" s="19" t="str">
        <x:f>IF(AND(E66=G66,E66&lt;&gt;"NOT_DISCLOSED",E66&lt;&gt;"CONFLICTED"),IF(COUNTIFS('50_发布会逐项主张'!$H$6:$H$137,$A66,'50_发布会逐项主张'!$O$6:$O$137,"ALL_PENGCHENG")&gt;0,"EXPLICIT_COMMON_ANNOUNCED_MAX","MATCHED_NOT_PROVED_COMMON"),"NOT_PROVED_COMMON")</x:f>
        <x:v>NOT_PROVED_COMMON</x:v>
      </x:c>
      <x:c r="L66" s="19" t="str">
        <x:f>IF(OR(C66="NOT_DISCLOSED",E66="NOT_DISCLOSED",C66="CONFLICTED",E66="CONFLICTED"),"UNRESOLVED",IF(C66=E66,"NO_CHANGE",IF(AND(C66="STANDARD_AT_RELEASE",E66="OPTIONAL_AT_RELEASE"),"STANDARD_TO_OPTIONAL",IF(AND(C66="OPTIONAL_AT_RELEASE",E66="STANDARD_AT_RELEASE"),"OPTIONAL_TO_STANDARD",IF(E66="STANDARD_AT_RELEASE","ADDED_STANDARD","REVIEW_CHANGE")))))</x:f>
        <x:v>UNRESOLVED</x:v>
      </x:c>
      <x:c r="M66" s="19" t="str">
        <x:f>IF(OR(E66="NOT_DISCLOSED",G66="NOT_DISCLOSED",E66="CONFLICTED",G66="CONFLICTED"),"UNRESOLVED",IF(E66=G66,"NO_CHANGE",IF(AND(E66="STANDARD_AT_RELEASE",G66="OPTIONAL_AT_RELEASE"),"STANDARD_TO_OPTIONAL",IF(AND(E66="OPTIONAL_AT_RELEASE",G66="STANDARD_AT_RELEASE"),"OPTIONAL_TO_STANDARD",IF(G66="STANDARD_AT_RELEASE","ADDED_STANDARD","REVIEW_CHANGE")))))</x:f>
        <x:v>UNRESOLVED</x:v>
      </x:c>
      <x:c r="N66" s="19" t="str">
        <x:f>IF(OR(G66="NOT_DISCLOSED",I66="NOT_DISCLOSED",G66="CONFLICTED",I66="CONFLICTED"),"UNRESOLVED",IF(G66=I66,"NO_CHANGE",IF(AND(G66="STANDARD_AT_RELEASE",I66="OPTIONAL_AT_RELEASE"),"STANDARD_TO_OPTIONAL",IF(AND(G66="OPTIONAL_AT_RELEASE",I66="STANDARD_AT_RELEASE"),"OPTIONAL_TO_STANDARD",IF(I66="STANDARD_AT_RELEASE","ADDED_STANDARD","REVIEW_CHANGE")))))</x:f>
        <x:v>UNRESOLVED</x:v>
      </x:c>
      <x:c r="O66" s="19" t="str">
        <x:v>BODY_SPACE_SAFETY</x:v>
      </x:c>
      <x:c r="P66" s="19" t="str">
        <x:v>DC_BODY_SPACE_row3_headroom</x:v>
      </x:c>
      <x:c r="Q66" s="19" t="n">
        <x:f>COUNTIF('50_发布会逐项主张'!$H$6:$H$137,A66)</x:f>
        <x:v>1</x:v>
      </x:c>
      <x:c r="R66" s="19" t="str">
        <x:f>IF(COUNTIFS('50_发布会逐项主张'!$H$6:$H$137,A66,'50_发布会逐项主张'!$X$6:$X$137,"&lt;&gt;NONE")&gt;0,"CONFLICTED","NONE")</x:f>
        <x:v>NONE</x:v>
      </x:c>
    </x:row>
    <x:row r="67" ht="48" customHeight="1">
      <x:c r="A67" s="369" t="str">
        <x:v>row3_space</x:v>
      </x:c>
      <x:c r="B67" s="369" t="str">
        <x:v>BODY_SPACE</x:v>
      </x:c>
      <x:c r="C67" s="369" t="str">
        <x:f>IF(COUNTIFS('51_版本配置事实'!$B$6:$B$127,"PC-N70-BASE-CAND",'51_版本配置事实'!$C$6:$C$127,$A67,'51_版本配置事实'!$T$6:$T$127,"&lt;&gt;NONE")&gt;0,"CONFLICTED",IF(COUNTIFS('51_版本配置事实'!$B$6:$B$127,"PC-N70-BASE-CAND",'51_版本配置事实'!$C$6:$C$127,$A67,'51_版本配置事实'!$I$6:$I$127,"STANDARD_AT_RELEASE")&gt;0,"STANDARD_AT_RELEASE",IF(COUNTIFS('51_版本配置事实'!$B$6:$B$127,"PC-N70-BASE-CAND",'51_版本配置事实'!$C$6:$C$127,$A67,'51_版本配置事实'!$I$6:$I$127,"OPTIONAL_AT_RELEASE")&gt;0,"OPTIONAL_AT_RELEASE",IF(COUNTIFS('51_版本配置事实'!$B$6:$B$127,"PC-N70-BASE-CAND",'51_版本配置事实'!$C$6:$C$127,$A67,'51_版本配置事实'!$I$6:$I$127,"SEPARATE_PURCHASE")&gt;0,"SEPARATE_PURCHASE",IF(COUNTIFS('51_版本配置事实'!$B$6:$B$127,"PC-N70-BASE-CAND",'51_版本配置事实'!$C$6:$C$127,$A67,'51_版本配置事实'!$I$6:$I$127,"EQUIPPED_STANDARD_UNCONFIRMED")&gt;0,"EQUIPPED_STANDARD_UNCONFIRMED",IF(COUNTIFS('51_版本配置事实'!$B$6:$B$127,"PC-N70-BASE-CAND",'51_版本配置事实'!$C$6:$C$127,$A67,'51_版本配置事实'!$I$6:$I$127,"SERIES_CAPABILITY")&gt;0,"SERIES_CAPABILITY",IF(COUNTIFS('51_版本配置事实'!$B$6:$B$127,"PC-N70-BASE-CAND",'51_版本配置事实'!$C$6:$C$127,$A67,'51_版本配置事实'!$I$6:$I$127,"NOT_DISCLOSED")&gt;0,"NOT_DISCLOSED","NOT_DISCLOSED")))))))</x:f>
        <x:v>NOT_DISCLOSED</x:v>
      </x:c>
      <x:c r="D67" s="369" t="str">
        <x:f>IF(COUNTIFS('51_版本配置事实'!$B$6:$B$127,"PC-N70-BASE-CAND",'51_版本配置事实'!$C$6:$C$127,$A67,'51_版本配置事实'!$J$6:$J$127,"STANDARD_CURRENT")&gt;0,"STANDARD_CURRENT","NOT_EVIDENCED")</x:f>
        <x:v>NOT_EVIDENCED</x:v>
      </x:c>
      <x:c r="E67" s="369" t="str">
        <x:f>IF(COUNTIFS('51_版本配置事实'!$B$6:$B$127,"PC-N70-MAX-CAND",'51_版本配置事实'!$C$6:$C$127,$A67,'51_版本配置事实'!$T$6:$T$127,"&lt;&gt;NONE")&gt;0,"CONFLICTED",IF(COUNTIFS('51_版本配置事实'!$B$6:$B$127,"PC-N70-MAX-CAND",'51_版本配置事实'!$C$6:$C$127,$A67,'51_版本配置事实'!$I$6:$I$127,"STANDARD_AT_RELEASE")&gt;0,"STANDARD_AT_RELEASE",IF(COUNTIFS('51_版本配置事实'!$B$6:$B$127,"PC-N70-MAX-CAND",'51_版本配置事实'!$C$6:$C$127,$A67,'51_版本配置事实'!$I$6:$I$127,"OPTIONAL_AT_RELEASE")&gt;0,"OPTIONAL_AT_RELEASE",IF(COUNTIFS('51_版本配置事实'!$B$6:$B$127,"PC-N70-MAX-CAND",'51_版本配置事实'!$C$6:$C$127,$A67,'51_版本配置事实'!$I$6:$I$127,"SEPARATE_PURCHASE")&gt;0,"SEPARATE_PURCHASE",IF(COUNTIFS('51_版本配置事实'!$B$6:$B$127,"PC-N70-MAX-CAND",'51_版本配置事实'!$C$6:$C$127,$A67,'51_版本配置事实'!$I$6:$I$127,"EQUIPPED_STANDARD_UNCONFIRMED")&gt;0,"EQUIPPED_STANDARD_UNCONFIRMED",IF(COUNTIFS('51_版本配置事实'!$B$6:$B$127,"PC-N70-MAX-CAND",'51_版本配置事实'!$C$6:$C$127,$A67,'51_版本配置事实'!$I$6:$I$127,"SERIES_CAPABILITY")&gt;0,"SERIES_CAPABILITY",IF(COUNTIFS('51_版本配置事实'!$B$6:$B$127,"PC-N70-MAX-CAND",'51_版本配置事实'!$C$6:$C$127,$A67,'51_版本配置事实'!$I$6:$I$127,"NOT_DISCLOSED")&gt;0,"NOT_DISCLOSED","NOT_DISCLOSED")))))))</x:f>
        <x:v>NOT_DISCLOSED</x:v>
      </x:c>
      <x:c r="F67" s="369" t="str">
        <x:f>IF(COUNTIFS('51_版本配置事实'!$B$6:$B$127,"PC-N70-MAX-CAND",'51_版本配置事实'!$C$6:$C$127,$A67,'51_版本配置事实'!$J$6:$J$127,"STANDARD_CURRENT")&gt;0,"STANDARD_CURRENT","NOT_EVIDENCED")</x:f>
        <x:v>NOT_EVIDENCED</x:v>
      </x:c>
      <x:c r="G67" s="369" t="str">
        <x:f>IF(COUNTIFS('51_版本配置事实'!$B$6:$B$127,"PC-N90-MAX-CAND",'51_版本配置事实'!$C$6:$C$127,$A67,'51_版本配置事实'!$T$6:$T$127,"&lt;&gt;NONE")&gt;0,"CONFLICTED",IF(COUNTIFS('51_版本配置事实'!$B$6:$B$127,"PC-N90-MAX-CAND",'51_版本配置事实'!$C$6:$C$127,$A67,'51_版本配置事实'!$I$6:$I$127,"STANDARD_AT_RELEASE")&gt;0,"STANDARD_AT_RELEASE",IF(COUNTIFS('51_版本配置事实'!$B$6:$B$127,"PC-N90-MAX-CAND",'51_版本配置事实'!$C$6:$C$127,$A67,'51_版本配置事实'!$I$6:$I$127,"OPTIONAL_AT_RELEASE")&gt;0,"OPTIONAL_AT_RELEASE",IF(COUNTIFS('51_版本配置事实'!$B$6:$B$127,"PC-N90-MAX-CAND",'51_版本配置事实'!$C$6:$C$127,$A67,'51_版本配置事实'!$I$6:$I$127,"SEPARATE_PURCHASE")&gt;0,"SEPARATE_PURCHASE",IF(COUNTIFS('51_版本配置事实'!$B$6:$B$127,"PC-N90-MAX-CAND",'51_版本配置事实'!$C$6:$C$127,$A67,'51_版本配置事实'!$I$6:$I$127,"EQUIPPED_STANDARD_UNCONFIRMED")&gt;0,"EQUIPPED_STANDARD_UNCONFIRMED",IF(COUNTIFS('51_版本配置事实'!$B$6:$B$127,"PC-N90-MAX-CAND",'51_版本配置事实'!$C$6:$C$127,$A67,'51_版本配置事实'!$I$6:$I$127,"SERIES_CAPABILITY")&gt;0,"SERIES_CAPABILITY",IF(COUNTIFS('51_版本配置事实'!$B$6:$B$127,"PC-N90-MAX-CAND",'51_版本配置事实'!$C$6:$C$127,$A67,'51_版本配置事实'!$I$6:$I$127,"NOT_DISCLOSED")&gt;0,"NOT_DISCLOSED","NOT_DISCLOSED")))))))</x:f>
        <x:v>EQUIPPED_STANDARD_UNCONFIRMED</x:v>
      </x:c>
      <x:c r="H67" s="369" t="str">
        <x:f>IF(COUNTIFS('51_版本配置事实'!$B$6:$B$127,"PC-N90-MAX-CAND",'51_版本配置事实'!$C$6:$C$127,$A67,'51_版本配置事实'!$J$6:$J$127,"STANDARD_CURRENT")&gt;0,"STANDARD_CURRENT","NOT_EVIDENCED")</x:f>
        <x:v>NOT_EVIDENCED</x:v>
      </x:c>
      <x:c r="I67" s="369" t="str">
        <x:f>IF(COUNTIFS('51_版本配置事实'!$B$6:$B$127,"PC-N90-ROOF-CAND",'51_版本配置事实'!$C$6:$C$127,$A67,'51_版本配置事实'!$T$6:$T$127,"&lt;&gt;NONE")&gt;0,"CONFLICTED",IF(COUNTIFS('51_版本配置事实'!$B$6:$B$127,"PC-N90-ROOF-CAND",'51_版本配置事实'!$C$6:$C$127,$A67,'51_版本配置事实'!$I$6:$I$127,"STANDARD_AT_RELEASE")&gt;0,"STANDARD_AT_RELEASE",IF(COUNTIFS('51_版本配置事实'!$B$6:$B$127,"PC-N90-ROOF-CAND",'51_版本配置事实'!$C$6:$C$127,$A67,'51_版本配置事实'!$I$6:$I$127,"OPTIONAL_AT_RELEASE")&gt;0,"OPTIONAL_AT_RELEASE",IF(COUNTIFS('51_版本配置事实'!$B$6:$B$127,"PC-N90-ROOF-CAND",'51_版本配置事实'!$C$6:$C$127,$A67,'51_版本配置事实'!$I$6:$I$127,"SEPARATE_PURCHASE")&gt;0,"SEPARATE_PURCHASE",IF(COUNTIFS('51_版本配置事实'!$B$6:$B$127,"PC-N90-ROOF-CAND",'51_版本配置事实'!$C$6:$C$127,$A67,'51_版本配置事实'!$I$6:$I$127,"EQUIPPED_STANDARD_UNCONFIRMED")&gt;0,"EQUIPPED_STANDARD_UNCONFIRMED",IF(COUNTIFS('51_版本配置事实'!$B$6:$B$127,"PC-N90-ROOF-CAND",'51_版本配置事实'!$C$6:$C$127,$A67,'51_版本配置事实'!$I$6:$I$127,"SERIES_CAPABILITY")&gt;0,"SERIES_CAPABILITY",IF(COUNTIFS('51_版本配置事实'!$B$6:$B$127,"PC-N90-ROOF-CAND",'51_版本配置事实'!$C$6:$C$127,$A67,'51_版本配置事实'!$I$6:$I$127,"NOT_DISCLOSED")&gt;0,"NOT_DISCLOSED","NOT_DISCLOSED")))))))</x:f>
        <x:v>NOT_DISCLOSED</x:v>
      </x:c>
      <x:c r="J67" s="369" t="str">
        <x:f>IF(COUNTIFS('51_版本配置事实'!$B$6:$B$127,"PC-N90-ROOF-CAND",'51_版本配置事实'!$C$6:$C$127,$A67,'51_版本配置事实'!$J$6:$J$127,"STANDARD_CURRENT")&gt;0,"STANDARD_CURRENT","NOT_EVIDENCED")</x:f>
        <x:v>NOT_EVIDENCED</x:v>
      </x:c>
      <x:c r="K67" s="369" t="str">
        <x:f>IF(AND(E67=G67,E67&lt;&gt;"NOT_DISCLOSED",E67&lt;&gt;"CONFLICTED"),IF(COUNTIFS('50_发布会逐项主张'!$H$6:$H$137,$A67,'50_发布会逐项主张'!$O$6:$O$137,"ALL_PENGCHENG")&gt;0,"EXPLICIT_COMMON_ANNOUNCED_MAX","MATCHED_NOT_PROVED_COMMON"),"NOT_PROVED_COMMON")</x:f>
        <x:v>NOT_PROVED_COMMON</x:v>
      </x:c>
      <x:c r="L67" s="369" t="str">
        <x:f>IF(OR(C67="NOT_DISCLOSED",E67="NOT_DISCLOSED",C67="CONFLICTED",E67="CONFLICTED"),"UNRESOLVED",IF(C67=E67,"NO_CHANGE",IF(AND(C67="STANDARD_AT_RELEASE",E67="OPTIONAL_AT_RELEASE"),"STANDARD_TO_OPTIONAL",IF(AND(C67="OPTIONAL_AT_RELEASE",E67="STANDARD_AT_RELEASE"),"OPTIONAL_TO_STANDARD",IF(E67="STANDARD_AT_RELEASE","ADDED_STANDARD","REVIEW_CHANGE")))))</x:f>
        <x:v>UNRESOLVED</x:v>
      </x:c>
      <x:c r="M67" s="369" t="str">
        <x:f>IF(OR(E67="NOT_DISCLOSED",G67="NOT_DISCLOSED",E67="CONFLICTED",G67="CONFLICTED"),"UNRESOLVED",IF(E67=G67,"NO_CHANGE",IF(AND(E67="STANDARD_AT_RELEASE",G67="OPTIONAL_AT_RELEASE"),"STANDARD_TO_OPTIONAL",IF(AND(E67="OPTIONAL_AT_RELEASE",G67="STANDARD_AT_RELEASE"),"OPTIONAL_TO_STANDARD",IF(G67="STANDARD_AT_RELEASE","ADDED_STANDARD","REVIEW_CHANGE")))))</x:f>
        <x:v>UNRESOLVED</x:v>
      </x:c>
      <x:c r="N67" s="369" t="str">
        <x:f>IF(OR(G67="NOT_DISCLOSED",I67="NOT_DISCLOSED",G67="CONFLICTED",I67="CONFLICTED"),"UNRESOLVED",IF(G67=I67,"NO_CHANGE",IF(AND(G67="STANDARD_AT_RELEASE",I67="OPTIONAL_AT_RELEASE"),"STANDARD_TO_OPTIONAL",IF(AND(G67="OPTIONAL_AT_RELEASE",I67="STANDARD_AT_RELEASE"),"OPTIONAL_TO_STANDARD",IF(I67="STANDARD_AT_RELEASE","ADDED_STANDARD","REVIEW_CHANGE")))))</x:f>
        <x:v>UNRESOLVED</x:v>
      </x:c>
      <x:c r="O67" s="369" t="str">
        <x:v>BODY_SPACE_SAFETY</x:v>
      </x:c>
      <x:c r="P67" s="369" t="str">
        <x:v>DC_BODY_SPACE_row3_space</x:v>
      </x:c>
      <x:c r="Q67" s="369" t="n">
        <x:f>COUNTIF('50_发布会逐项主张'!$H$6:$H$137,A67)</x:f>
        <x:v>1</x:v>
      </x:c>
      <x:c r="R67" s="369" t="str">
        <x:f>IF(COUNTIFS('50_发布会逐项主张'!$H$6:$H$137,A67,'50_发布会逐项主张'!$X$6:$X$137,"&lt;&gt;NONE")&gt;0,"CONFLICTED","NONE")</x:f>
        <x:v>NONE</x:v>
      </x:c>
    </x:row>
    <x:row r="68" ht="48" customHeight="1">
      <x:c r="A68" s="19" t="str">
        <x:v>safety_assist_count</x:v>
      </x:c>
      <x:c r="B68" s="19" t="str">
        <x:v>ADAS</x:v>
      </x:c>
      <x:c r="C68" s="19" t="str">
        <x:f>IF(COUNTIFS('51_版本配置事实'!$B$6:$B$127,"PC-N70-BASE-CAND",'51_版本配置事实'!$C$6:$C$127,$A68,'51_版本配置事实'!$T$6:$T$127,"&lt;&gt;NONE")&gt;0,"CONFLICTED",IF(COUNTIFS('51_版本配置事实'!$B$6:$B$127,"PC-N70-BASE-CAND",'51_版本配置事实'!$C$6:$C$127,$A68,'51_版本配置事实'!$I$6:$I$127,"STANDARD_AT_RELEASE")&gt;0,"STANDARD_AT_RELEASE",IF(COUNTIFS('51_版本配置事实'!$B$6:$B$127,"PC-N70-BASE-CAND",'51_版本配置事实'!$C$6:$C$127,$A68,'51_版本配置事实'!$I$6:$I$127,"OPTIONAL_AT_RELEASE")&gt;0,"OPTIONAL_AT_RELEASE",IF(COUNTIFS('51_版本配置事实'!$B$6:$B$127,"PC-N70-BASE-CAND",'51_版本配置事实'!$C$6:$C$127,$A68,'51_版本配置事实'!$I$6:$I$127,"SEPARATE_PURCHASE")&gt;0,"SEPARATE_PURCHASE",IF(COUNTIFS('51_版本配置事实'!$B$6:$B$127,"PC-N70-BASE-CAND",'51_版本配置事实'!$C$6:$C$127,$A68,'51_版本配置事实'!$I$6:$I$127,"EQUIPPED_STANDARD_UNCONFIRMED")&gt;0,"EQUIPPED_STANDARD_UNCONFIRMED",IF(COUNTIFS('51_版本配置事实'!$B$6:$B$127,"PC-N70-BASE-CAND",'51_版本配置事实'!$C$6:$C$127,$A68,'51_版本配置事实'!$I$6:$I$127,"SERIES_CAPABILITY")&gt;0,"SERIES_CAPABILITY",IF(COUNTIFS('51_版本配置事实'!$B$6:$B$127,"PC-N70-BASE-CAND",'51_版本配置事实'!$C$6:$C$127,$A68,'51_版本配置事实'!$I$6:$I$127,"NOT_DISCLOSED")&gt;0,"NOT_DISCLOSED","NOT_DISCLOSED")))))))</x:f>
        <x:v>NOT_DISCLOSED</x:v>
      </x:c>
      <x:c r="D68" s="19" t="str">
        <x:f>IF(COUNTIFS('51_版本配置事实'!$B$6:$B$127,"PC-N70-BASE-CAND",'51_版本配置事实'!$C$6:$C$127,$A68,'51_版本配置事实'!$J$6:$J$127,"STANDARD_CURRENT")&gt;0,"STANDARD_CURRENT","NOT_EVIDENCED")</x:f>
        <x:v>NOT_EVIDENCED</x:v>
      </x:c>
      <x:c r="E68" s="19" t="str">
        <x:f>IF(COUNTIFS('51_版本配置事实'!$B$6:$B$127,"PC-N70-MAX-CAND",'51_版本配置事实'!$C$6:$C$127,$A68,'51_版本配置事实'!$T$6:$T$127,"&lt;&gt;NONE")&gt;0,"CONFLICTED",IF(COUNTIFS('51_版本配置事实'!$B$6:$B$127,"PC-N70-MAX-CAND",'51_版本配置事实'!$C$6:$C$127,$A68,'51_版本配置事实'!$I$6:$I$127,"STANDARD_AT_RELEASE")&gt;0,"STANDARD_AT_RELEASE",IF(COUNTIFS('51_版本配置事实'!$B$6:$B$127,"PC-N70-MAX-CAND",'51_版本配置事实'!$C$6:$C$127,$A68,'51_版本配置事实'!$I$6:$I$127,"OPTIONAL_AT_RELEASE")&gt;0,"OPTIONAL_AT_RELEASE",IF(COUNTIFS('51_版本配置事实'!$B$6:$B$127,"PC-N70-MAX-CAND",'51_版本配置事实'!$C$6:$C$127,$A68,'51_版本配置事实'!$I$6:$I$127,"SEPARATE_PURCHASE")&gt;0,"SEPARATE_PURCHASE",IF(COUNTIFS('51_版本配置事实'!$B$6:$B$127,"PC-N70-MAX-CAND",'51_版本配置事实'!$C$6:$C$127,$A68,'51_版本配置事实'!$I$6:$I$127,"EQUIPPED_STANDARD_UNCONFIRMED")&gt;0,"EQUIPPED_STANDARD_UNCONFIRMED",IF(COUNTIFS('51_版本配置事实'!$B$6:$B$127,"PC-N70-MAX-CAND",'51_版本配置事实'!$C$6:$C$127,$A68,'51_版本配置事实'!$I$6:$I$127,"SERIES_CAPABILITY")&gt;0,"SERIES_CAPABILITY",IF(COUNTIFS('51_版本配置事实'!$B$6:$B$127,"PC-N70-MAX-CAND",'51_版本配置事实'!$C$6:$C$127,$A68,'51_版本配置事实'!$I$6:$I$127,"NOT_DISCLOSED")&gt;0,"NOT_DISCLOSED","NOT_DISCLOSED")))))))</x:f>
        <x:v>NOT_DISCLOSED</x:v>
      </x:c>
      <x:c r="F68" s="19" t="str">
        <x:f>IF(COUNTIFS('51_版本配置事实'!$B$6:$B$127,"PC-N70-MAX-CAND",'51_版本配置事实'!$C$6:$C$127,$A68,'51_版本配置事实'!$J$6:$J$127,"STANDARD_CURRENT")&gt;0,"STANDARD_CURRENT","NOT_EVIDENCED")</x:f>
        <x:v>NOT_EVIDENCED</x:v>
      </x:c>
      <x:c r="G68" s="19" t="str">
        <x:f>IF(COUNTIFS('51_版本配置事实'!$B$6:$B$127,"PC-N90-MAX-CAND",'51_版本配置事实'!$C$6:$C$127,$A68,'51_版本配置事实'!$T$6:$T$127,"&lt;&gt;NONE")&gt;0,"CONFLICTED",IF(COUNTIFS('51_版本配置事实'!$B$6:$B$127,"PC-N90-MAX-CAND",'51_版本配置事实'!$C$6:$C$127,$A68,'51_版本配置事实'!$I$6:$I$127,"STANDARD_AT_RELEASE")&gt;0,"STANDARD_AT_RELEASE",IF(COUNTIFS('51_版本配置事实'!$B$6:$B$127,"PC-N90-MAX-CAND",'51_版本配置事实'!$C$6:$C$127,$A68,'51_版本配置事实'!$I$6:$I$127,"OPTIONAL_AT_RELEASE")&gt;0,"OPTIONAL_AT_RELEASE",IF(COUNTIFS('51_版本配置事实'!$B$6:$B$127,"PC-N90-MAX-CAND",'51_版本配置事实'!$C$6:$C$127,$A68,'51_版本配置事实'!$I$6:$I$127,"SEPARATE_PURCHASE")&gt;0,"SEPARATE_PURCHASE",IF(COUNTIFS('51_版本配置事实'!$B$6:$B$127,"PC-N90-MAX-CAND",'51_版本配置事实'!$C$6:$C$127,$A68,'51_版本配置事实'!$I$6:$I$127,"EQUIPPED_STANDARD_UNCONFIRMED")&gt;0,"EQUIPPED_STANDARD_UNCONFIRMED",IF(COUNTIFS('51_版本配置事实'!$B$6:$B$127,"PC-N90-MAX-CAND",'51_版本配置事实'!$C$6:$C$127,$A68,'51_版本配置事实'!$I$6:$I$127,"SERIES_CAPABILITY")&gt;0,"SERIES_CAPABILITY",IF(COUNTIFS('51_版本配置事实'!$B$6:$B$127,"PC-N90-MAX-CAND",'51_版本配置事实'!$C$6:$C$127,$A68,'51_版本配置事实'!$I$6:$I$127,"NOT_DISCLOSED")&gt;0,"NOT_DISCLOSED","NOT_DISCLOSED")))))))</x:f>
        <x:v>STANDARD_AT_RELEASE</x:v>
      </x:c>
      <x:c r="H68" s="19" t="str">
        <x:f>IF(COUNTIFS('51_版本配置事实'!$B$6:$B$127,"PC-N90-MAX-CAND",'51_版本配置事实'!$C$6:$C$127,$A68,'51_版本配置事实'!$J$6:$J$127,"STANDARD_CURRENT")&gt;0,"STANDARD_CURRENT","NOT_EVIDENCED")</x:f>
        <x:v>NOT_EVIDENCED</x:v>
      </x:c>
      <x:c r="I68" s="19" t="str">
        <x:f>IF(COUNTIFS('51_版本配置事实'!$B$6:$B$127,"PC-N90-ROOF-CAND",'51_版本配置事实'!$C$6:$C$127,$A68,'51_版本配置事实'!$T$6:$T$127,"&lt;&gt;NONE")&gt;0,"CONFLICTED",IF(COUNTIFS('51_版本配置事实'!$B$6:$B$127,"PC-N90-ROOF-CAND",'51_版本配置事实'!$C$6:$C$127,$A68,'51_版本配置事实'!$I$6:$I$127,"STANDARD_AT_RELEASE")&gt;0,"STANDARD_AT_RELEASE",IF(COUNTIFS('51_版本配置事实'!$B$6:$B$127,"PC-N90-ROOF-CAND",'51_版本配置事实'!$C$6:$C$127,$A68,'51_版本配置事实'!$I$6:$I$127,"OPTIONAL_AT_RELEASE")&gt;0,"OPTIONAL_AT_RELEASE",IF(COUNTIFS('51_版本配置事实'!$B$6:$B$127,"PC-N90-ROOF-CAND",'51_版本配置事实'!$C$6:$C$127,$A68,'51_版本配置事实'!$I$6:$I$127,"SEPARATE_PURCHASE")&gt;0,"SEPARATE_PURCHASE",IF(COUNTIFS('51_版本配置事实'!$B$6:$B$127,"PC-N90-ROOF-CAND",'51_版本配置事实'!$C$6:$C$127,$A68,'51_版本配置事实'!$I$6:$I$127,"EQUIPPED_STANDARD_UNCONFIRMED")&gt;0,"EQUIPPED_STANDARD_UNCONFIRMED",IF(COUNTIFS('51_版本配置事实'!$B$6:$B$127,"PC-N90-ROOF-CAND",'51_版本配置事实'!$C$6:$C$127,$A68,'51_版本配置事实'!$I$6:$I$127,"SERIES_CAPABILITY")&gt;0,"SERIES_CAPABILITY",IF(COUNTIFS('51_版本配置事实'!$B$6:$B$127,"PC-N90-ROOF-CAND",'51_版本配置事实'!$C$6:$C$127,$A68,'51_版本配置事实'!$I$6:$I$127,"NOT_DISCLOSED")&gt;0,"NOT_DISCLOSED","NOT_DISCLOSED")))))))</x:f>
        <x:v>NOT_DISCLOSED</x:v>
      </x:c>
      <x:c r="J68" s="19" t="str">
        <x:f>IF(COUNTIFS('51_版本配置事实'!$B$6:$B$127,"PC-N90-ROOF-CAND",'51_版本配置事实'!$C$6:$C$127,$A68,'51_版本配置事实'!$J$6:$J$127,"STANDARD_CURRENT")&gt;0,"STANDARD_CURRENT","NOT_EVIDENCED")</x:f>
        <x:v>NOT_EVIDENCED</x:v>
      </x:c>
      <x:c r="K68" s="19" t="str">
        <x:f>IF(AND(E68=G68,E68&lt;&gt;"NOT_DISCLOSED",E68&lt;&gt;"CONFLICTED"),IF(COUNTIFS('50_发布会逐项主张'!$H$6:$H$137,$A68,'50_发布会逐项主张'!$O$6:$O$137,"ALL_PENGCHENG")&gt;0,"EXPLICIT_COMMON_ANNOUNCED_MAX","MATCHED_NOT_PROVED_COMMON"),"NOT_PROVED_COMMON")</x:f>
        <x:v>NOT_PROVED_COMMON</x:v>
      </x:c>
      <x:c r="L68" s="19" t="str">
        <x:f>IF(OR(C68="NOT_DISCLOSED",E68="NOT_DISCLOSED",C68="CONFLICTED",E68="CONFLICTED"),"UNRESOLVED",IF(C68=E68,"NO_CHANGE",IF(AND(C68="STANDARD_AT_RELEASE",E68="OPTIONAL_AT_RELEASE"),"STANDARD_TO_OPTIONAL",IF(AND(C68="OPTIONAL_AT_RELEASE",E68="STANDARD_AT_RELEASE"),"OPTIONAL_TO_STANDARD",IF(E68="STANDARD_AT_RELEASE","ADDED_STANDARD","REVIEW_CHANGE")))))</x:f>
        <x:v>UNRESOLVED</x:v>
      </x:c>
      <x:c r="M68" s="19" t="str">
        <x:f>IF(OR(E68="NOT_DISCLOSED",G68="NOT_DISCLOSED",E68="CONFLICTED",G68="CONFLICTED"),"UNRESOLVED",IF(E68=G68,"NO_CHANGE",IF(AND(E68="STANDARD_AT_RELEASE",G68="OPTIONAL_AT_RELEASE"),"STANDARD_TO_OPTIONAL",IF(AND(E68="OPTIONAL_AT_RELEASE",G68="STANDARD_AT_RELEASE"),"OPTIONAL_TO_STANDARD",IF(G68="STANDARD_AT_RELEASE","ADDED_STANDARD","REVIEW_CHANGE")))))</x:f>
        <x:v>UNRESOLVED</x:v>
      </x:c>
      <x:c r="N68" s="19" t="str">
        <x:f>IF(OR(G68="NOT_DISCLOSED",I68="NOT_DISCLOSED",G68="CONFLICTED",I68="CONFLICTED"),"UNRESOLVED",IF(G68=I68,"NO_CHANGE",IF(AND(G68="STANDARD_AT_RELEASE",I68="OPTIONAL_AT_RELEASE"),"STANDARD_TO_OPTIONAL",IF(AND(G68="OPTIONAL_AT_RELEASE",I68="STANDARD_AT_RELEASE"),"OPTIONAL_TO_STANDARD",IF(I68="STANDARD_AT_RELEASE","ADDED_STANDARD","REVIEW_CHANGE")))))</x:f>
        <x:v>UNRESOLVED</x:v>
      </x:c>
      <x:c r="O68" s="19" t="str">
        <x:v>INTELLIGENCE_EE</x:v>
      </x:c>
      <x:c r="P68" s="19" t="str">
        <x:v>DC_ADAS_STACK</x:v>
      </x:c>
      <x:c r="Q68" s="19" t="n">
        <x:f>COUNTIF('50_发布会逐项主张'!$H$6:$H$137,A68)</x:f>
        <x:v>1</x:v>
      </x:c>
      <x:c r="R68" s="19" t="str">
        <x:f>IF(COUNTIFS('50_发布会逐项主张'!$H$6:$H$137,A68,'50_发布会逐项主张'!$X$6:$X$137,"&lt;&gt;NONE")&gt;0,"CONFLICTED","NONE")</x:f>
        <x:v>NONE</x:v>
      </x:c>
    </x:row>
    <x:row r="69" ht="48" customHeight="1">
      <x:c r="A69" s="369" t="str">
        <x:v>seat_count</x:v>
      </x:c>
      <x:c r="B69" s="369" t="str">
        <x:v>BODY_SPACE</x:v>
      </x:c>
      <x:c r="C69" s="369" t="str">
        <x:f>IF(COUNTIFS('51_版本配置事实'!$B$6:$B$127,"PC-N70-BASE-CAND",'51_版本配置事实'!$C$6:$C$127,$A69,'51_版本配置事实'!$T$6:$T$127,"&lt;&gt;NONE")&gt;0,"CONFLICTED",IF(COUNTIFS('51_版本配置事实'!$B$6:$B$127,"PC-N70-BASE-CAND",'51_版本配置事实'!$C$6:$C$127,$A69,'51_版本配置事实'!$I$6:$I$127,"STANDARD_AT_RELEASE")&gt;0,"STANDARD_AT_RELEASE",IF(COUNTIFS('51_版本配置事实'!$B$6:$B$127,"PC-N70-BASE-CAND",'51_版本配置事实'!$C$6:$C$127,$A69,'51_版本配置事实'!$I$6:$I$127,"OPTIONAL_AT_RELEASE")&gt;0,"OPTIONAL_AT_RELEASE",IF(COUNTIFS('51_版本配置事实'!$B$6:$B$127,"PC-N70-BASE-CAND",'51_版本配置事实'!$C$6:$C$127,$A69,'51_版本配置事实'!$I$6:$I$127,"SEPARATE_PURCHASE")&gt;0,"SEPARATE_PURCHASE",IF(COUNTIFS('51_版本配置事实'!$B$6:$B$127,"PC-N70-BASE-CAND",'51_版本配置事实'!$C$6:$C$127,$A69,'51_版本配置事实'!$I$6:$I$127,"EQUIPPED_STANDARD_UNCONFIRMED")&gt;0,"EQUIPPED_STANDARD_UNCONFIRMED",IF(COUNTIFS('51_版本配置事实'!$B$6:$B$127,"PC-N70-BASE-CAND",'51_版本配置事实'!$C$6:$C$127,$A69,'51_版本配置事实'!$I$6:$I$127,"SERIES_CAPABILITY")&gt;0,"SERIES_CAPABILITY",IF(COUNTIFS('51_版本配置事实'!$B$6:$B$127,"PC-N70-BASE-CAND",'51_版本配置事实'!$C$6:$C$127,$A69,'51_版本配置事实'!$I$6:$I$127,"NOT_DISCLOSED")&gt;0,"NOT_DISCLOSED","NOT_DISCLOSED")))))))</x:f>
        <x:v>NOT_DISCLOSED</x:v>
      </x:c>
      <x:c r="D69" s="369" t="str">
        <x:f>IF(COUNTIFS('51_版本配置事实'!$B$6:$B$127,"PC-N70-BASE-CAND",'51_版本配置事实'!$C$6:$C$127,$A69,'51_版本配置事实'!$J$6:$J$127,"STANDARD_CURRENT")&gt;0,"STANDARD_CURRENT","NOT_EVIDENCED")</x:f>
        <x:v>NOT_EVIDENCED</x:v>
      </x:c>
      <x:c r="E69" s="369" t="str">
        <x:f>IF(COUNTIFS('51_版本配置事实'!$B$6:$B$127,"PC-N70-MAX-CAND",'51_版本配置事实'!$C$6:$C$127,$A69,'51_版本配置事实'!$T$6:$T$127,"&lt;&gt;NONE")&gt;0,"CONFLICTED",IF(COUNTIFS('51_版本配置事实'!$B$6:$B$127,"PC-N70-MAX-CAND",'51_版本配置事实'!$C$6:$C$127,$A69,'51_版本配置事实'!$I$6:$I$127,"STANDARD_AT_RELEASE")&gt;0,"STANDARD_AT_RELEASE",IF(COUNTIFS('51_版本配置事实'!$B$6:$B$127,"PC-N70-MAX-CAND",'51_版本配置事实'!$C$6:$C$127,$A69,'51_版本配置事实'!$I$6:$I$127,"OPTIONAL_AT_RELEASE")&gt;0,"OPTIONAL_AT_RELEASE",IF(COUNTIFS('51_版本配置事实'!$B$6:$B$127,"PC-N70-MAX-CAND",'51_版本配置事实'!$C$6:$C$127,$A69,'51_版本配置事实'!$I$6:$I$127,"SEPARATE_PURCHASE")&gt;0,"SEPARATE_PURCHASE",IF(COUNTIFS('51_版本配置事实'!$B$6:$B$127,"PC-N70-MAX-CAND",'51_版本配置事实'!$C$6:$C$127,$A69,'51_版本配置事实'!$I$6:$I$127,"EQUIPPED_STANDARD_UNCONFIRMED")&gt;0,"EQUIPPED_STANDARD_UNCONFIRMED",IF(COUNTIFS('51_版本配置事实'!$B$6:$B$127,"PC-N70-MAX-CAND",'51_版本配置事实'!$C$6:$C$127,$A69,'51_版本配置事实'!$I$6:$I$127,"SERIES_CAPABILITY")&gt;0,"SERIES_CAPABILITY",IF(COUNTIFS('51_版本配置事实'!$B$6:$B$127,"PC-N70-MAX-CAND",'51_版本配置事实'!$C$6:$C$127,$A69,'51_版本配置事实'!$I$6:$I$127,"NOT_DISCLOSED")&gt;0,"NOT_DISCLOSED","NOT_DISCLOSED")))))))</x:f>
        <x:v>NOT_DISCLOSED</x:v>
      </x:c>
      <x:c r="F69" s="369" t="str">
        <x:f>IF(COUNTIFS('51_版本配置事实'!$B$6:$B$127,"PC-N70-MAX-CAND",'51_版本配置事实'!$C$6:$C$127,$A69,'51_版本配置事实'!$J$6:$J$127,"STANDARD_CURRENT")&gt;0,"STANDARD_CURRENT","NOT_EVIDENCED")</x:f>
        <x:v>NOT_EVIDENCED</x:v>
      </x:c>
      <x:c r="G69" s="369" t="str">
        <x:f>IF(COUNTIFS('51_版本配置事实'!$B$6:$B$127,"PC-N90-MAX-CAND",'51_版本配置事实'!$C$6:$C$127,$A69,'51_版本配置事实'!$T$6:$T$127,"&lt;&gt;NONE")&gt;0,"CONFLICTED",IF(COUNTIFS('51_版本配置事实'!$B$6:$B$127,"PC-N90-MAX-CAND",'51_版本配置事实'!$C$6:$C$127,$A69,'51_版本配置事实'!$I$6:$I$127,"STANDARD_AT_RELEASE")&gt;0,"STANDARD_AT_RELEASE",IF(COUNTIFS('51_版本配置事实'!$B$6:$B$127,"PC-N90-MAX-CAND",'51_版本配置事实'!$C$6:$C$127,$A69,'51_版本配置事实'!$I$6:$I$127,"OPTIONAL_AT_RELEASE")&gt;0,"OPTIONAL_AT_RELEASE",IF(COUNTIFS('51_版本配置事实'!$B$6:$B$127,"PC-N90-MAX-CAND",'51_版本配置事实'!$C$6:$C$127,$A69,'51_版本配置事实'!$I$6:$I$127,"SEPARATE_PURCHASE")&gt;0,"SEPARATE_PURCHASE",IF(COUNTIFS('51_版本配置事实'!$B$6:$B$127,"PC-N90-MAX-CAND",'51_版本配置事实'!$C$6:$C$127,$A69,'51_版本配置事实'!$I$6:$I$127,"EQUIPPED_STANDARD_UNCONFIRMED")&gt;0,"EQUIPPED_STANDARD_UNCONFIRMED",IF(COUNTIFS('51_版本配置事实'!$B$6:$B$127,"PC-N90-MAX-CAND",'51_版本配置事实'!$C$6:$C$127,$A69,'51_版本配置事实'!$I$6:$I$127,"SERIES_CAPABILITY")&gt;0,"SERIES_CAPABILITY",IF(COUNTIFS('51_版本配置事实'!$B$6:$B$127,"PC-N90-MAX-CAND",'51_版本配置事实'!$C$6:$C$127,$A69,'51_版本配置事实'!$I$6:$I$127,"NOT_DISCLOSED")&gt;0,"NOT_DISCLOSED","NOT_DISCLOSED")))))))</x:f>
        <x:v>EQUIPPED_STANDARD_UNCONFIRMED</x:v>
      </x:c>
      <x:c r="H69" s="369" t="str">
        <x:f>IF(COUNTIFS('51_版本配置事实'!$B$6:$B$127,"PC-N90-MAX-CAND",'51_版本配置事实'!$C$6:$C$127,$A69,'51_版本配置事实'!$J$6:$J$127,"STANDARD_CURRENT")&gt;0,"STANDARD_CURRENT","NOT_EVIDENCED")</x:f>
        <x:v>NOT_EVIDENCED</x:v>
      </x:c>
      <x:c r="I69" s="369" t="str">
        <x:f>IF(COUNTIFS('51_版本配置事实'!$B$6:$B$127,"PC-N90-ROOF-CAND",'51_版本配置事实'!$C$6:$C$127,$A69,'51_版本配置事实'!$T$6:$T$127,"&lt;&gt;NONE")&gt;0,"CONFLICTED",IF(COUNTIFS('51_版本配置事实'!$B$6:$B$127,"PC-N90-ROOF-CAND",'51_版本配置事实'!$C$6:$C$127,$A69,'51_版本配置事实'!$I$6:$I$127,"STANDARD_AT_RELEASE")&gt;0,"STANDARD_AT_RELEASE",IF(COUNTIFS('51_版本配置事实'!$B$6:$B$127,"PC-N90-ROOF-CAND",'51_版本配置事实'!$C$6:$C$127,$A69,'51_版本配置事实'!$I$6:$I$127,"OPTIONAL_AT_RELEASE")&gt;0,"OPTIONAL_AT_RELEASE",IF(COUNTIFS('51_版本配置事实'!$B$6:$B$127,"PC-N90-ROOF-CAND",'51_版本配置事实'!$C$6:$C$127,$A69,'51_版本配置事实'!$I$6:$I$127,"SEPARATE_PURCHASE")&gt;0,"SEPARATE_PURCHASE",IF(COUNTIFS('51_版本配置事实'!$B$6:$B$127,"PC-N90-ROOF-CAND",'51_版本配置事实'!$C$6:$C$127,$A69,'51_版本配置事实'!$I$6:$I$127,"EQUIPPED_STANDARD_UNCONFIRMED")&gt;0,"EQUIPPED_STANDARD_UNCONFIRMED",IF(COUNTIFS('51_版本配置事实'!$B$6:$B$127,"PC-N90-ROOF-CAND",'51_版本配置事实'!$C$6:$C$127,$A69,'51_版本配置事实'!$I$6:$I$127,"SERIES_CAPABILITY")&gt;0,"SERIES_CAPABILITY",IF(COUNTIFS('51_版本配置事实'!$B$6:$B$127,"PC-N90-ROOF-CAND",'51_版本配置事实'!$C$6:$C$127,$A69,'51_版本配置事实'!$I$6:$I$127,"NOT_DISCLOSED")&gt;0,"NOT_DISCLOSED","NOT_DISCLOSED")))))))</x:f>
        <x:v>NOT_DISCLOSED</x:v>
      </x:c>
      <x:c r="J69" s="369" t="str">
        <x:f>IF(COUNTIFS('51_版本配置事实'!$B$6:$B$127,"PC-N90-ROOF-CAND",'51_版本配置事实'!$C$6:$C$127,$A69,'51_版本配置事实'!$J$6:$J$127,"STANDARD_CURRENT")&gt;0,"STANDARD_CURRENT","NOT_EVIDENCED")</x:f>
        <x:v>NOT_EVIDENCED</x:v>
      </x:c>
      <x:c r="K69" s="369" t="str">
        <x:f>IF(AND(E69=G69,E69&lt;&gt;"NOT_DISCLOSED",E69&lt;&gt;"CONFLICTED"),IF(COUNTIFS('50_发布会逐项主张'!$H$6:$H$137,$A69,'50_发布会逐项主张'!$O$6:$O$137,"ALL_PENGCHENG")&gt;0,"EXPLICIT_COMMON_ANNOUNCED_MAX","MATCHED_NOT_PROVED_COMMON"),"NOT_PROVED_COMMON")</x:f>
        <x:v>NOT_PROVED_COMMON</x:v>
      </x:c>
      <x:c r="L69" s="369" t="str">
        <x:f>IF(OR(C69="NOT_DISCLOSED",E69="NOT_DISCLOSED",C69="CONFLICTED",E69="CONFLICTED"),"UNRESOLVED",IF(C69=E69,"NO_CHANGE",IF(AND(C69="STANDARD_AT_RELEASE",E69="OPTIONAL_AT_RELEASE"),"STANDARD_TO_OPTIONAL",IF(AND(C69="OPTIONAL_AT_RELEASE",E69="STANDARD_AT_RELEASE"),"OPTIONAL_TO_STANDARD",IF(E69="STANDARD_AT_RELEASE","ADDED_STANDARD","REVIEW_CHANGE")))))</x:f>
        <x:v>UNRESOLVED</x:v>
      </x:c>
      <x:c r="M69" s="369" t="str">
        <x:f>IF(OR(E69="NOT_DISCLOSED",G69="NOT_DISCLOSED",E69="CONFLICTED",G69="CONFLICTED"),"UNRESOLVED",IF(E69=G69,"NO_CHANGE",IF(AND(E69="STANDARD_AT_RELEASE",G69="OPTIONAL_AT_RELEASE"),"STANDARD_TO_OPTIONAL",IF(AND(E69="OPTIONAL_AT_RELEASE",G69="STANDARD_AT_RELEASE"),"OPTIONAL_TO_STANDARD",IF(G69="STANDARD_AT_RELEASE","ADDED_STANDARD","REVIEW_CHANGE")))))</x:f>
        <x:v>UNRESOLVED</x:v>
      </x:c>
      <x:c r="N69" s="369" t="str">
        <x:f>IF(OR(G69="NOT_DISCLOSED",I69="NOT_DISCLOSED",G69="CONFLICTED",I69="CONFLICTED"),"UNRESOLVED",IF(G69=I69,"NO_CHANGE",IF(AND(G69="STANDARD_AT_RELEASE",I69="OPTIONAL_AT_RELEASE"),"STANDARD_TO_OPTIONAL",IF(AND(G69="OPTIONAL_AT_RELEASE",I69="STANDARD_AT_RELEASE"),"OPTIONAL_TO_STANDARD",IF(I69="STANDARD_AT_RELEASE","ADDED_STANDARD","REVIEW_CHANGE")))))</x:f>
        <x:v>UNRESOLVED</x:v>
      </x:c>
      <x:c r="O69" s="369" t="str">
        <x:v>BODY_SPACE_SAFETY</x:v>
      </x:c>
      <x:c r="P69" s="369" t="str">
        <x:v>DC_BODY_SPACE_seat_count</x:v>
      </x:c>
      <x:c r="Q69" s="369" t="n">
        <x:f>COUNTIF('50_发布会逐项主张'!$H$6:$H$137,A69)</x:f>
        <x:v>1</x:v>
      </x:c>
      <x:c r="R69" s="369" t="str">
        <x:f>IF(COUNTIFS('50_发布会逐项主张'!$H$6:$H$137,A69,'50_发布会逐项主张'!$X$6:$X$137,"&lt;&gt;NONE")&gt;0,"CONFLICTED","NONE")</x:f>
        <x:v>NONE</x:v>
      </x:c>
    </x:row>
    <x:row r="70" ht="48" customHeight="1">
      <x:c r="A70" s="19" t="str">
        <x:v>seat_layout</x:v>
      </x:c>
      <x:c r="B70" s="19" t="str">
        <x:v>BODY_SPACE</x:v>
      </x:c>
      <x:c r="C70" s="19" t="str">
        <x:f>IF(COUNTIFS('51_版本配置事实'!$B$6:$B$127,"PC-N70-BASE-CAND",'51_版本配置事实'!$C$6:$C$127,$A70,'51_版本配置事实'!$T$6:$T$127,"&lt;&gt;NONE")&gt;0,"CONFLICTED",IF(COUNTIFS('51_版本配置事实'!$B$6:$B$127,"PC-N70-BASE-CAND",'51_版本配置事实'!$C$6:$C$127,$A70,'51_版本配置事实'!$I$6:$I$127,"STANDARD_AT_RELEASE")&gt;0,"STANDARD_AT_RELEASE",IF(COUNTIFS('51_版本配置事实'!$B$6:$B$127,"PC-N70-BASE-CAND",'51_版本配置事实'!$C$6:$C$127,$A70,'51_版本配置事实'!$I$6:$I$127,"OPTIONAL_AT_RELEASE")&gt;0,"OPTIONAL_AT_RELEASE",IF(COUNTIFS('51_版本配置事实'!$B$6:$B$127,"PC-N70-BASE-CAND",'51_版本配置事实'!$C$6:$C$127,$A70,'51_版本配置事实'!$I$6:$I$127,"SEPARATE_PURCHASE")&gt;0,"SEPARATE_PURCHASE",IF(COUNTIFS('51_版本配置事实'!$B$6:$B$127,"PC-N70-BASE-CAND",'51_版本配置事实'!$C$6:$C$127,$A70,'51_版本配置事实'!$I$6:$I$127,"EQUIPPED_STANDARD_UNCONFIRMED")&gt;0,"EQUIPPED_STANDARD_UNCONFIRMED",IF(COUNTIFS('51_版本配置事实'!$B$6:$B$127,"PC-N70-BASE-CAND",'51_版本配置事实'!$C$6:$C$127,$A70,'51_版本配置事实'!$I$6:$I$127,"SERIES_CAPABILITY")&gt;0,"SERIES_CAPABILITY",IF(COUNTIFS('51_版本配置事实'!$B$6:$B$127,"PC-N70-BASE-CAND",'51_版本配置事实'!$C$6:$C$127,$A70,'51_版本配置事实'!$I$6:$I$127,"NOT_DISCLOSED")&gt;0,"NOT_DISCLOSED","NOT_DISCLOSED")))))))</x:f>
        <x:v>NOT_DISCLOSED</x:v>
      </x:c>
      <x:c r="D70" s="19" t="str">
        <x:f>IF(COUNTIFS('51_版本配置事实'!$B$6:$B$127,"PC-N70-BASE-CAND",'51_版本配置事实'!$C$6:$C$127,$A70,'51_版本配置事实'!$J$6:$J$127,"STANDARD_CURRENT")&gt;0,"STANDARD_CURRENT","NOT_EVIDENCED")</x:f>
        <x:v>NOT_EVIDENCED</x:v>
      </x:c>
      <x:c r="E70" s="19" t="str">
        <x:f>IF(COUNTIFS('51_版本配置事实'!$B$6:$B$127,"PC-N70-MAX-CAND",'51_版本配置事实'!$C$6:$C$127,$A70,'51_版本配置事实'!$T$6:$T$127,"&lt;&gt;NONE")&gt;0,"CONFLICTED",IF(COUNTIFS('51_版本配置事实'!$B$6:$B$127,"PC-N70-MAX-CAND",'51_版本配置事实'!$C$6:$C$127,$A70,'51_版本配置事实'!$I$6:$I$127,"STANDARD_AT_RELEASE")&gt;0,"STANDARD_AT_RELEASE",IF(COUNTIFS('51_版本配置事实'!$B$6:$B$127,"PC-N70-MAX-CAND",'51_版本配置事实'!$C$6:$C$127,$A70,'51_版本配置事实'!$I$6:$I$127,"OPTIONAL_AT_RELEASE")&gt;0,"OPTIONAL_AT_RELEASE",IF(COUNTIFS('51_版本配置事实'!$B$6:$B$127,"PC-N70-MAX-CAND",'51_版本配置事实'!$C$6:$C$127,$A70,'51_版本配置事实'!$I$6:$I$127,"SEPARATE_PURCHASE")&gt;0,"SEPARATE_PURCHASE",IF(COUNTIFS('51_版本配置事实'!$B$6:$B$127,"PC-N70-MAX-CAND",'51_版本配置事实'!$C$6:$C$127,$A70,'51_版本配置事实'!$I$6:$I$127,"EQUIPPED_STANDARD_UNCONFIRMED")&gt;0,"EQUIPPED_STANDARD_UNCONFIRMED",IF(COUNTIFS('51_版本配置事实'!$B$6:$B$127,"PC-N70-MAX-CAND",'51_版本配置事实'!$C$6:$C$127,$A70,'51_版本配置事实'!$I$6:$I$127,"SERIES_CAPABILITY")&gt;0,"SERIES_CAPABILITY",IF(COUNTIFS('51_版本配置事实'!$B$6:$B$127,"PC-N70-MAX-CAND",'51_版本配置事实'!$C$6:$C$127,$A70,'51_版本配置事实'!$I$6:$I$127,"NOT_DISCLOSED")&gt;0,"NOT_DISCLOSED","NOT_DISCLOSED")))))))</x:f>
        <x:v>NOT_DISCLOSED</x:v>
      </x:c>
      <x:c r="F70" s="19" t="str">
        <x:f>IF(COUNTIFS('51_版本配置事实'!$B$6:$B$127,"PC-N70-MAX-CAND",'51_版本配置事实'!$C$6:$C$127,$A70,'51_版本配置事实'!$J$6:$J$127,"STANDARD_CURRENT")&gt;0,"STANDARD_CURRENT","NOT_EVIDENCED")</x:f>
        <x:v>NOT_EVIDENCED</x:v>
      </x:c>
      <x:c r="G70" s="19" t="str">
        <x:f>IF(COUNTIFS('51_版本配置事实'!$B$6:$B$127,"PC-N90-MAX-CAND",'51_版本配置事实'!$C$6:$C$127,$A70,'51_版本配置事实'!$T$6:$T$127,"&lt;&gt;NONE")&gt;0,"CONFLICTED",IF(COUNTIFS('51_版本配置事实'!$B$6:$B$127,"PC-N90-MAX-CAND",'51_版本配置事实'!$C$6:$C$127,$A70,'51_版本配置事实'!$I$6:$I$127,"STANDARD_AT_RELEASE")&gt;0,"STANDARD_AT_RELEASE",IF(COUNTIFS('51_版本配置事实'!$B$6:$B$127,"PC-N90-MAX-CAND",'51_版本配置事实'!$C$6:$C$127,$A70,'51_版本配置事实'!$I$6:$I$127,"OPTIONAL_AT_RELEASE")&gt;0,"OPTIONAL_AT_RELEASE",IF(COUNTIFS('51_版本配置事实'!$B$6:$B$127,"PC-N90-MAX-CAND",'51_版本配置事实'!$C$6:$C$127,$A70,'51_版本配置事实'!$I$6:$I$127,"SEPARATE_PURCHASE")&gt;0,"SEPARATE_PURCHASE",IF(COUNTIFS('51_版本配置事实'!$B$6:$B$127,"PC-N90-MAX-CAND",'51_版本配置事实'!$C$6:$C$127,$A70,'51_版本配置事实'!$I$6:$I$127,"EQUIPPED_STANDARD_UNCONFIRMED")&gt;0,"EQUIPPED_STANDARD_UNCONFIRMED",IF(COUNTIFS('51_版本配置事实'!$B$6:$B$127,"PC-N90-MAX-CAND",'51_版本配置事实'!$C$6:$C$127,$A70,'51_版本配置事实'!$I$6:$I$127,"SERIES_CAPABILITY")&gt;0,"SERIES_CAPABILITY",IF(COUNTIFS('51_版本配置事实'!$B$6:$B$127,"PC-N90-MAX-CAND",'51_版本配置事实'!$C$6:$C$127,$A70,'51_版本配置事实'!$I$6:$I$127,"NOT_DISCLOSED")&gt;0,"NOT_DISCLOSED","NOT_DISCLOSED")))))))</x:f>
        <x:v>EQUIPPED_STANDARD_UNCONFIRMED</x:v>
      </x:c>
      <x:c r="H70" s="19" t="str">
        <x:f>IF(COUNTIFS('51_版本配置事实'!$B$6:$B$127,"PC-N90-MAX-CAND",'51_版本配置事实'!$C$6:$C$127,$A70,'51_版本配置事实'!$J$6:$J$127,"STANDARD_CURRENT")&gt;0,"STANDARD_CURRENT","NOT_EVIDENCED")</x:f>
        <x:v>NOT_EVIDENCED</x:v>
      </x:c>
      <x:c r="I70" s="19" t="str">
        <x:f>IF(COUNTIFS('51_版本配置事实'!$B$6:$B$127,"PC-N90-ROOF-CAND",'51_版本配置事实'!$C$6:$C$127,$A70,'51_版本配置事实'!$T$6:$T$127,"&lt;&gt;NONE")&gt;0,"CONFLICTED",IF(COUNTIFS('51_版本配置事实'!$B$6:$B$127,"PC-N90-ROOF-CAND",'51_版本配置事实'!$C$6:$C$127,$A70,'51_版本配置事实'!$I$6:$I$127,"STANDARD_AT_RELEASE")&gt;0,"STANDARD_AT_RELEASE",IF(COUNTIFS('51_版本配置事实'!$B$6:$B$127,"PC-N90-ROOF-CAND",'51_版本配置事实'!$C$6:$C$127,$A70,'51_版本配置事实'!$I$6:$I$127,"OPTIONAL_AT_RELEASE")&gt;0,"OPTIONAL_AT_RELEASE",IF(COUNTIFS('51_版本配置事实'!$B$6:$B$127,"PC-N90-ROOF-CAND",'51_版本配置事实'!$C$6:$C$127,$A70,'51_版本配置事实'!$I$6:$I$127,"SEPARATE_PURCHASE")&gt;0,"SEPARATE_PURCHASE",IF(COUNTIFS('51_版本配置事实'!$B$6:$B$127,"PC-N90-ROOF-CAND",'51_版本配置事实'!$C$6:$C$127,$A70,'51_版本配置事实'!$I$6:$I$127,"EQUIPPED_STANDARD_UNCONFIRMED")&gt;0,"EQUIPPED_STANDARD_UNCONFIRMED",IF(COUNTIFS('51_版本配置事实'!$B$6:$B$127,"PC-N90-ROOF-CAND",'51_版本配置事实'!$C$6:$C$127,$A70,'51_版本配置事实'!$I$6:$I$127,"SERIES_CAPABILITY")&gt;0,"SERIES_CAPABILITY",IF(COUNTIFS('51_版本配置事实'!$B$6:$B$127,"PC-N90-ROOF-CAND",'51_版本配置事实'!$C$6:$C$127,$A70,'51_版本配置事实'!$I$6:$I$127,"NOT_DISCLOSED")&gt;0,"NOT_DISCLOSED","NOT_DISCLOSED")))))))</x:f>
        <x:v>NOT_DISCLOSED</x:v>
      </x:c>
      <x:c r="J70" s="19" t="str">
        <x:f>IF(COUNTIFS('51_版本配置事实'!$B$6:$B$127,"PC-N90-ROOF-CAND",'51_版本配置事实'!$C$6:$C$127,$A70,'51_版本配置事实'!$J$6:$J$127,"STANDARD_CURRENT")&gt;0,"STANDARD_CURRENT","NOT_EVIDENCED")</x:f>
        <x:v>NOT_EVIDENCED</x:v>
      </x:c>
      <x:c r="K70" s="19" t="str">
        <x:f>IF(AND(E70=G70,E70&lt;&gt;"NOT_DISCLOSED",E70&lt;&gt;"CONFLICTED"),IF(COUNTIFS('50_发布会逐项主张'!$H$6:$H$137,$A70,'50_发布会逐项主张'!$O$6:$O$137,"ALL_PENGCHENG")&gt;0,"EXPLICIT_COMMON_ANNOUNCED_MAX","MATCHED_NOT_PROVED_COMMON"),"NOT_PROVED_COMMON")</x:f>
        <x:v>NOT_PROVED_COMMON</x:v>
      </x:c>
      <x:c r="L70" s="19" t="str">
        <x:f>IF(OR(C70="NOT_DISCLOSED",E70="NOT_DISCLOSED",C70="CONFLICTED",E70="CONFLICTED"),"UNRESOLVED",IF(C70=E70,"NO_CHANGE",IF(AND(C70="STANDARD_AT_RELEASE",E70="OPTIONAL_AT_RELEASE"),"STANDARD_TO_OPTIONAL",IF(AND(C70="OPTIONAL_AT_RELEASE",E70="STANDARD_AT_RELEASE"),"OPTIONAL_TO_STANDARD",IF(E70="STANDARD_AT_RELEASE","ADDED_STANDARD","REVIEW_CHANGE")))))</x:f>
        <x:v>UNRESOLVED</x:v>
      </x:c>
      <x:c r="M70" s="19" t="str">
        <x:f>IF(OR(E70="NOT_DISCLOSED",G70="NOT_DISCLOSED",E70="CONFLICTED",G70="CONFLICTED"),"UNRESOLVED",IF(E70=G70,"NO_CHANGE",IF(AND(E70="STANDARD_AT_RELEASE",G70="OPTIONAL_AT_RELEASE"),"STANDARD_TO_OPTIONAL",IF(AND(E70="OPTIONAL_AT_RELEASE",G70="STANDARD_AT_RELEASE"),"OPTIONAL_TO_STANDARD",IF(G70="STANDARD_AT_RELEASE","ADDED_STANDARD","REVIEW_CHANGE")))))</x:f>
        <x:v>UNRESOLVED</x:v>
      </x:c>
      <x:c r="N70" s="19" t="str">
        <x:f>IF(OR(G70="NOT_DISCLOSED",I70="NOT_DISCLOSED",G70="CONFLICTED",I70="CONFLICTED"),"UNRESOLVED",IF(G70=I70,"NO_CHANGE",IF(AND(G70="STANDARD_AT_RELEASE",I70="OPTIONAL_AT_RELEASE"),"STANDARD_TO_OPTIONAL",IF(AND(G70="OPTIONAL_AT_RELEASE",I70="STANDARD_AT_RELEASE"),"OPTIONAL_TO_STANDARD",IF(I70="STANDARD_AT_RELEASE","ADDED_STANDARD","REVIEW_CHANGE")))))</x:f>
        <x:v>UNRESOLVED</x:v>
      </x:c>
      <x:c r="O70" s="19" t="str">
        <x:v>BODY_SPACE_SAFETY</x:v>
      </x:c>
      <x:c r="P70" s="19" t="str">
        <x:v>DC_BODY_SPACE_seat_layout</x:v>
      </x:c>
      <x:c r="Q70" s="19" t="n">
        <x:f>COUNTIF('50_发布会逐项主张'!$H$6:$H$137,A70)</x:f>
        <x:v>1</x:v>
      </x:c>
      <x:c r="R70" s="19" t="str">
        <x:f>IF(COUNTIFS('50_发布会逐项主张'!$H$6:$H$137,A70,'50_发布会逐项主张'!$X$6:$X$137,"&lt;&gt;NONE")&gt;0,"CONFLICTED","NONE")</x:f>
        <x:v>NONE</x:v>
      </x:c>
    </x:row>
    <x:row r="71" ht="48" customHeight="1">
      <x:c r="A71" s="369" t="str">
        <x:v>seat_massage</x:v>
      </x:c>
      <x:c r="B71" s="369" t="str">
        <x:v>COMFORT</x:v>
      </x:c>
      <x:c r="C71" s="369" t="str">
        <x:f>IF(COUNTIFS('51_版本配置事实'!$B$6:$B$127,"PC-N70-BASE-CAND",'51_版本配置事实'!$C$6:$C$127,$A71,'51_版本配置事实'!$T$6:$T$127,"&lt;&gt;NONE")&gt;0,"CONFLICTED",IF(COUNTIFS('51_版本配置事实'!$B$6:$B$127,"PC-N70-BASE-CAND",'51_版本配置事实'!$C$6:$C$127,$A71,'51_版本配置事实'!$I$6:$I$127,"STANDARD_AT_RELEASE")&gt;0,"STANDARD_AT_RELEASE",IF(COUNTIFS('51_版本配置事实'!$B$6:$B$127,"PC-N70-BASE-CAND",'51_版本配置事实'!$C$6:$C$127,$A71,'51_版本配置事实'!$I$6:$I$127,"OPTIONAL_AT_RELEASE")&gt;0,"OPTIONAL_AT_RELEASE",IF(COUNTIFS('51_版本配置事实'!$B$6:$B$127,"PC-N70-BASE-CAND",'51_版本配置事实'!$C$6:$C$127,$A71,'51_版本配置事实'!$I$6:$I$127,"SEPARATE_PURCHASE")&gt;0,"SEPARATE_PURCHASE",IF(COUNTIFS('51_版本配置事实'!$B$6:$B$127,"PC-N70-BASE-CAND",'51_版本配置事实'!$C$6:$C$127,$A71,'51_版本配置事实'!$I$6:$I$127,"EQUIPPED_STANDARD_UNCONFIRMED")&gt;0,"EQUIPPED_STANDARD_UNCONFIRMED",IF(COUNTIFS('51_版本配置事实'!$B$6:$B$127,"PC-N70-BASE-CAND",'51_版本配置事实'!$C$6:$C$127,$A71,'51_版本配置事实'!$I$6:$I$127,"SERIES_CAPABILITY")&gt;0,"SERIES_CAPABILITY",IF(COUNTIFS('51_版本配置事实'!$B$6:$B$127,"PC-N70-BASE-CAND",'51_版本配置事实'!$C$6:$C$127,$A71,'51_版本配置事实'!$I$6:$I$127,"NOT_DISCLOSED")&gt;0,"NOT_DISCLOSED","NOT_DISCLOSED")))))))</x:f>
        <x:v>NOT_DISCLOSED</x:v>
      </x:c>
      <x:c r="D71" s="369" t="str">
        <x:f>IF(COUNTIFS('51_版本配置事实'!$B$6:$B$127,"PC-N70-BASE-CAND",'51_版本配置事实'!$C$6:$C$127,$A71,'51_版本配置事实'!$J$6:$J$127,"STANDARD_CURRENT")&gt;0,"STANDARD_CURRENT","NOT_EVIDENCED")</x:f>
        <x:v>NOT_EVIDENCED</x:v>
      </x:c>
      <x:c r="E71" s="369" t="str">
        <x:f>IF(COUNTIFS('51_版本配置事实'!$B$6:$B$127,"PC-N70-MAX-CAND",'51_版本配置事实'!$C$6:$C$127,$A71,'51_版本配置事实'!$T$6:$T$127,"&lt;&gt;NONE")&gt;0,"CONFLICTED",IF(COUNTIFS('51_版本配置事实'!$B$6:$B$127,"PC-N70-MAX-CAND",'51_版本配置事实'!$C$6:$C$127,$A71,'51_版本配置事实'!$I$6:$I$127,"STANDARD_AT_RELEASE")&gt;0,"STANDARD_AT_RELEASE",IF(COUNTIFS('51_版本配置事实'!$B$6:$B$127,"PC-N70-MAX-CAND",'51_版本配置事实'!$C$6:$C$127,$A71,'51_版本配置事实'!$I$6:$I$127,"OPTIONAL_AT_RELEASE")&gt;0,"OPTIONAL_AT_RELEASE",IF(COUNTIFS('51_版本配置事实'!$B$6:$B$127,"PC-N70-MAX-CAND",'51_版本配置事实'!$C$6:$C$127,$A71,'51_版本配置事实'!$I$6:$I$127,"SEPARATE_PURCHASE")&gt;0,"SEPARATE_PURCHASE",IF(COUNTIFS('51_版本配置事实'!$B$6:$B$127,"PC-N70-MAX-CAND",'51_版本配置事实'!$C$6:$C$127,$A71,'51_版本配置事实'!$I$6:$I$127,"EQUIPPED_STANDARD_UNCONFIRMED")&gt;0,"EQUIPPED_STANDARD_UNCONFIRMED",IF(COUNTIFS('51_版本配置事实'!$B$6:$B$127,"PC-N70-MAX-CAND",'51_版本配置事实'!$C$6:$C$127,$A71,'51_版本配置事实'!$I$6:$I$127,"SERIES_CAPABILITY")&gt;0,"SERIES_CAPABILITY",IF(COUNTIFS('51_版本配置事实'!$B$6:$B$127,"PC-N70-MAX-CAND",'51_版本配置事实'!$C$6:$C$127,$A71,'51_版本配置事实'!$I$6:$I$127,"NOT_DISCLOSED")&gt;0,"NOT_DISCLOSED","NOT_DISCLOSED")))))))</x:f>
        <x:v>NOT_DISCLOSED</x:v>
      </x:c>
      <x:c r="F71" s="369" t="str">
        <x:f>IF(COUNTIFS('51_版本配置事实'!$B$6:$B$127,"PC-N70-MAX-CAND",'51_版本配置事实'!$C$6:$C$127,$A71,'51_版本配置事实'!$J$6:$J$127,"STANDARD_CURRENT")&gt;0,"STANDARD_CURRENT","NOT_EVIDENCED")</x:f>
        <x:v>NOT_EVIDENCED</x:v>
      </x:c>
      <x:c r="G71" s="369" t="str">
        <x:f>IF(COUNTIFS('51_版本配置事实'!$B$6:$B$127,"PC-N90-MAX-CAND",'51_版本配置事实'!$C$6:$C$127,$A71,'51_版本配置事实'!$T$6:$T$127,"&lt;&gt;NONE")&gt;0,"CONFLICTED",IF(COUNTIFS('51_版本配置事实'!$B$6:$B$127,"PC-N90-MAX-CAND",'51_版本配置事实'!$C$6:$C$127,$A71,'51_版本配置事实'!$I$6:$I$127,"STANDARD_AT_RELEASE")&gt;0,"STANDARD_AT_RELEASE",IF(COUNTIFS('51_版本配置事实'!$B$6:$B$127,"PC-N90-MAX-CAND",'51_版本配置事实'!$C$6:$C$127,$A71,'51_版本配置事实'!$I$6:$I$127,"OPTIONAL_AT_RELEASE")&gt;0,"OPTIONAL_AT_RELEASE",IF(COUNTIFS('51_版本配置事实'!$B$6:$B$127,"PC-N90-MAX-CAND",'51_版本配置事实'!$C$6:$C$127,$A71,'51_版本配置事实'!$I$6:$I$127,"SEPARATE_PURCHASE")&gt;0,"SEPARATE_PURCHASE",IF(COUNTIFS('51_版本配置事实'!$B$6:$B$127,"PC-N90-MAX-CAND",'51_版本配置事实'!$C$6:$C$127,$A71,'51_版本配置事实'!$I$6:$I$127,"EQUIPPED_STANDARD_UNCONFIRMED")&gt;0,"EQUIPPED_STANDARD_UNCONFIRMED",IF(COUNTIFS('51_版本配置事实'!$B$6:$B$127,"PC-N90-MAX-CAND",'51_版本配置事实'!$C$6:$C$127,$A71,'51_版本配置事实'!$I$6:$I$127,"SERIES_CAPABILITY")&gt;0,"SERIES_CAPABILITY",IF(COUNTIFS('51_版本配置事实'!$B$6:$B$127,"PC-N90-MAX-CAND",'51_版本配置事实'!$C$6:$C$127,$A71,'51_版本配置事实'!$I$6:$I$127,"NOT_DISCLOSED")&gt;0,"NOT_DISCLOSED","NOT_DISCLOSED")))))))</x:f>
        <x:v>EQUIPPED_STANDARD_UNCONFIRMED</x:v>
      </x:c>
      <x:c r="H71" s="369" t="str">
        <x:f>IF(COUNTIFS('51_版本配置事实'!$B$6:$B$127,"PC-N90-MAX-CAND",'51_版本配置事实'!$C$6:$C$127,$A71,'51_版本配置事实'!$J$6:$J$127,"STANDARD_CURRENT")&gt;0,"STANDARD_CURRENT","NOT_EVIDENCED")</x:f>
        <x:v>NOT_EVIDENCED</x:v>
      </x:c>
      <x:c r="I71" s="369" t="str">
        <x:f>IF(COUNTIFS('51_版本配置事实'!$B$6:$B$127,"PC-N90-ROOF-CAND",'51_版本配置事实'!$C$6:$C$127,$A71,'51_版本配置事实'!$T$6:$T$127,"&lt;&gt;NONE")&gt;0,"CONFLICTED",IF(COUNTIFS('51_版本配置事实'!$B$6:$B$127,"PC-N90-ROOF-CAND",'51_版本配置事实'!$C$6:$C$127,$A71,'51_版本配置事实'!$I$6:$I$127,"STANDARD_AT_RELEASE")&gt;0,"STANDARD_AT_RELEASE",IF(COUNTIFS('51_版本配置事实'!$B$6:$B$127,"PC-N90-ROOF-CAND",'51_版本配置事实'!$C$6:$C$127,$A71,'51_版本配置事实'!$I$6:$I$127,"OPTIONAL_AT_RELEASE")&gt;0,"OPTIONAL_AT_RELEASE",IF(COUNTIFS('51_版本配置事实'!$B$6:$B$127,"PC-N90-ROOF-CAND",'51_版本配置事实'!$C$6:$C$127,$A71,'51_版本配置事实'!$I$6:$I$127,"SEPARATE_PURCHASE")&gt;0,"SEPARATE_PURCHASE",IF(COUNTIFS('51_版本配置事实'!$B$6:$B$127,"PC-N90-ROOF-CAND",'51_版本配置事实'!$C$6:$C$127,$A71,'51_版本配置事实'!$I$6:$I$127,"EQUIPPED_STANDARD_UNCONFIRMED")&gt;0,"EQUIPPED_STANDARD_UNCONFIRMED",IF(COUNTIFS('51_版本配置事实'!$B$6:$B$127,"PC-N90-ROOF-CAND",'51_版本配置事实'!$C$6:$C$127,$A71,'51_版本配置事实'!$I$6:$I$127,"SERIES_CAPABILITY")&gt;0,"SERIES_CAPABILITY",IF(COUNTIFS('51_版本配置事实'!$B$6:$B$127,"PC-N90-ROOF-CAND",'51_版本配置事实'!$C$6:$C$127,$A71,'51_版本配置事实'!$I$6:$I$127,"NOT_DISCLOSED")&gt;0,"NOT_DISCLOSED","NOT_DISCLOSED")))))))</x:f>
        <x:v>NOT_DISCLOSED</x:v>
      </x:c>
      <x:c r="J71" s="369" t="str">
        <x:f>IF(COUNTIFS('51_版本配置事实'!$B$6:$B$127,"PC-N90-ROOF-CAND",'51_版本配置事实'!$C$6:$C$127,$A71,'51_版本配置事实'!$J$6:$J$127,"STANDARD_CURRENT")&gt;0,"STANDARD_CURRENT","NOT_EVIDENCED")</x:f>
        <x:v>NOT_EVIDENCED</x:v>
      </x:c>
      <x:c r="K71" s="369" t="str">
        <x:f>IF(AND(E71=G71,E71&lt;&gt;"NOT_DISCLOSED",E71&lt;&gt;"CONFLICTED"),IF(COUNTIFS('50_发布会逐项主张'!$H$6:$H$137,$A71,'50_发布会逐项主张'!$O$6:$O$137,"ALL_PENGCHENG")&gt;0,"EXPLICIT_COMMON_ANNOUNCED_MAX","MATCHED_NOT_PROVED_COMMON"),"NOT_PROVED_COMMON")</x:f>
        <x:v>NOT_PROVED_COMMON</x:v>
      </x:c>
      <x:c r="L71" s="369" t="str">
        <x:f>IF(OR(C71="NOT_DISCLOSED",E71="NOT_DISCLOSED",C71="CONFLICTED",E71="CONFLICTED"),"UNRESOLVED",IF(C71=E71,"NO_CHANGE",IF(AND(C71="STANDARD_AT_RELEASE",E71="OPTIONAL_AT_RELEASE"),"STANDARD_TO_OPTIONAL",IF(AND(C71="OPTIONAL_AT_RELEASE",E71="STANDARD_AT_RELEASE"),"OPTIONAL_TO_STANDARD",IF(E71="STANDARD_AT_RELEASE","ADDED_STANDARD","REVIEW_CHANGE")))))</x:f>
        <x:v>UNRESOLVED</x:v>
      </x:c>
      <x:c r="M71" s="369" t="str">
        <x:f>IF(OR(E71="NOT_DISCLOSED",G71="NOT_DISCLOSED",E71="CONFLICTED",G71="CONFLICTED"),"UNRESOLVED",IF(E71=G71,"NO_CHANGE",IF(AND(E71="STANDARD_AT_RELEASE",G71="OPTIONAL_AT_RELEASE"),"STANDARD_TO_OPTIONAL",IF(AND(E71="OPTIONAL_AT_RELEASE",G71="STANDARD_AT_RELEASE"),"OPTIONAL_TO_STANDARD",IF(G71="STANDARD_AT_RELEASE","ADDED_STANDARD","REVIEW_CHANGE")))))</x:f>
        <x:v>UNRESOLVED</x:v>
      </x:c>
      <x:c r="N71" s="369" t="str">
        <x:f>IF(OR(G71="NOT_DISCLOSED",I71="NOT_DISCLOSED",G71="CONFLICTED",I71="CONFLICTED"),"UNRESOLVED",IF(G71=I71,"NO_CHANGE",IF(AND(G71="STANDARD_AT_RELEASE",I71="OPTIONAL_AT_RELEASE"),"STANDARD_TO_OPTIONAL",IF(AND(G71="OPTIONAL_AT_RELEASE",I71="STANDARD_AT_RELEASE"),"OPTIONAL_TO_STANDARD",IF(I71="STANDARD_AT_RELEASE","ADDED_STANDARD","REVIEW_CHANGE")))))</x:f>
        <x:v>UNRESOLVED</x:v>
      </x:c>
      <x:c r="O71" s="369" t="str">
        <x:v>CABIN_COMFORT</x:v>
      </x:c>
      <x:c r="P71" s="369" t="str">
        <x:v>DC_COMFORT_seat_massage</x:v>
      </x:c>
      <x:c r="Q71" s="369" t="n">
        <x:f>COUNTIF('50_发布会逐项主张'!$H$6:$H$137,A71)</x:f>
        <x:v>1</x:v>
      </x:c>
      <x:c r="R71" s="369" t="str">
        <x:f>IF(COUNTIFS('50_发布会逐项主张'!$H$6:$H$137,A71,'50_发布会逐项主张'!$X$6:$X$137,"&lt;&gt;NONE")&gt;0,"CONFLICTED","NONE")</x:f>
        <x:v>NONE</x:v>
      </x:c>
    </x:row>
    <x:row r="72" ht="48" customHeight="1">
      <x:c r="A72" s="19" t="str">
        <x:v>seat_vent_heat</x:v>
      </x:c>
      <x:c r="B72" s="19" t="str">
        <x:v>COMFORT</x:v>
      </x:c>
      <x:c r="C72" s="19" t="str">
        <x:f>IF(COUNTIFS('51_版本配置事实'!$B$6:$B$127,"PC-N70-BASE-CAND",'51_版本配置事实'!$C$6:$C$127,$A72,'51_版本配置事实'!$T$6:$T$127,"&lt;&gt;NONE")&gt;0,"CONFLICTED",IF(COUNTIFS('51_版本配置事实'!$B$6:$B$127,"PC-N70-BASE-CAND",'51_版本配置事实'!$C$6:$C$127,$A72,'51_版本配置事实'!$I$6:$I$127,"STANDARD_AT_RELEASE")&gt;0,"STANDARD_AT_RELEASE",IF(COUNTIFS('51_版本配置事实'!$B$6:$B$127,"PC-N70-BASE-CAND",'51_版本配置事实'!$C$6:$C$127,$A72,'51_版本配置事实'!$I$6:$I$127,"OPTIONAL_AT_RELEASE")&gt;0,"OPTIONAL_AT_RELEASE",IF(COUNTIFS('51_版本配置事实'!$B$6:$B$127,"PC-N70-BASE-CAND",'51_版本配置事实'!$C$6:$C$127,$A72,'51_版本配置事实'!$I$6:$I$127,"SEPARATE_PURCHASE")&gt;0,"SEPARATE_PURCHASE",IF(COUNTIFS('51_版本配置事实'!$B$6:$B$127,"PC-N70-BASE-CAND",'51_版本配置事实'!$C$6:$C$127,$A72,'51_版本配置事实'!$I$6:$I$127,"EQUIPPED_STANDARD_UNCONFIRMED")&gt;0,"EQUIPPED_STANDARD_UNCONFIRMED",IF(COUNTIFS('51_版本配置事实'!$B$6:$B$127,"PC-N70-BASE-CAND",'51_版本配置事实'!$C$6:$C$127,$A72,'51_版本配置事实'!$I$6:$I$127,"SERIES_CAPABILITY")&gt;0,"SERIES_CAPABILITY",IF(COUNTIFS('51_版本配置事实'!$B$6:$B$127,"PC-N70-BASE-CAND",'51_版本配置事实'!$C$6:$C$127,$A72,'51_版本配置事实'!$I$6:$I$127,"NOT_DISCLOSED")&gt;0,"NOT_DISCLOSED","NOT_DISCLOSED")))))))</x:f>
        <x:v>NOT_DISCLOSED</x:v>
      </x:c>
      <x:c r="D72" s="19" t="str">
        <x:f>IF(COUNTIFS('51_版本配置事实'!$B$6:$B$127,"PC-N70-BASE-CAND",'51_版本配置事实'!$C$6:$C$127,$A72,'51_版本配置事实'!$J$6:$J$127,"STANDARD_CURRENT")&gt;0,"STANDARD_CURRENT","NOT_EVIDENCED")</x:f>
        <x:v>NOT_EVIDENCED</x:v>
      </x:c>
      <x:c r="E72" s="19" t="str">
        <x:f>IF(COUNTIFS('51_版本配置事实'!$B$6:$B$127,"PC-N70-MAX-CAND",'51_版本配置事实'!$C$6:$C$127,$A72,'51_版本配置事实'!$T$6:$T$127,"&lt;&gt;NONE")&gt;0,"CONFLICTED",IF(COUNTIFS('51_版本配置事实'!$B$6:$B$127,"PC-N70-MAX-CAND",'51_版本配置事实'!$C$6:$C$127,$A72,'51_版本配置事实'!$I$6:$I$127,"STANDARD_AT_RELEASE")&gt;0,"STANDARD_AT_RELEASE",IF(COUNTIFS('51_版本配置事实'!$B$6:$B$127,"PC-N70-MAX-CAND",'51_版本配置事实'!$C$6:$C$127,$A72,'51_版本配置事实'!$I$6:$I$127,"OPTIONAL_AT_RELEASE")&gt;0,"OPTIONAL_AT_RELEASE",IF(COUNTIFS('51_版本配置事实'!$B$6:$B$127,"PC-N70-MAX-CAND",'51_版本配置事实'!$C$6:$C$127,$A72,'51_版本配置事实'!$I$6:$I$127,"SEPARATE_PURCHASE")&gt;0,"SEPARATE_PURCHASE",IF(COUNTIFS('51_版本配置事实'!$B$6:$B$127,"PC-N70-MAX-CAND",'51_版本配置事实'!$C$6:$C$127,$A72,'51_版本配置事实'!$I$6:$I$127,"EQUIPPED_STANDARD_UNCONFIRMED")&gt;0,"EQUIPPED_STANDARD_UNCONFIRMED",IF(COUNTIFS('51_版本配置事实'!$B$6:$B$127,"PC-N70-MAX-CAND",'51_版本配置事实'!$C$6:$C$127,$A72,'51_版本配置事实'!$I$6:$I$127,"SERIES_CAPABILITY")&gt;0,"SERIES_CAPABILITY",IF(COUNTIFS('51_版本配置事实'!$B$6:$B$127,"PC-N70-MAX-CAND",'51_版本配置事实'!$C$6:$C$127,$A72,'51_版本配置事实'!$I$6:$I$127,"NOT_DISCLOSED")&gt;0,"NOT_DISCLOSED","NOT_DISCLOSED")))))))</x:f>
        <x:v>NOT_DISCLOSED</x:v>
      </x:c>
      <x:c r="F72" s="19" t="str">
        <x:f>IF(COUNTIFS('51_版本配置事实'!$B$6:$B$127,"PC-N70-MAX-CAND",'51_版本配置事实'!$C$6:$C$127,$A72,'51_版本配置事实'!$J$6:$J$127,"STANDARD_CURRENT")&gt;0,"STANDARD_CURRENT","NOT_EVIDENCED")</x:f>
        <x:v>NOT_EVIDENCED</x:v>
      </x:c>
      <x:c r="G72" s="19" t="str">
        <x:f>IF(COUNTIFS('51_版本配置事实'!$B$6:$B$127,"PC-N90-MAX-CAND",'51_版本配置事实'!$C$6:$C$127,$A72,'51_版本配置事实'!$T$6:$T$127,"&lt;&gt;NONE")&gt;0,"CONFLICTED",IF(COUNTIFS('51_版本配置事实'!$B$6:$B$127,"PC-N90-MAX-CAND",'51_版本配置事实'!$C$6:$C$127,$A72,'51_版本配置事实'!$I$6:$I$127,"STANDARD_AT_RELEASE")&gt;0,"STANDARD_AT_RELEASE",IF(COUNTIFS('51_版本配置事实'!$B$6:$B$127,"PC-N90-MAX-CAND",'51_版本配置事实'!$C$6:$C$127,$A72,'51_版本配置事实'!$I$6:$I$127,"OPTIONAL_AT_RELEASE")&gt;0,"OPTIONAL_AT_RELEASE",IF(COUNTIFS('51_版本配置事实'!$B$6:$B$127,"PC-N90-MAX-CAND",'51_版本配置事实'!$C$6:$C$127,$A72,'51_版本配置事实'!$I$6:$I$127,"SEPARATE_PURCHASE")&gt;0,"SEPARATE_PURCHASE",IF(COUNTIFS('51_版本配置事实'!$B$6:$B$127,"PC-N90-MAX-CAND",'51_版本配置事实'!$C$6:$C$127,$A72,'51_版本配置事实'!$I$6:$I$127,"EQUIPPED_STANDARD_UNCONFIRMED")&gt;0,"EQUIPPED_STANDARD_UNCONFIRMED",IF(COUNTIFS('51_版本配置事实'!$B$6:$B$127,"PC-N90-MAX-CAND",'51_版本配置事实'!$C$6:$C$127,$A72,'51_版本配置事实'!$I$6:$I$127,"SERIES_CAPABILITY")&gt;0,"SERIES_CAPABILITY",IF(COUNTIFS('51_版本配置事实'!$B$6:$B$127,"PC-N90-MAX-CAND",'51_版本配置事实'!$C$6:$C$127,$A72,'51_版本配置事实'!$I$6:$I$127,"NOT_DISCLOSED")&gt;0,"NOT_DISCLOSED","NOT_DISCLOSED")))))))</x:f>
        <x:v>EQUIPPED_STANDARD_UNCONFIRMED</x:v>
      </x:c>
      <x:c r="H72" s="19" t="str">
        <x:f>IF(COUNTIFS('51_版本配置事实'!$B$6:$B$127,"PC-N90-MAX-CAND",'51_版本配置事实'!$C$6:$C$127,$A72,'51_版本配置事实'!$J$6:$J$127,"STANDARD_CURRENT")&gt;0,"STANDARD_CURRENT","NOT_EVIDENCED")</x:f>
        <x:v>NOT_EVIDENCED</x:v>
      </x:c>
      <x:c r="I72" s="19" t="str">
        <x:f>IF(COUNTIFS('51_版本配置事实'!$B$6:$B$127,"PC-N90-ROOF-CAND",'51_版本配置事实'!$C$6:$C$127,$A72,'51_版本配置事实'!$T$6:$T$127,"&lt;&gt;NONE")&gt;0,"CONFLICTED",IF(COUNTIFS('51_版本配置事实'!$B$6:$B$127,"PC-N90-ROOF-CAND",'51_版本配置事实'!$C$6:$C$127,$A72,'51_版本配置事实'!$I$6:$I$127,"STANDARD_AT_RELEASE")&gt;0,"STANDARD_AT_RELEASE",IF(COUNTIFS('51_版本配置事实'!$B$6:$B$127,"PC-N90-ROOF-CAND",'51_版本配置事实'!$C$6:$C$127,$A72,'51_版本配置事实'!$I$6:$I$127,"OPTIONAL_AT_RELEASE")&gt;0,"OPTIONAL_AT_RELEASE",IF(COUNTIFS('51_版本配置事实'!$B$6:$B$127,"PC-N90-ROOF-CAND",'51_版本配置事实'!$C$6:$C$127,$A72,'51_版本配置事实'!$I$6:$I$127,"SEPARATE_PURCHASE")&gt;0,"SEPARATE_PURCHASE",IF(COUNTIFS('51_版本配置事实'!$B$6:$B$127,"PC-N90-ROOF-CAND",'51_版本配置事实'!$C$6:$C$127,$A72,'51_版本配置事实'!$I$6:$I$127,"EQUIPPED_STANDARD_UNCONFIRMED")&gt;0,"EQUIPPED_STANDARD_UNCONFIRMED",IF(COUNTIFS('51_版本配置事实'!$B$6:$B$127,"PC-N90-ROOF-CAND",'51_版本配置事实'!$C$6:$C$127,$A72,'51_版本配置事实'!$I$6:$I$127,"SERIES_CAPABILITY")&gt;0,"SERIES_CAPABILITY",IF(COUNTIFS('51_版本配置事实'!$B$6:$B$127,"PC-N90-ROOF-CAND",'51_版本配置事实'!$C$6:$C$127,$A72,'51_版本配置事实'!$I$6:$I$127,"NOT_DISCLOSED")&gt;0,"NOT_DISCLOSED","NOT_DISCLOSED")))))))</x:f>
        <x:v>NOT_DISCLOSED</x:v>
      </x:c>
      <x:c r="J72" s="19" t="str">
        <x:f>IF(COUNTIFS('51_版本配置事实'!$B$6:$B$127,"PC-N90-ROOF-CAND",'51_版本配置事实'!$C$6:$C$127,$A72,'51_版本配置事实'!$J$6:$J$127,"STANDARD_CURRENT")&gt;0,"STANDARD_CURRENT","NOT_EVIDENCED")</x:f>
        <x:v>NOT_EVIDENCED</x:v>
      </x:c>
      <x:c r="K72" s="19" t="str">
        <x:f>IF(AND(E72=G72,E72&lt;&gt;"NOT_DISCLOSED",E72&lt;&gt;"CONFLICTED"),IF(COUNTIFS('50_发布会逐项主张'!$H$6:$H$137,$A72,'50_发布会逐项主张'!$O$6:$O$137,"ALL_PENGCHENG")&gt;0,"EXPLICIT_COMMON_ANNOUNCED_MAX","MATCHED_NOT_PROVED_COMMON"),"NOT_PROVED_COMMON")</x:f>
        <x:v>NOT_PROVED_COMMON</x:v>
      </x:c>
      <x:c r="L72" s="19" t="str">
        <x:f>IF(OR(C72="NOT_DISCLOSED",E72="NOT_DISCLOSED",C72="CONFLICTED",E72="CONFLICTED"),"UNRESOLVED",IF(C72=E72,"NO_CHANGE",IF(AND(C72="STANDARD_AT_RELEASE",E72="OPTIONAL_AT_RELEASE"),"STANDARD_TO_OPTIONAL",IF(AND(C72="OPTIONAL_AT_RELEASE",E72="STANDARD_AT_RELEASE"),"OPTIONAL_TO_STANDARD",IF(E72="STANDARD_AT_RELEASE","ADDED_STANDARD","REVIEW_CHANGE")))))</x:f>
        <x:v>UNRESOLVED</x:v>
      </x:c>
      <x:c r="M72" s="19" t="str">
        <x:f>IF(OR(E72="NOT_DISCLOSED",G72="NOT_DISCLOSED",E72="CONFLICTED",G72="CONFLICTED"),"UNRESOLVED",IF(E72=G72,"NO_CHANGE",IF(AND(E72="STANDARD_AT_RELEASE",G72="OPTIONAL_AT_RELEASE"),"STANDARD_TO_OPTIONAL",IF(AND(E72="OPTIONAL_AT_RELEASE",G72="STANDARD_AT_RELEASE"),"OPTIONAL_TO_STANDARD",IF(G72="STANDARD_AT_RELEASE","ADDED_STANDARD","REVIEW_CHANGE")))))</x:f>
        <x:v>UNRESOLVED</x:v>
      </x:c>
      <x:c r="N72" s="19" t="str">
        <x:f>IF(OR(G72="NOT_DISCLOSED",I72="NOT_DISCLOSED",G72="CONFLICTED",I72="CONFLICTED"),"UNRESOLVED",IF(G72=I72,"NO_CHANGE",IF(AND(G72="STANDARD_AT_RELEASE",I72="OPTIONAL_AT_RELEASE"),"STANDARD_TO_OPTIONAL",IF(AND(G72="OPTIONAL_AT_RELEASE",I72="STANDARD_AT_RELEASE"),"OPTIONAL_TO_STANDARD",IF(I72="STANDARD_AT_RELEASE","ADDED_STANDARD","REVIEW_CHANGE")))))</x:f>
        <x:v>UNRESOLVED</x:v>
      </x:c>
      <x:c r="O72" s="19" t="str">
        <x:v>CABIN_COMFORT</x:v>
      </x:c>
      <x:c r="P72" s="19" t="str">
        <x:v>DC_COMFORT_seat_vent_heat</x:v>
      </x:c>
      <x:c r="Q72" s="19" t="n">
        <x:f>COUNTIF('50_发布会逐项主张'!$H$6:$H$137,A72)</x:f>
        <x:v>1</x:v>
      </x:c>
      <x:c r="R72" s="19" t="str">
        <x:f>IF(COUNTIFS('50_发布会逐项主张'!$H$6:$H$137,A72,'50_发布会逐项主张'!$X$6:$X$137,"&lt;&gt;NONE")&gt;0,"CONFLICTED","NONE")</x:f>
        <x:v>NONE</x:v>
      </x:c>
    </x:row>
    <x:row r="73" ht="48" customHeight="1">
      <x:c r="A73" s="369" t="str">
        <x:v>side_tent</x:v>
      </x:c>
      <x:c r="B73" s="369" t="str">
        <x:v>ACCESSORY</x:v>
      </x:c>
      <x:c r="C73" s="369" t="str">
        <x:f>IF(COUNTIFS('51_版本配置事实'!$B$6:$B$127,"PC-N70-BASE-CAND",'51_版本配置事实'!$C$6:$C$127,$A73,'51_版本配置事实'!$T$6:$T$127,"&lt;&gt;NONE")&gt;0,"CONFLICTED",IF(COUNTIFS('51_版本配置事实'!$B$6:$B$127,"PC-N70-BASE-CAND",'51_版本配置事实'!$C$6:$C$127,$A73,'51_版本配置事实'!$I$6:$I$127,"STANDARD_AT_RELEASE")&gt;0,"STANDARD_AT_RELEASE",IF(COUNTIFS('51_版本配置事实'!$B$6:$B$127,"PC-N70-BASE-CAND",'51_版本配置事实'!$C$6:$C$127,$A73,'51_版本配置事实'!$I$6:$I$127,"OPTIONAL_AT_RELEASE")&gt;0,"OPTIONAL_AT_RELEASE",IF(COUNTIFS('51_版本配置事实'!$B$6:$B$127,"PC-N70-BASE-CAND",'51_版本配置事实'!$C$6:$C$127,$A73,'51_版本配置事实'!$I$6:$I$127,"SEPARATE_PURCHASE")&gt;0,"SEPARATE_PURCHASE",IF(COUNTIFS('51_版本配置事实'!$B$6:$B$127,"PC-N70-BASE-CAND",'51_版本配置事实'!$C$6:$C$127,$A73,'51_版本配置事实'!$I$6:$I$127,"EQUIPPED_STANDARD_UNCONFIRMED")&gt;0,"EQUIPPED_STANDARD_UNCONFIRMED",IF(COUNTIFS('51_版本配置事实'!$B$6:$B$127,"PC-N70-BASE-CAND",'51_版本配置事实'!$C$6:$C$127,$A73,'51_版本配置事实'!$I$6:$I$127,"SERIES_CAPABILITY")&gt;0,"SERIES_CAPABILITY",IF(COUNTIFS('51_版本配置事实'!$B$6:$B$127,"PC-N70-BASE-CAND",'51_版本配置事实'!$C$6:$C$127,$A73,'51_版本配置事实'!$I$6:$I$127,"NOT_DISCLOSED")&gt;0,"NOT_DISCLOSED","NOT_DISCLOSED")))))))</x:f>
        <x:v>NOT_DISCLOSED</x:v>
      </x:c>
      <x:c r="D73" s="369" t="str">
        <x:f>IF(COUNTIFS('51_版本配置事实'!$B$6:$B$127,"PC-N70-BASE-CAND",'51_版本配置事实'!$C$6:$C$127,$A73,'51_版本配置事实'!$J$6:$J$127,"STANDARD_CURRENT")&gt;0,"STANDARD_CURRENT","NOT_EVIDENCED")</x:f>
        <x:v>NOT_EVIDENCED</x:v>
      </x:c>
      <x:c r="E73" s="369" t="str">
        <x:f>IF(COUNTIFS('51_版本配置事实'!$B$6:$B$127,"PC-N70-MAX-CAND",'51_版本配置事实'!$C$6:$C$127,$A73,'51_版本配置事实'!$T$6:$T$127,"&lt;&gt;NONE")&gt;0,"CONFLICTED",IF(COUNTIFS('51_版本配置事实'!$B$6:$B$127,"PC-N70-MAX-CAND",'51_版本配置事实'!$C$6:$C$127,$A73,'51_版本配置事实'!$I$6:$I$127,"STANDARD_AT_RELEASE")&gt;0,"STANDARD_AT_RELEASE",IF(COUNTIFS('51_版本配置事实'!$B$6:$B$127,"PC-N70-MAX-CAND",'51_版本配置事实'!$C$6:$C$127,$A73,'51_版本配置事实'!$I$6:$I$127,"OPTIONAL_AT_RELEASE")&gt;0,"OPTIONAL_AT_RELEASE",IF(COUNTIFS('51_版本配置事实'!$B$6:$B$127,"PC-N70-MAX-CAND",'51_版本配置事实'!$C$6:$C$127,$A73,'51_版本配置事实'!$I$6:$I$127,"SEPARATE_PURCHASE")&gt;0,"SEPARATE_PURCHASE",IF(COUNTIFS('51_版本配置事实'!$B$6:$B$127,"PC-N70-MAX-CAND",'51_版本配置事实'!$C$6:$C$127,$A73,'51_版本配置事实'!$I$6:$I$127,"EQUIPPED_STANDARD_UNCONFIRMED")&gt;0,"EQUIPPED_STANDARD_UNCONFIRMED",IF(COUNTIFS('51_版本配置事实'!$B$6:$B$127,"PC-N70-MAX-CAND",'51_版本配置事实'!$C$6:$C$127,$A73,'51_版本配置事实'!$I$6:$I$127,"SERIES_CAPABILITY")&gt;0,"SERIES_CAPABILITY",IF(COUNTIFS('51_版本配置事实'!$B$6:$B$127,"PC-N70-MAX-CAND",'51_版本配置事实'!$C$6:$C$127,$A73,'51_版本配置事实'!$I$6:$I$127,"NOT_DISCLOSED")&gt;0,"NOT_DISCLOSED","NOT_DISCLOSED")))))))</x:f>
        <x:v>NOT_DISCLOSED</x:v>
      </x:c>
      <x:c r="F73" s="369" t="str">
        <x:f>IF(COUNTIFS('51_版本配置事实'!$B$6:$B$127,"PC-N70-MAX-CAND",'51_版本配置事实'!$C$6:$C$127,$A73,'51_版本配置事实'!$J$6:$J$127,"STANDARD_CURRENT")&gt;0,"STANDARD_CURRENT","NOT_EVIDENCED")</x:f>
        <x:v>NOT_EVIDENCED</x:v>
      </x:c>
      <x:c r="G73" s="369" t="str">
        <x:f>IF(COUNTIFS('51_版本配置事实'!$B$6:$B$127,"PC-N90-MAX-CAND",'51_版本配置事实'!$C$6:$C$127,$A73,'51_版本配置事实'!$T$6:$T$127,"&lt;&gt;NONE")&gt;0,"CONFLICTED",IF(COUNTIFS('51_版本配置事实'!$B$6:$B$127,"PC-N90-MAX-CAND",'51_版本配置事实'!$C$6:$C$127,$A73,'51_版本配置事实'!$I$6:$I$127,"STANDARD_AT_RELEASE")&gt;0,"STANDARD_AT_RELEASE",IF(COUNTIFS('51_版本配置事实'!$B$6:$B$127,"PC-N90-MAX-CAND",'51_版本配置事实'!$C$6:$C$127,$A73,'51_版本配置事实'!$I$6:$I$127,"OPTIONAL_AT_RELEASE")&gt;0,"OPTIONAL_AT_RELEASE",IF(COUNTIFS('51_版本配置事实'!$B$6:$B$127,"PC-N90-MAX-CAND",'51_版本配置事实'!$C$6:$C$127,$A73,'51_版本配置事实'!$I$6:$I$127,"SEPARATE_PURCHASE")&gt;0,"SEPARATE_PURCHASE",IF(COUNTIFS('51_版本配置事实'!$B$6:$B$127,"PC-N90-MAX-CAND",'51_版本配置事实'!$C$6:$C$127,$A73,'51_版本配置事实'!$I$6:$I$127,"EQUIPPED_STANDARD_UNCONFIRMED")&gt;0,"EQUIPPED_STANDARD_UNCONFIRMED",IF(COUNTIFS('51_版本配置事实'!$B$6:$B$127,"PC-N90-MAX-CAND",'51_版本配置事实'!$C$6:$C$127,$A73,'51_版本配置事实'!$I$6:$I$127,"SERIES_CAPABILITY")&gt;0,"SERIES_CAPABILITY",IF(COUNTIFS('51_版本配置事实'!$B$6:$B$127,"PC-N90-MAX-CAND",'51_版本配置事实'!$C$6:$C$127,$A73,'51_版本配置事实'!$I$6:$I$127,"NOT_DISCLOSED")&gt;0,"NOT_DISCLOSED","NOT_DISCLOSED")))))))</x:f>
        <x:v>SEPARATE_PURCHASE</x:v>
      </x:c>
      <x:c r="H73" s="369" t="str">
        <x:f>IF(COUNTIFS('51_版本配置事实'!$B$6:$B$127,"PC-N90-MAX-CAND",'51_版本配置事实'!$C$6:$C$127,$A73,'51_版本配置事实'!$J$6:$J$127,"STANDARD_CURRENT")&gt;0,"STANDARD_CURRENT","NOT_EVIDENCED")</x:f>
        <x:v>NOT_EVIDENCED</x:v>
      </x:c>
      <x:c r="I73" s="369" t="str">
        <x:f>IF(COUNTIFS('51_版本配置事实'!$B$6:$B$127,"PC-N90-ROOF-CAND",'51_版本配置事实'!$C$6:$C$127,$A73,'51_版本配置事实'!$T$6:$T$127,"&lt;&gt;NONE")&gt;0,"CONFLICTED",IF(COUNTIFS('51_版本配置事实'!$B$6:$B$127,"PC-N90-ROOF-CAND",'51_版本配置事实'!$C$6:$C$127,$A73,'51_版本配置事实'!$I$6:$I$127,"STANDARD_AT_RELEASE")&gt;0,"STANDARD_AT_RELEASE",IF(COUNTIFS('51_版本配置事实'!$B$6:$B$127,"PC-N90-ROOF-CAND",'51_版本配置事实'!$C$6:$C$127,$A73,'51_版本配置事实'!$I$6:$I$127,"OPTIONAL_AT_RELEASE")&gt;0,"OPTIONAL_AT_RELEASE",IF(COUNTIFS('51_版本配置事实'!$B$6:$B$127,"PC-N90-ROOF-CAND",'51_版本配置事实'!$C$6:$C$127,$A73,'51_版本配置事实'!$I$6:$I$127,"SEPARATE_PURCHASE")&gt;0,"SEPARATE_PURCHASE",IF(COUNTIFS('51_版本配置事实'!$B$6:$B$127,"PC-N90-ROOF-CAND",'51_版本配置事实'!$C$6:$C$127,$A73,'51_版本配置事实'!$I$6:$I$127,"EQUIPPED_STANDARD_UNCONFIRMED")&gt;0,"EQUIPPED_STANDARD_UNCONFIRMED",IF(COUNTIFS('51_版本配置事实'!$B$6:$B$127,"PC-N90-ROOF-CAND",'51_版本配置事实'!$C$6:$C$127,$A73,'51_版本配置事实'!$I$6:$I$127,"SERIES_CAPABILITY")&gt;0,"SERIES_CAPABILITY",IF(COUNTIFS('51_版本配置事实'!$B$6:$B$127,"PC-N90-ROOF-CAND",'51_版本配置事实'!$C$6:$C$127,$A73,'51_版本配置事实'!$I$6:$I$127,"NOT_DISCLOSED")&gt;0,"NOT_DISCLOSED","NOT_DISCLOSED")))))))</x:f>
        <x:v>NOT_DISCLOSED</x:v>
      </x:c>
      <x:c r="J73" s="369" t="str">
        <x:f>IF(COUNTIFS('51_版本配置事实'!$B$6:$B$127,"PC-N90-ROOF-CAND",'51_版本配置事实'!$C$6:$C$127,$A73,'51_版本配置事实'!$J$6:$J$127,"STANDARD_CURRENT")&gt;0,"STANDARD_CURRENT","NOT_EVIDENCED")</x:f>
        <x:v>NOT_EVIDENCED</x:v>
      </x:c>
      <x:c r="K73" s="369" t="str">
        <x:f>IF(AND(E73=G73,E73&lt;&gt;"NOT_DISCLOSED",E73&lt;&gt;"CONFLICTED"),IF(COUNTIFS('50_发布会逐项主张'!$H$6:$H$137,$A73,'50_发布会逐项主张'!$O$6:$O$137,"ALL_PENGCHENG")&gt;0,"EXPLICIT_COMMON_ANNOUNCED_MAX","MATCHED_NOT_PROVED_COMMON"),"NOT_PROVED_COMMON")</x:f>
        <x:v>NOT_PROVED_COMMON</x:v>
      </x:c>
      <x:c r="L73" s="369" t="str">
        <x:f>IF(OR(C73="NOT_DISCLOSED",E73="NOT_DISCLOSED",C73="CONFLICTED",E73="CONFLICTED"),"UNRESOLVED",IF(C73=E73,"NO_CHANGE",IF(AND(C73="STANDARD_AT_RELEASE",E73="OPTIONAL_AT_RELEASE"),"STANDARD_TO_OPTIONAL",IF(AND(C73="OPTIONAL_AT_RELEASE",E73="STANDARD_AT_RELEASE"),"OPTIONAL_TO_STANDARD",IF(E73="STANDARD_AT_RELEASE","ADDED_STANDARD","REVIEW_CHANGE")))))</x:f>
        <x:v>UNRESOLVED</x:v>
      </x:c>
      <x:c r="M73" s="369" t="str">
        <x:f>IF(OR(E73="NOT_DISCLOSED",G73="NOT_DISCLOSED",E73="CONFLICTED",G73="CONFLICTED"),"UNRESOLVED",IF(E73=G73,"NO_CHANGE",IF(AND(E73="STANDARD_AT_RELEASE",G73="OPTIONAL_AT_RELEASE"),"STANDARD_TO_OPTIONAL",IF(AND(E73="OPTIONAL_AT_RELEASE",G73="STANDARD_AT_RELEASE"),"OPTIONAL_TO_STANDARD",IF(G73="STANDARD_AT_RELEASE","ADDED_STANDARD","REVIEW_CHANGE")))))</x:f>
        <x:v>UNRESOLVED</x:v>
      </x:c>
      <x:c r="N73" s="369" t="str">
        <x:f>IF(OR(G73="NOT_DISCLOSED",I73="NOT_DISCLOSED",G73="CONFLICTED",I73="CONFLICTED"),"UNRESOLVED",IF(G73=I73,"NO_CHANGE",IF(AND(G73="STANDARD_AT_RELEASE",I73="OPTIONAL_AT_RELEASE"),"STANDARD_TO_OPTIONAL",IF(AND(G73="OPTIONAL_AT_RELEASE",I73="STANDARD_AT_RELEASE"),"OPTIONAL_TO_STANDARD",IF(I73="STANDARD_AT_RELEASE","ADDED_STANDARD","REVIEW_CHANGE")))))</x:f>
        <x:v>UNRESOLVED</x:v>
      </x:c>
      <x:c r="O73" s="369" t="str">
        <x:v>OPTIONS_ACCESSORIES</x:v>
      </x:c>
      <x:c r="P73" s="369" t="str">
        <x:v>DC_ACCESSORY_side_tent</x:v>
      </x:c>
      <x:c r="Q73" s="369" t="n">
        <x:f>COUNTIF('50_发布会逐项主张'!$H$6:$H$137,A73)</x:f>
        <x:v>1</x:v>
      </x:c>
      <x:c r="R73" s="369" t="str">
        <x:f>IF(COUNTIFS('50_发布会逐项主张'!$H$6:$H$137,A73,'50_发布会逐项主张'!$X$6:$X$137,"&lt;&gt;NONE")&gt;0,"CONFLICTED","NONE")</x:f>
        <x:v>NONE</x:v>
      </x:c>
    </x:row>
    <x:row r="74" ht="48" customHeight="1">
      <x:c r="A74" s="19" t="str">
        <x:v>smart_power_doors</x:v>
      </x:c>
      <x:c r="B74" s="19" t="str">
        <x:v>EXTERIOR</x:v>
      </x:c>
      <x:c r="C74" s="19" t="str">
        <x:f>IF(COUNTIFS('51_版本配置事实'!$B$6:$B$127,"PC-N70-BASE-CAND",'51_版本配置事实'!$C$6:$C$127,$A74,'51_版本配置事实'!$T$6:$T$127,"&lt;&gt;NONE")&gt;0,"CONFLICTED",IF(COUNTIFS('51_版本配置事实'!$B$6:$B$127,"PC-N70-BASE-CAND",'51_版本配置事实'!$C$6:$C$127,$A74,'51_版本配置事实'!$I$6:$I$127,"STANDARD_AT_RELEASE")&gt;0,"STANDARD_AT_RELEASE",IF(COUNTIFS('51_版本配置事实'!$B$6:$B$127,"PC-N70-BASE-CAND",'51_版本配置事实'!$C$6:$C$127,$A74,'51_版本配置事实'!$I$6:$I$127,"OPTIONAL_AT_RELEASE")&gt;0,"OPTIONAL_AT_RELEASE",IF(COUNTIFS('51_版本配置事实'!$B$6:$B$127,"PC-N70-BASE-CAND",'51_版本配置事实'!$C$6:$C$127,$A74,'51_版本配置事实'!$I$6:$I$127,"SEPARATE_PURCHASE")&gt;0,"SEPARATE_PURCHASE",IF(COUNTIFS('51_版本配置事实'!$B$6:$B$127,"PC-N70-BASE-CAND",'51_版本配置事实'!$C$6:$C$127,$A74,'51_版本配置事实'!$I$6:$I$127,"EQUIPPED_STANDARD_UNCONFIRMED")&gt;0,"EQUIPPED_STANDARD_UNCONFIRMED",IF(COUNTIFS('51_版本配置事实'!$B$6:$B$127,"PC-N70-BASE-CAND",'51_版本配置事实'!$C$6:$C$127,$A74,'51_版本配置事实'!$I$6:$I$127,"SERIES_CAPABILITY")&gt;0,"SERIES_CAPABILITY",IF(COUNTIFS('51_版本配置事实'!$B$6:$B$127,"PC-N70-BASE-CAND",'51_版本配置事实'!$C$6:$C$127,$A74,'51_版本配置事实'!$I$6:$I$127,"NOT_DISCLOSED")&gt;0,"NOT_DISCLOSED","NOT_DISCLOSED")))))))</x:f>
        <x:v>NOT_DISCLOSED</x:v>
      </x:c>
      <x:c r="D74" s="19" t="str">
        <x:f>IF(COUNTIFS('51_版本配置事实'!$B$6:$B$127,"PC-N70-BASE-CAND",'51_版本配置事实'!$C$6:$C$127,$A74,'51_版本配置事实'!$J$6:$J$127,"STANDARD_CURRENT")&gt;0,"STANDARD_CURRENT","NOT_EVIDENCED")</x:f>
        <x:v>NOT_EVIDENCED</x:v>
      </x:c>
      <x:c r="E74" s="19" t="str">
        <x:f>IF(COUNTIFS('51_版本配置事实'!$B$6:$B$127,"PC-N70-MAX-CAND",'51_版本配置事实'!$C$6:$C$127,$A74,'51_版本配置事实'!$T$6:$T$127,"&lt;&gt;NONE")&gt;0,"CONFLICTED",IF(COUNTIFS('51_版本配置事实'!$B$6:$B$127,"PC-N70-MAX-CAND",'51_版本配置事实'!$C$6:$C$127,$A74,'51_版本配置事实'!$I$6:$I$127,"STANDARD_AT_RELEASE")&gt;0,"STANDARD_AT_RELEASE",IF(COUNTIFS('51_版本配置事实'!$B$6:$B$127,"PC-N70-MAX-CAND",'51_版本配置事实'!$C$6:$C$127,$A74,'51_版本配置事实'!$I$6:$I$127,"OPTIONAL_AT_RELEASE")&gt;0,"OPTIONAL_AT_RELEASE",IF(COUNTIFS('51_版本配置事实'!$B$6:$B$127,"PC-N70-MAX-CAND",'51_版本配置事实'!$C$6:$C$127,$A74,'51_版本配置事实'!$I$6:$I$127,"SEPARATE_PURCHASE")&gt;0,"SEPARATE_PURCHASE",IF(COUNTIFS('51_版本配置事实'!$B$6:$B$127,"PC-N70-MAX-CAND",'51_版本配置事实'!$C$6:$C$127,$A74,'51_版本配置事实'!$I$6:$I$127,"EQUIPPED_STANDARD_UNCONFIRMED")&gt;0,"EQUIPPED_STANDARD_UNCONFIRMED",IF(COUNTIFS('51_版本配置事实'!$B$6:$B$127,"PC-N70-MAX-CAND",'51_版本配置事实'!$C$6:$C$127,$A74,'51_版本配置事实'!$I$6:$I$127,"SERIES_CAPABILITY")&gt;0,"SERIES_CAPABILITY",IF(COUNTIFS('51_版本配置事实'!$B$6:$B$127,"PC-N70-MAX-CAND",'51_版本配置事实'!$C$6:$C$127,$A74,'51_版本配置事实'!$I$6:$I$127,"NOT_DISCLOSED")&gt;0,"NOT_DISCLOSED","NOT_DISCLOSED")))))))</x:f>
        <x:v>NOT_DISCLOSED</x:v>
      </x:c>
      <x:c r="F74" s="19" t="str">
        <x:f>IF(COUNTIFS('51_版本配置事实'!$B$6:$B$127,"PC-N70-MAX-CAND",'51_版本配置事实'!$C$6:$C$127,$A74,'51_版本配置事实'!$J$6:$J$127,"STANDARD_CURRENT")&gt;0,"STANDARD_CURRENT","NOT_EVIDENCED")</x:f>
        <x:v>NOT_EVIDENCED</x:v>
      </x:c>
      <x:c r="G74" s="19" t="str">
        <x:f>IF(COUNTIFS('51_版本配置事实'!$B$6:$B$127,"PC-N90-MAX-CAND",'51_版本配置事实'!$C$6:$C$127,$A74,'51_版本配置事实'!$T$6:$T$127,"&lt;&gt;NONE")&gt;0,"CONFLICTED",IF(COUNTIFS('51_版本配置事实'!$B$6:$B$127,"PC-N90-MAX-CAND",'51_版本配置事实'!$C$6:$C$127,$A74,'51_版本配置事实'!$I$6:$I$127,"STANDARD_AT_RELEASE")&gt;0,"STANDARD_AT_RELEASE",IF(COUNTIFS('51_版本配置事实'!$B$6:$B$127,"PC-N90-MAX-CAND",'51_版本配置事实'!$C$6:$C$127,$A74,'51_版本配置事实'!$I$6:$I$127,"OPTIONAL_AT_RELEASE")&gt;0,"OPTIONAL_AT_RELEASE",IF(COUNTIFS('51_版本配置事实'!$B$6:$B$127,"PC-N90-MAX-CAND",'51_版本配置事实'!$C$6:$C$127,$A74,'51_版本配置事实'!$I$6:$I$127,"SEPARATE_PURCHASE")&gt;0,"SEPARATE_PURCHASE",IF(COUNTIFS('51_版本配置事实'!$B$6:$B$127,"PC-N90-MAX-CAND",'51_版本配置事实'!$C$6:$C$127,$A74,'51_版本配置事实'!$I$6:$I$127,"EQUIPPED_STANDARD_UNCONFIRMED")&gt;0,"EQUIPPED_STANDARD_UNCONFIRMED",IF(COUNTIFS('51_版本配置事实'!$B$6:$B$127,"PC-N90-MAX-CAND",'51_版本配置事实'!$C$6:$C$127,$A74,'51_版本配置事实'!$I$6:$I$127,"SERIES_CAPABILITY")&gt;0,"SERIES_CAPABILITY",IF(COUNTIFS('51_版本配置事实'!$B$6:$B$127,"PC-N90-MAX-CAND",'51_版本配置事实'!$C$6:$C$127,$A74,'51_版本配置事实'!$I$6:$I$127,"NOT_DISCLOSED")&gt;0,"NOT_DISCLOSED","NOT_DISCLOSED")))))))</x:f>
        <x:v>OPTIONAL_AT_RELEASE</x:v>
      </x:c>
      <x:c r="H74" s="19" t="str">
        <x:f>IF(COUNTIFS('51_版本配置事实'!$B$6:$B$127,"PC-N90-MAX-CAND",'51_版本配置事实'!$C$6:$C$127,$A74,'51_版本配置事实'!$J$6:$J$127,"STANDARD_CURRENT")&gt;0,"STANDARD_CURRENT","NOT_EVIDENCED")</x:f>
        <x:v>NOT_EVIDENCED</x:v>
      </x:c>
      <x:c r="I74" s="19" t="str">
        <x:f>IF(COUNTIFS('51_版本配置事实'!$B$6:$B$127,"PC-N90-ROOF-CAND",'51_版本配置事实'!$C$6:$C$127,$A74,'51_版本配置事实'!$T$6:$T$127,"&lt;&gt;NONE")&gt;0,"CONFLICTED",IF(COUNTIFS('51_版本配置事实'!$B$6:$B$127,"PC-N90-ROOF-CAND",'51_版本配置事实'!$C$6:$C$127,$A74,'51_版本配置事实'!$I$6:$I$127,"STANDARD_AT_RELEASE")&gt;0,"STANDARD_AT_RELEASE",IF(COUNTIFS('51_版本配置事实'!$B$6:$B$127,"PC-N90-ROOF-CAND",'51_版本配置事实'!$C$6:$C$127,$A74,'51_版本配置事实'!$I$6:$I$127,"OPTIONAL_AT_RELEASE")&gt;0,"OPTIONAL_AT_RELEASE",IF(COUNTIFS('51_版本配置事实'!$B$6:$B$127,"PC-N90-ROOF-CAND",'51_版本配置事实'!$C$6:$C$127,$A74,'51_版本配置事实'!$I$6:$I$127,"SEPARATE_PURCHASE")&gt;0,"SEPARATE_PURCHASE",IF(COUNTIFS('51_版本配置事实'!$B$6:$B$127,"PC-N90-ROOF-CAND",'51_版本配置事实'!$C$6:$C$127,$A74,'51_版本配置事实'!$I$6:$I$127,"EQUIPPED_STANDARD_UNCONFIRMED")&gt;0,"EQUIPPED_STANDARD_UNCONFIRMED",IF(COUNTIFS('51_版本配置事实'!$B$6:$B$127,"PC-N90-ROOF-CAND",'51_版本配置事实'!$C$6:$C$127,$A74,'51_版本配置事实'!$I$6:$I$127,"SERIES_CAPABILITY")&gt;0,"SERIES_CAPABILITY",IF(COUNTIFS('51_版本配置事实'!$B$6:$B$127,"PC-N90-ROOF-CAND",'51_版本配置事实'!$C$6:$C$127,$A74,'51_版本配置事实'!$I$6:$I$127,"NOT_DISCLOSED")&gt;0,"NOT_DISCLOSED","NOT_DISCLOSED")))))))</x:f>
        <x:v>NOT_DISCLOSED</x:v>
      </x:c>
      <x:c r="J74" s="19" t="str">
        <x:f>IF(COUNTIFS('51_版本配置事实'!$B$6:$B$127,"PC-N90-ROOF-CAND",'51_版本配置事实'!$C$6:$C$127,$A74,'51_版本配置事实'!$J$6:$J$127,"STANDARD_CURRENT")&gt;0,"STANDARD_CURRENT","NOT_EVIDENCED")</x:f>
        <x:v>NOT_EVIDENCED</x:v>
      </x:c>
      <x:c r="K74" s="19" t="str">
        <x:f>IF(AND(E74=G74,E74&lt;&gt;"NOT_DISCLOSED",E74&lt;&gt;"CONFLICTED"),IF(COUNTIFS('50_发布会逐项主张'!$H$6:$H$137,$A74,'50_发布会逐项主张'!$O$6:$O$137,"ALL_PENGCHENG")&gt;0,"EXPLICIT_COMMON_ANNOUNCED_MAX","MATCHED_NOT_PROVED_COMMON"),"NOT_PROVED_COMMON")</x:f>
        <x:v>NOT_PROVED_COMMON</x:v>
      </x:c>
      <x:c r="L74" s="19" t="str">
        <x:f>IF(OR(C74="NOT_DISCLOSED",E74="NOT_DISCLOSED",C74="CONFLICTED",E74="CONFLICTED"),"UNRESOLVED",IF(C74=E74,"NO_CHANGE",IF(AND(C74="STANDARD_AT_RELEASE",E74="OPTIONAL_AT_RELEASE"),"STANDARD_TO_OPTIONAL",IF(AND(C74="OPTIONAL_AT_RELEASE",E74="STANDARD_AT_RELEASE"),"OPTIONAL_TO_STANDARD",IF(E74="STANDARD_AT_RELEASE","ADDED_STANDARD","REVIEW_CHANGE")))))</x:f>
        <x:v>UNRESOLVED</x:v>
      </x:c>
      <x:c r="M74" s="19" t="str">
        <x:f>IF(OR(E74="NOT_DISCLOSED",G74="NOT_DISCLOSED",E74="CONFLICTED",G74="CONFLICTED"),"UNRESOLVED",IF(E74=G74,"NO_CHANGE",IF(AND(E74="STANDARD_AT_RELEASE",G74="OPTIONAL_AT_RELEASE"),"STANDARD_TO_OPTIONAL",IF(AND(E74="OPTIONAL_AT_RELEASE",G74="STANDARD_AT_RELEASE"),"OPTIONAL_TO_STANDARD",IF(G74="STANDARD_AT_RELEASE","ADDED_STANDARD","REVIEW_CHANGE")))))</x:f>
        <x:v>UNRESOLVED</x:v>
      </x:c>
      <x:c r="N74" s="19" t="str">
        <x:f>IF(OR(G74="NOT_DISCLOSED",I74="NOT_DISCLOSED",G74="CONFLICTED",I74="CONFLICTED"),"UNRESOLVED",IF(G74=I74,"NO_CHANGE",IF(AND(G74="STANDARD_AT_RELEASE",I74="OPTIONAL_AT_RELEASE"),"STANDARD_TO_OPTIONAL",IF(AND(G74="OPTIONAL_AT_RELEASE",I74="STANDARD_AT_RELEASE"),"OPTIONAL_TO_STANDARD",IF(I74="STANDARD_AT_RELEASE","ADDED_STANDARD","REVIEW_CHANGE")))))</x:f>
        <x:v>UNRESOLVED</x:v>
      </x:c>
      <x:c r="O74" s="19" t="str">
        <x:v>OPTIONS_ACCESSORIES</x:v>
      </x:c>
      <x:c r="P74" s="19" t="str">
        <x:v>DC_EXTERIOR_smart_power_doors</x:v>
      </x:c>
      <x:c r="Q74" s="19" t="n">
        <x:f>COUNTIF('50_发布会逐项主张'!$H$6:$H$137,A74)</x:f>
        <x:v>1</x:v>
      </x:c>
      <x:c r="R74" s="19" t="str">
        <x:f>IF(COUNTIFS('50_发布会逐项主张'!$H$6:$H$137,A74,'50_发布会逐项主张'!$X$6:$X$137,"&lt;&gt;NONE")&gt;0,"CONFLICTED","NONE")</x:f>
        <x:v>NONE</x:v>
      </x:c>
    </x:row>
    <x:row r="75" ht="48" customHeight="1">
      <x:c r="A75" s="369" t="str">
        <x:v>soft_touch_coverage</x:v>
      </x:c>
      <x:c r="B75" s="369" t="str">
        <x:v>CABIN</x:v>
      </x:c>
      <x:c r="C75" s="369" t="str">
        <x:f>IF(COUNTIFS('51_版本配置事实'!$B$6:$B$127,"PC-N70-BASE-CAND",'51_版本配置事实'!$C$6:$C$127,$A75,'51_版本配置事实'!$T$6:$T$127,"&lt;&gt;NONE")&gt;0,"CONFLICTED",IF(COUNTIFS('51_版本配置事实'!$B$6:$B$127,"PC-N70-BASE-CAND",'51_版本配置事实'!$C$6:$C$127,$A75,'51_版本配置事实'!$I$6:$I$127,"STANDARD_AT_RELEASE")&gt;0,"STANDARD_AT_RELEASE",IF(COUNTIFS('51_版本配置事实'!$B$6:$B$127,"PC-N70-BASE-CAND",'51_版本配置事实'!$C$6:$C$127,$A75,'51_版本配置事实'!$I$6:$I$127,"OPTIONAL_AT_RELEASE")&gt;0,"OPTIONAL_AT_RELEASE",IF(COUNTIFS('51_版本配置事实'!$B$6:$B$127,"PC-N70-BASE-CAND",'51_版本配置事实'!$C$6:$C$127,$A75,'51_版本配置事实'!$I$6:$I$127,"SEPARATE_PURCHASE")&gt;0,"SEPARATE_PURCHASE",IF(COUNTIFS('51_版本配置事实'!$B$6:$B$127,"PC-N70-BASE-CAND",'51_版本配置事实'!$C$6:$C$127,$A75,'51_版本配置事实'!$I$6:$I$127,"EQUIPPED_STANDARD_UNCONFIRMED")&gt;0,"EQUIPPED_STANDARD_UNCONFIRMED",IF(COUNTIFS('51_版本配置事实'!$B$6:$B$127,"PC-N70-BASE-CAND",'51_版本配置事实'!$C$6:$C$127,$A75,'51_版本配置事实'!$I$6:$I$127,"SERIES_CAPABILITY")&gt;0,"SERIES_CAPABILITY",IF(COUNTIFS('51_版本配置事实'!$B$6:$B$127,"PC-N70-BASE-CAND",'51_版本配置事实'!$C$6:$C$127,$A75,'51_版本配置事实'!$I$6:$I$127,"NOT_DISCLOSED")&gt;0,"NOT_DISCLOSED","NOT_DISCLOSED")))))))</x:f>
        <x:v>NOT_DISCLOSED</x:v>
      </x:c>
      <x:c r="D75" s="369" t="str">
        <x:f>IF(COUNTIFS('51_版本配置事实'!$B$6:$B$127,"PC-N70-BASE-CAND",'51_版本配置事实'!$C$6:$C$127,$A75,'51_版本配置事实'!$J$6:$J$127,"STANDARD_CURRENT")&gt;0,"STANDARD_CURRENT","NOT_EVIDENCED")</x:f>
        <x:v>NOT_EVIDENCED</x:v>
      </x:c>
      <x:c r="E75" s="369" t="str">
        <x:f>IF(COUNTIFS('51_版本配置事实'!$B$6:$B$127,"PC-N70-MAX-CAND",'51_版本配置事实'!$C$6:$C$127,$A75,'51_版本配置事实'!$T$6:$T$127,"&lt;&gt;NONE")&gt;0,"CONFLICTED",IF(COUNTIFS('51_版本配置事实'!$B$6:$B$127,"PC-N70-MAX-CAND",'51_版本配置事实'!$C$6:$C$127,$A75,'51_版本配置事实'!$I$6:$I$127,"STANDARD_AT_RELEASE")&gt;0,"STANDARD_AT_RELEASE",IF(COUNTIFS('51_版本配置事实'!$B$6:$B$127,"PC-N70-MAX-CAND",'51_版本配置事实'!$C$6:$C$127,$A75,'51_版本配置事实'!$I$6:$I$127,"OPTIONAL_AT_RELEASE")&gt;0,"OPTIONAL_AT_RELEASE",IF(COUNTIFS('51_版本配置事实'!$B$6:$B$127,"PC-N70-MAX-CAND",'51_版本配置事实'!$C$6:$C$127,$A75,'51_版本配置事实'!$I$6:$I$127,"SEPARATE_PURCHASE")&gt;0,"SEPARATE_PURCHASE",IF(COUNTIFS('51_版本配置事实'!$B$6:$B$127,"PC-N70-MAX-CAND",'51_版本配置事实'!$C$6:$C$127,$A75,'51_版本配置事实'!$I$6:$I$127,"EQUIPPED_STANDARD_UNCONFIRMED")&gt;0,"EQUIPPED_STANDARD_UNCONFIRMED",IF(COUNTIFS('51_版本配置事实'!$B$6:$B$127,"PC-N70-MAX-CAND",'51_版本配置事实'!$C$6:$C$127,$A75,'51_版本配置事实'!$I$6:$I$127,"SERIES_CAPABILITY")&gt;0,"SERIES_CAPABILITY",IF(COUNTIFS('51_版本配置事实'!$B$6:$B$127,"PC-N70-MAX-CAND",'51_版本配置事实'!$C$6:$C$127,$A75,'51_版本配置事实'!$I$6:$I$127,"NOT_DISCLOSED")&gt;0,"NOT_DISCLOSED","NOT_DISCLOSED")))))))</x:f>
        <x:v>NOT_DISCLOSED</x:v>
      </x:c>
      <x:c r="F75" s="369" t="str">
        <x:f>IF(COUNTIFS('51_版本配置事实'!$B$6:$B$127,"PC-N70-MAX-CAND",'51_版本配置事实'!$C$6:$C$127,$A75,'51_版本配置事实'!$J$6:$J$127,"STANDARD_CURRENT")&gt;0,"STANDARD_CURRENT","NOT_EVIDENCED")</x:f>
        <x:v>NOT_EVIDENCED</x:v>
      </x:c>
      <x:c r="G75" s="369" t="str">
        <x:f>IF(COUNTIFS('51_版本配置事实'!$B$6:$B$127,"PC-N90-MAX-CAND",'51_版本配置事实'!$C$6:$C$127,$A75,'51_版本配置事实'!$T$6:$T$127,"&lt;&gt;NONE")&gt;0,"CONFLICTED",IF(COUNTIFS('51_版本配置事实'!$B$6:$B$127,"PC-N90-MAX-CAND",'51_版本配置事实'!$C$6:$C$127,$A75,'51_版本配置事实'!$I$6:$I$127,"STANDARD_AT_RELEASE")&gt;0,"STANDARD_AT_RELEASE",IF(COUNTIFS('51_版本配置事实'!$B$6:$B$127,"PC-N90-MAX-CAND",'51_版本配置事实'!$C$6:$C$127,$A75,'51_版本配置事实'!$I$6:$I$127,"OPTIONAL_AT_RELEASE")&gt;0,"OPTIONAL_AT_RELEASE",IF(COUNTIFS('51_版本配置事实'!$B$6:$B$127,"PC-N90-MAX-CAND",'51_版本配置事实'!$C$6:$C$127,$A75,'51_版本配置事实'!$I$6:$I$127,"SEPARATE_PURCHASE")&gt;0,"SEPARATE_PURCHASE",IF(COUNTIFS('51_版本配置事实'!$B$6:$B$127,"PC-N90-MAX-CAND",'51_版本配置事实'!$C$6:$C$127,$A75,'51_版本配置事实'!$I$6:$I$127,"EQUIPPED_STANDARD_UNCONFIRMED")&gt;0,"EQUIPPED_STANDARD_UNCONFIRMED",IF(COUNTIFS('51_版本配置事实'!$B$6:$B$127,"PC-N90-MAX-CAND",'51_版本配置事实'!$C$6:$C$127,$A75,'51_版本配置事实'!$I$6:$I$127,"SERIES_CAPABILITY")&gt;0,"SERIES_CAPABILITY",IF(COUNTIFS('51_版本配置事实'!$B$6:$B$127,"PC-N90-MAX-CAND",'51_版本配置事实'!$C$6:$C$127,$A75,'51_版本配置事实'!$I$6:$I$127,"NOT_DISCLOSED")&gt;0,"NOT_DISCLOSED","NOT_DISCLOSED")))))))</x:f>
        <x:v>EQUIPPED_STANDARD_UNCONFIRMED</x:v>
      </x:c>
      <x:c r="H75" s="369" t="str">
        <x:f>IF(COUNTIFS('51_版本配置事实'!$B$6:$B$127,"PC-N90-MAX-CAND",'51_版本配置事实'!$C$6:$C$127,$A75,'51_版本配置事实'!$J$6:$J$127,"STANDARD_CURRENT")&gt;0,"STANDARD_CURRENT","NOT_EVIDENCED")</x:f>
        <x:v>NOT_EVIDENCED</x:v>
      </x:c>
      <x:c r="I75" s="369" t="str">
        <x:f>IF(COUNTIFS('51_版本配置事实'!$B$6:$B$127,"PC-N90-ROOF-CAND",'51_版本配置事实'!$C$6:$C$127,$A75,'51_版本配置事实'!$T$6:$T$127,"&lt;&gt;NONE")&gt;0,"CONFLICTED",IF(COUNTIFS('51_版本配置事实'!$B$6:$B$127,"PC-N90-ROOF-CAND",'51_版本配置事实'!$C$6:$C$127,$A75,'51_版本配置事实'!$I$6:$I$127,"STANDARD_AT_RELEASE")&gt;0,"STANDARD_AT_RELEASE",IF(COUNTIFS('51_版本配置事实'!$B$6:$B$127,"PC-N90-ROOF-CAND",'51_版本配置事实'!$C$6:$C$127,$A75,'51_版本配置事实'!$I$6:$I$127,"OPTIONAL_AT_RELEASE")&gt;0,"OPTIONAL_AT_RELEASE",IF(COUNTIFS('51_版本配置事实'!$B$6:$B$127,"PC-N90-ROOF-CAND",'51_版本配置事实'!$C$6:$C$127,$A75,'51_版本配置事实'!$I$6:$I$127,"SEPARATE_PURCHASE")&gt;0,"SEPARATE_PURCHASE",IF(COUNTIFS('51_版本配置事实'!$B$6:$B$127,"PC-N90-ROOF-CAND",'51_版本配置事实'!$C$6:$C$127,$A75,'51_版本配置事实'!$I$6:$I$127,"EQUIPPED_STANDARD_UNCONFIRMED")&gt;0,"EQUIPPED_STANDARD_UNCONFIRMED",IF(COUNTIFS('51_版本配置事实'!$B$6:$B$127,"PC-N90-ROOF-CAND",'51_版本配置事实'!$C$6:$C$127,$A75,'51_版本配置事实'!$I$6:$I$127,"SERIES_CAPABILITY")&gt;0,"SERIES_CAPABILITY",IF(COUNTIFS('51_版本配置事实'!$B$6:$B$127,"PC-N90-ROOF-CAND",'51_版本配置事实'!$C$6:$C$127,$A75,'51_版本配置事实'!$I$6:$I$127,"NOT_DISCLOSED")&gt;0,"NOT_DISCLOSED","NOT_DISCLOSED")))))))</x:f>
        <x:v>NOT_DISCLOSED</x:v>
      </x:c>
      <x:c r="J75" s="369" t="str">
        <x:f>IF(COUNTIFS('51_版本配置事实'!$B$6:$B$127,"PC-N90-ROOF-CAND",'51_版本配置事实'!$C$6:$C$127,$A75,'51_版本配置事实'!$J$6:$J$127,"STANDARD_CURRENT")&gt;0,"STANDARD_CURRENT","NOT_EVIDENCED")</x:f>
        <x:v>NOT_EVIDENCED</x:v>
      </x:c>
      <x:c r="K75" s="369" t="str">
        <x:f>IF(AND(E75=G75,E75&lt;&gt;"NOT_DISCLOSED",E75&lt;&gt;"CONFLICTED"),IF(COUNTIFS('50_发布会逐项主张'!$H$6:$H$137,$A75,'50_发布会逐项主张'!$O$6:$O$137,"ALL_PENGCHENG")&gt;0,"EXPLICIT_COMMON_ANNOUNCED_MAX","MATCHED_NOT_PROVED_COMMON"),"NOT_PROVED_COMMON")</x:f>
        <x:v>NOT_PROVED_COMMON</x:v>
      </x:c>
      <x:c r="L75" s="369" t="str">
        <x:f>IF(OR(C75="NOT_DISCLOSED",E75="NOT_DISCLOSED",C75="CONFLICTED",E75="CONFLICTED"),"UNRESOLVED",IF(C75=E75,"NO_CHANGE",IF(AND(C75="STANDARD_AT_RELEASE",E75="OPTIONAL_AT_RELEASE"),"STANDARD_TO_OPTIONAL",IF(AND(C75="OPTIONAL_AT_RELEASE",E75="STANDARD_AT_RELEASE"),"OPTIONAL_TO_STANDARD",IF(E75="STANDARD_AT_RELEASE","ADDED_STANDARD","REVIEW_CHANGE")))))</x:f>
        <x:v>UNRESOLVED</x:v>
      </x:c>
      <x:c r="M75" s="369" t="str">
        <x:f>IF(OR(E75="NOT_DISCLOSED",G75="NOT_DISCLOSED",E75="CONFLICTED",G75="CONFLICTED"),"UNRESOLVED",IF(E75=G75,"NO_CHANGE",IF(AND(E75="STANDARD_AT_RELEASE",G75="OPTIONAL_AT_RELEASE"),"STANDARD_TO_OPTIONAL",IF(AND(E75="OPTIONAL_AT_RELEASE",G75="STANDARD_AT_RELEASE"),"OPTIONAL_TO_STANDARD",IF(G75="STANDARD_AT_RELEASE","ADDED_STANDARD","REVIEW_CHANGE")))))</x:f>
        <x:v>UNRESOLVED</x:v>
      </x:c>
      <x:c r="N75" s="369" t="str">
        <x:f>IF(OR(G75="NOT_DISCLOSED",I75="NOT_DISCLOSED",G75="CONFLICTED",I75="CONFLICTED"),"UNRESOLVED",IF(G75=I75,"NO_CHANGE",IF(AND(G75="STANDARD_AT_RELEASE",I75="OPTIONAL_AT_RELEASE"),"STANDARD_TO_OPTIONAL",IF(AND(G75="OPTIONAL_AT_RELEASE",I75="STANDARD_AT_RELEASE"),"OPTIONAL_TO_STANDARD",IF(I75="STANDARD_AT_RELEASE","ADDED_STANDARD","REVIEW_CHANGE")))))</x:f>
        <x:v>UNRESOLVED</x:v>
      </x:c>
      <x:c r="O75" s="369" t="str">
        <x:v>CABIN_COMFORT</x:v>
      </x:c>
      <x:c r="P75" s="369" t="str">
        <x:v>DC_CABIN_soft_touch_coverage</x:v>
      </x:c>
      <x:c r="Q75" s="369" t="n">
        <x:f>COUNTIF('50_发布会逐项主张'!$H$6:$H$137,A75)</x:f>
        <x:v>1</x:v>
      </x:c>
      <x:c r="R75" s="369" t="str">
        <x:f>IF(COUNTIFS('50_发布会逐项主张'!$H$6:$H$137,A75,'50_发布会逐项主张'!$X$6:$X$137,"&lt;&gt;NONE")&gt;0,"CONFLICTED","NONE")</x:f>
        <x:v>NONE</x:v>
      </x:c>
    </x:row>
    <x:row r="76" ht="48" customHeight="1">
      <x:c r="A76" s="19" t="str">
        <x:v>speaker_count</x:v>
      </x:c>
      <x:c r="B76" s="19" t="str">
        <x:v>CABIN</x:v>
      </x:c>
      <x:c r="C76" s="19" t="str">
        <x:f>IF(COUNTIFS('51_版本配置事实'!$B$6:$B$127,"PC-N70-BASE-CAND",'51_版本配置事实'!$C$6:$C$127,$A76,'51_版本配置事实'!$T$6:$T$127,"&lt;&gt;NONE")&gt;0,"CONFLICTED",IF(COUNTIFS('51_版本配置事实'!$B$6:$B$127,"PC-N70-BASE-CAND",'51_版本配置事实'!$C$6:$C$127,$A76,'51_版本配置事实'!$I$6:$I$127,"STANDARD_AT_RELEASE")&gt;0,"STANDARD_AT_RELEASE",IF(COUNTIFS('51_版本配置事实'!$B$6:$B$127,"PC-N70-BASE-CAND",'51_版本配置事实'!$C$6:$C$127,$A76,'51_版本配置事实'!$I$6:$I$127,"OPTIONAL_AT_RELEASE")&gt;0,"OPTIONAL_AT_RELEASE",IF(COUNTIFS('51_版本配置事实'!$B$6:$B$127,"PC-N70-BASE-CAND",'51_版本配置事实'!$C$6:$C$127,$A76,'51_版本配置事实'!$I$6:$I$127,"SEPARATE_PURCHASE")&gt;0,"SEPARATE_PURCHASE",IF(COUNTIFS('51_版本配置事实'!$B$6:$B$127,"PC-N70-BASE-CAND",'51_版本配置事实'!$C$6:$C$127,$A76,'51_版本配置事实'!$I$6:$I$127,"EQUIPPED_STANDARD_UNCONFIRMED")&gt;0,"EQUIPPED_STANDARD_UNCONFIRMED",IF(COUNTIFS('51_版本配置事实'!$B$6:$B$127,"PC-N70-BASE-CAND",'51_版本配置事实'!$C$6:$C$127,$A76,'51_版本配置事实'!$I$6:$I$127,"SERIES_CAPABILITY")&gt;0,"SERIES_CAPABILITY",IF(COUNTIFS('51_版本配置事实'!$B$6:$B$127,"PC-N70-BASE-CAND",'51_版本配置事实'!$C$6:$C$127,$A76,'51_版本配置事实'!$I$6:$I$127,"NOT_DISCLOSED")&gt;0,"NOT_DISCLOSED","NOT_DISCLOSED")))))))</x:f>
        <x:v>NOT_DISCLOSED</x:v>
      </x:c>
      <x:c r="D76" s="19" t="str">
        <x:f>IF(COUNTIFS('51_版本配置事实'!$B$6:$B$127,"PC-N70-BASE-CAND",'51_版本配置事实'!$C$6:$C$127,$A76,'51_版本配置事实'!$J$6:$J$127,"STANDARD_CURRENT")&gt;0,"STANDARD_CURRENT","NOT_EVIDENCED")</x:f>
        <x:v>NOT_EVIDENCED</x:v>
      </x:c>
      <x:c r="E76" s="19" t="str">
        <x:f>IF(COUNTIFS('51_版本配置事实'!$B$6:$B$127,"PC-N70-MAX-CAND",'51_版本配置事实'!$C$6:$C$127,$A76,'51_版本配置事实'!$T$6:$T$127,"&lt;&gt;NONE")&gt;0,"CONFLICTED",IF(COUNTIFS('51_版本配置事实'!$B$6:$B$127,"PC-N70-MAX-CAND",'51_版本配置事实'!$C$6:$C$127,$A76,'51_版本配置事实'!$I$6:$I$127,"STANDARD_AT_RELEASE")&gt;0,"STANDARD_AT_RELEASE",IF(COUNTIFS('51_版本配置事实'!$B$6:$B$127,"PC-N70-MAX-CAND",'51_版本配置事实'!$C$6:$C$127,$A76,'51_版本配置事实'!$I$6:$I$127,"OPTIONAL_AT_RELEASE")&gt;0,"OPTIONAL_AT_RELEASE",IF(COUNTIFS('51_版本配置事实'!$B$6:$B$127,"PC-N70-MAX-CAND",'51_版本配置事实'!$C$6:$C$127,$A76,'51_版本配置事实'!$I$6:$I$127,"SEPARATE_PURCHASE")&gt;0,"SEPARATE_PURCHASE",IF(COUNTIFS('51_版本配置事实'!$B$6:$B$127,"PC-N70-MAX-CAND",'51_版本配置事实'!$C$6:$C$127,$A76,'51_版本配置事实'!$I$6:$I$127,"EQUIPPED_STANDARD_UNCONFIRMED")&gt;0,"EQUIPPED_STANDARD_UNCONFIRMED",IF(COUNTIFS('51_版本配置事实'!$B$6:$B$127,"PC-N70-MAX-CAND",'51_版本配置事实'!$C$6:$C$127,$A76,'51_版本配置事实'!$I$6:$I$127,"SERIES_CAPABILITY")&gt;0,"SERIES_CAPABILITY",IF(COUNTIFS('51_版本配置事实'!$B$6:$B$127,"PC-N70-MAX-CAND",'51_版本配置事实'!$C$6:$C$127,$A76,'51_版本配置事实'!$I$6:$I$127,"NOT_DISCLOSED")&gt;0,"NOT_DISCLOSED","NOT_DISCLOSED")))))))</x:f>
        <x:v>NOT_DISCLOSED</x:v>
      </x:c>
      <x:c r="F76" s="19" t="str">
        <x:f>IF(COUNTIFS('51_版本配置事实'!$B$6:$B$127,"PC-N70-MAX-CAND",'51_版本配置事实'!$C$6:$C$127,$A76,'51_版本配置事实'!$J$6:$J$127,"STANDARD_CURRENT")&gt;0,"STANDARD_CURRENT","NOT_EVIDENCED")</x:f>
        <x:v>NOT_EVIDENCED</x:v>
      </x:c>
      <x:c r="G76" s="19" t="str">
        <x:f>IF(COUNTIFS('51_版本配置事实'!$B$6:$B$127,"PC-N90-MAX-CAND",'51_版本配置事实'!$C$6:$C$127,$A76,'51_版本配置事实'!$T$6:$T$127,"&lt;&gt;NONE")&gt;0,"CONFLICTED",IF(COUNTIFS('51_版本配置事实'!$B$6:$B$127,"PC-N90-MAX-CAND",'51_版本配置事实'!$C$6:$C$127,$A76,'51_版本配置事实'!$I$6:$I$127,"STANDARD_AT_RELEASE")&gt;0,"STANDARD_AT_RELEASE",IF(COUNTIFS('51_版本配置事实'!$B$6:$B$127,"PC-N90-MAX-CAND",'51_版本配置事实'!$C$6:$C$127,$A76,'51_版本配置事实'!$I$6:$I$127,"OPTIONAL_AT_RELEASE")&gt;0,"OPTIONAL_AT_RELEASE",IF(COUNTIFS('51_版本配置事实'!$B$6:$B$127,"PC-N90-MAX-CAND",'51_版本配置事实'!$C$6:$C$127,$A76,'51_版本配置事实'!$I$6:$I$127,"SEPARATE_PURCHASE")&gt;0,"SEPARATE_PURCHASE",IF(COUNTIFS('51_版本配置事实'!$B$6:$B$127,"PC-N90-MAX-CAND",'51_版本配置事实'!$C$6:$C$127,$A76,'51_版本配置事实'!$I$6:$I$127,"EQUIPPED_STANDARD_UNCONFIRMED")&gt;0,"EQUIPPED_STANDARD_UNCONFIRMED",IF(COUNTIFS('51_版本配置事实'!$B$6:$B$127,"PC-N90-MAX-CAND",'51_版本配置事实'!$C$6:$C$127,$A76,'51_版本配置事实'!$I$6:$I$127,"SERIES_CAPABILITY")&gt;0,"SERIES_CAPABILITY",IF(COUNTIFS('51_版本配置事实'!$B$6:$B$127,"PC-N90-MAX-CAND",'51_版本配置事实'!$C$6:$C$127,$A76,'51_版本配置事实'!$I$6:$I$127,"NOT_DISCLOSED")&gt;0,"NOT_DISCLOSED","NOT_DISCLOSED")))))))</x:f>
        <x:v>EQUIPPED_STANDARD_UNCONFIRMED</x:v>
      </x:c>
      <x:c r="H76" s="19" t="str">
        <x:f>IF(COUNTIFS('51_版本配置事实'!$B$6:$B$127,"PC-N90-MAX-CAND",'51_版本配置事实'!$C$6:$C$127,$A76,'51_版本配置事实'!$J$6:$J$127,"STANDARD_CURRENT")&gt;0,"STANDARD_CURRENT","NOT_EVIDENCED")</x:f>
        <x:v>NOT_EVIDENCED</x:v>
      </x:c>
      <x:c r="I76" s="19" t="str">
        <x:f>IF(COUNTIFS('51_版本配置事实'!$B$6:$B$127,"PC-N90-ROOF-CAND",'51_版本配置事实'!$C$6:$C$127,$A76,'51_版本配置事实'!$T$6:$T$127,"&lt;&gt;NONE")&gt;0,"CONFLICTED",IF(COUNTIFS('51_版本配置事实'!$B$6:$B$127,"PC-N90-ROOF-CAND",'51_版本配置事实'!$C$6:$C$127,$A76,'51_版本配置事实'!$I$6:$I$127,"STANDARD_AT_RELEASE")&gt;0,"STANDARD_AT_RELEASE",IF(COUNTIFS('51_版本配置事实'!$B$6:$B$127,"PC-N90-ROOF-CAND",'51_版本配置事实'!$C$6:$C$127,$A76,'51_版本配置事实'!$I$6:$I$127,"OPTIONAL_AT_RELEASE")&gt;0,"OPTIONAL_AT_RELEASE",IF(COUNTIFS('51_版本配置事实'!$B$6:$B$127,"PC-N90-ROOF-CAND",'51_版本配置事实'!$C$6:$C$127,$A76,'51_版本配置事实'!$I$6:$I$127,"SEPARATE_PURCHASE")&gt;0,"SEPARATE_PURCHASE",IF(COUNTIFS('51_版本配置事实'!$B$6:$B$127,"PC-N90-ROOF-CAND",'51_版本配置事实'!$C$6:$C$127,$A76,'51_版本配置事实'!$I$6:$I$127,"EQUIPPED_STANDARD_UNCONFIRMED")&gt;0,"EQUIPPED_STANDARD_UNCONFIRMED",IF(COUNTIFS('51_版本配置事实'!$B$6:$B$127,"PC-N90-ROOF-CAND",'51_版本配置事实'!$C$6:$C$127,$A76,'51_版本配置事实'!$I$6:$I$127,"SERIES_CAPABILITY")&gt;0,"SERIES_CAPABILITY",IF(COUNTIFS('51_版本配置事实'!$B$6:$B$127,"PC-N90-ROOF-CAND",'51_版本配置事实'!$C$6:$C$127,$A76,'51_版本配置事实'!$I$6:$I$127,"NOT_DISCLOSED")&gt;0,"NOT_DISCLOSED","NOT_DISCLOSED")))))))</x:f>
        <x:v>NOT_DISCLOSED</x:v>
      </x:c>
      <x:c r="J76" s="19" t="str">
        <x:f>IF(COUNTIFS('51_版本配置事实'!$B$6:$B$127,"PC-N90-ROOF-CAND",'51_版本配置事实'!$C$6:$C$127,$A76,'51_版本配置事实'!$J$6:$J$127,"STANDARD_CURRENT")&gt;0,"STANDARD_CURRENT","NOT_EVIDENCED")</x:f>
        <x:v>NOT_EVIDENCED</x:v>
      </x:c>
      <x:c r="K76" s="19" t="str">
        <x:f>IF(AND(E76=G76,E76&lt;&gt;"NOT_DISCLOSED",E76&lt;&gt;"CONFLICTED"),IF(COUNTIFS('50_发布会逐项主张'!$H$6:$H$137,$A76,'50_发布会逐项主张'!$O$6:$O$137,"ALL_PENGCHENG")&gt;0,"EXPLICIT_COMMON_ANNOUNCED_MAX","MATCHED_NOT_PROVED_COMMON"),"NOT_PROVED_COMMON")</x:f>
        <x:v>NOT_PROVED_COMMON</x:v>
      </x:c>
      <x:c r="L76" s="19" t="str">
        <x:f>IF(OR(C76="NOT_DISCLOSED",E76="NOT_DISCLOSED",C76="CONFLICTED",E76="CONFLICTED"),"UNRESOLVED",IF(C76=E76,"NO_CHANGE",IF(AND(C76="STANDARD_AT_RELEASE",E76="OPTIONAL_AT_RELEASE"),"STANDARD_TO_OPTIONAL",IF(AND(C76="OPTIONAL_AT_RELEASE",E76="STANDARD_AT_RELEASE"),"OPTIONAL_TO_STANDARD",IF(E76="STANDARD_AT_RELEASE","ADDED_STANDARD","REVIEW_CHANGE")))))</x:f>
        <x:v>UNRESOLVED</x:v>
      </x:c>
      <x:c r="M76" s="19" t="str">
        <x:f>IF(OR(E76="NOT_DISCLOSED",G76="NOT_DISCLOSED",E76="CONFLICTED",G76="CONFLICTED"),"UNRESOLVED",IF(E76=G76,"NO_CHANGE",IF(AND(E76="STANDARD_AT_RELEASE",G76="OPTIONAL_AT_RELEASE"),"STANDARD_TO_OPTIONAL",IF(AND(E76="OPTIONAL_AT_RELEASE",G76="STANDARD_AT_RELEASE"),"OPTIONAL_TO_STANDARD",IF(G76="STANDARD_AT_RELEASE","ADDED_STANDARD","REVIEW_CHANGE")))))</x:f>
        <x:v>UNRESOLVED</x:v>
      </x:c>
      <x:c r="N76" s="19" t="str">
        <x:f>IF(OR(G76="NOT_DISCLOSED",I76="NOT_DISCLOSED",G76="CONFLICTED",I76="CONFLICTED"),"UNRESOLVED",IF(G76=I76,"NO_CHANGE",IF(AND(G76="STANDARD_AT_RELEASE",I76="OPTIONAL_AT_RELEASE"),"STANDARD_TO_OPTIONAL",IF(AND(G76="OPTIONAL_AT_RELEASE",I76="STANDARD_AT_RELEASE"),"OPTIONAL_TO_STANDARD",IF(I76="STANDARD_AT_RELEASE","ADDED_STANDARD","REVIEW_CHANGE")))))</x:f>
        <x:v>UNRESOLVED</x:v>
      </x:c>
      <x:c r="O76" s="19" t="str">
        <x:v>CABIN_COMFORT</x:v>
      </x:c>
      <x:c r="P76" s="19" t="str">
        <x:v>DC_CABIN_speaker_count</x:v>
      </x:c>
      <x:c r="Q76" s="19" t="n">
        <x:f>COUNTIF('50_发布会逐项主张'!$H$6:$H$137,A76)</x:f>
        <x:v>2</x:v>
      </x:c>
      <x:c r="R76" s="19" t="str">
        <x:f>IF(COUNTIFS('50_发布会逐项主张'!$H$6:$H$137,A76,'50_发布会逐项主张'!$X$6:$X$137,"&lt;&gt;NONE")&gt;0,"CONFLICTED","NONE")</x:f>
        <x:v>NONE</x:v>
      </x:c>
    </x:row>
    <x:row r="77" ht="48" customHeight="1">
      <x:c r="A77" s="369" t="str">
        <x:v>steel_2200mpa_locations</x:v>
      </x:c>
      <x:c r="B77" s="369" t="str">
        <x:v>BODY_SAFETY</x:v>
      </x:c>
      <x:c r="C77" s="369" t="str">
        <x:f>IF(COUNTIFS('51_版本配置事实'!$B$6:$B$127,"PC-N70-BASE-CAND",'51_版本配置事实'!$C$6:$C$127,$A77,'51_版本配置事实'!$T$6:$T$127,"&lt;&gt;NONE")&gt;0,"CONFLICTED",IF(COUNTIFS('51_版本配置事实'!$B$6:$B$127,"PC-N70-BASE-CAND",'51_版本配置事实'!$C$6:$C$127,$A77,'51_版本配置事实'!$I$6:$I$127,"STANDARD_AT_RELEASE")&gt;0,"STANDARD_AT_RELEASE",IF(COUNTIFS('51_版本配置事实'!$B$6:$B$127,"PC-N70-BASE-CAND",'51_版本配置事实'!$C$6:$C$127,$A77,'51_版本配置事实'!$I$6:$I$127,"OPTIONAL_AT_RELEASE")&gt;0,"OPTIONAL_AT_RELEASE",IF(COUNTIFS('51_版本配置事实'!$B$6:$B$127,"PC-N70-BASE-CAND",'51_版本配置事实'!$C$6:$C$127,$A77,'51_版本配置事实'!$I$6:$I$127,"SEPARATE_PURCHASE")&gt;0,"SEPARATE_PURCHASE",IF(COUNTIFS('51_版本配置事实'!$B$6:$B$127,"PC-N70-BASE-CAND",'51_版本配置事实'!$C$6:$C$127,$A77,'51_版本配置事实'!$I$6:$I$127,"EQUIPPED_STANDARD_UNCONFIRMED")&gt;0,"EQUIPPED_STANDARD_UNCONFIRMED",IF(COUNTIFS('51_版本配置事实'!$B$6:$B$127,"PC-N70-BASE-CAND",'51_版本配置事实'!$C$6:$C$127,$A77,'51_版本配置事实'!$I$6:$I$127,"SERIES_CAPABILITY")&gt;0,"SERIES_CAPABILITY",IF(COUNTIFS('51_版本配置事实'!$B$6:$B$127,"PC-N70-BASE-CAND",'51_版本配置事实'!$C$6:$C$127,$A77,'51_版本配置事实'!$I$6:$I$127,"NOT_DISCLOSED")&gt;0,"NOT_DISCLOSED","NOT_DISCLOSED")))))))</x:f>
        <x:v>NOT_DISCLOSED</x:v>
      </x:c>
      <x:c r="D77" s="369" t="str">
        <x:f>IF(COUNTIFS('51_版本配置事实'!$B$6:$B$127,"PC-N70-BASE-CAND",'51_版本配置事实'!$C$6:$C$127,$A77,'51_版本配置事实'!$J$6:$J$127,"STANDARD_CURRENT")&gt;0,"STANDARD_CURRENT","NOT_EVIDENCED")</x:f>
        <x:v>NOT_EVIDENCED</x:v>
      </x:c>
      <x:c r="E77" s="369" t="str">
        <x:f>IF(COUNTIFS('51_版本配置事实'!$B$6:$B$127,"PC-N70-MAX-CAND",'51_版本配置事实'!$C$6:$C$127,$A77,'51_版本配置事实'!$T$6:$T$127,"&lt;&gt;NONE")&gt;0,"CONFLICTED",IF(COUNTIFS('51_版本配置事实'!$B$6:$B$127,"PC-N70-MAX-CAND",'51_版本配置事实'!$C$6:$C$127,$A77,'51_版本配置事实'!$I$6:$I$127,"STANDARD_AT_RELEASE")&gt;0,"STANDARD_AT_RELEASE",IF(COUNTIFS('51_版本配置事实'!$B$6:$B$127,"PC-N70-MAX-CAND",'51_版本配置事实'!$C$6:$C$127,$A77,'51_版本配置事实'!$I$6:$I$127,"OPTIONAL_AT_RELEASE")&gt;0,"OPTIONAL_AT_RELEASE",IF(COUNTIFS('51_版本配置事实'!$B$6:$B$127,"PC-N70-MAX-CAND",'51_版本配置事实'!$C$6:$C$127,$A77,'51_版本配置事实'!$I$6:$I$127,"SEPARATE_PURCHASE")&gt;0,"SEPARATE_PURCHASE",IF(COUNTIFS('51_版本配置事实'!$B$6:$B$127,"PC-N70-MAX-CAND",'51_版本配置事实'!$C$6:$C$127,$A77,'51_版本配置事实'!$I$6:$I$127,"EQUIPPED_STANDARD_UNCONFIRMED")&gt;0,"EQUIPPED_STANDARD_UNCONFIRMED",IF(COUNTIFS('51_版本配置事实'!$B$6:$B$127,"PC-N70-MAX-CAND",'51_版本配置事实'!$C$6:$C$127,$A77,'51_版本配置事实'!$I$6:$I$127,"SERIES_CAPABILITY")&gt;0,"SERIES_CAPABILITY",IF(COUNTIFS('51_版本配置事实'!$B$6:$B$127,"PC-N70-MAX-CAND",'51_版本配置事实'!$C$6:$C$127,$A77,'51_版本配置事实'!$I$6:$I$127,"NOT_DISCLOSED")&gt;0,"NOT_DISCLOSED","NOT_DISCLOSED")))))))</x:f>
        <x:v>NOT_DISCLOSED</x:v>
      </x:c>
      <x:c r="F77" s="369" t="str">
        <x:f>IF(COUNTIFS('51_版本配置事实'!$B$6:$B$127,"PC-N70-MAX-CAND",'51_版本配置事实'!$C$6:$C$127,$A77,'51_版本配置事实'!$J$6:$J$127,"STANDARD_CURRENT")&gt;0,"STANDARD_CURRENT","NOT_EVIDENCED")</x:f>
        <x:v>NOT_EVIDENCED</x:v>
      </x:c>
      <x:c r="G77" s="369" t="str">
        <x:f>IF(COUNTIFS('51_版本配置事实'!$B$6:$B$127,"PC-N90-MAX-CAND",'51_版本配置事实'!$C$6:$C$127,$A77,'51_版本配置事实'!$T$6:$T$127,"&lt;&gt;NONE")&gt;0,"CONFLICTED",IF(COUNTIFS('51_版本配置事实'!$B$6:$B$127,"PC-N90-MAX-CAND",'51_版本配置事实'!$C$6:$C$127,$A77,'51_版本配置事实'!$I$6:$I$127,"STANDARD_AT_RELEASE")&gt;0,"STANDARD_AT_RELEASE",IF(COUNTIFS('51_版本配置事实'!$B$6:$B$127,"PC-N90-MAX-CAND",'51_版本配置事实'!$C$6:$C$127,$A77,'51_版本配置事实'!$I$6:$I$127,"OPTIONAL_AT_RELEASE")&gt;0,"OPTIONAL_AT_RELEASE",IF(COUNTIFS('51_版本配置事实'!$B$6:$B$127,"PC-N90-MAX-CAND",'51_版本配置事实'!$C$6:$C$127,$A77,'51_版本配置事实'!$I$6:$I$127,"SEPARATE_PURCHASE")&gt;0,"SEPARATE_PURCHASE",IF(COUNTIFS('51_版本配置事实'!$B$6:$B$127,"PC-N90-MAX-CAND",'51_版本配置事实'!$C$6:$C$127,$A77,'51_版本配置事实'!$I$6:$I$127,"EQUIPPED_STANDARD_UNCONFIRMED")&gt;0,"EQUIPPED_STANDARD_UNCONFIRMED",IF(COUNTIFS('51_版本配置事实'!$B$6:$B$127,"PC-N90-MAX-CAND",'51_版本配置事实'!$C$6:$C$127,$A77,'51_版本配置事实'!$I$6:$I$127,"SERIES_CAPABILITY")&gt;0,"SERIES_CAPABILITY",IF(COUNTIFS('51_版本配置事实'!$B$6:$B$127,"PC-N90-MAX-CAND",'51_版本配置事实'!$C$6:$C$127,$A77,'51_版本配置事实'!$I$6:$I$127,"NOT_DISCLOSED")&gt;0,"NOT_DISCLOSED","NOT_DISCLOSED")))))))</x:f>
        <x:v>EQUIPPED_STANDARD_UNCONFIRMED</x:v>
      </x:c>
      <x:c r="H77" s="369" t="str">
        <x:f>IF(COUNTIFS('51_版本配置事实'!$B$6:$B$127,"PC-N90-MAX-CAND",'51_版本配置事实'!$C$6:$C$127,$A77,'51_版本配置事实'!$J$6:$J$127,"STANDARD_CURRENT")&gt;0,"STANDARD_CURRENT","NOT_EVIDENCED")</x:f>
        <x:v>NOT_EVIDENCED</x:v>
      </x:c>
      <x:c r="I77" s="369" t="str">
        <x:f>IF(COUNTIFS('51_版本配置事实'!$B$6:$B$127,"PC-N90-ROOF-CAND",'51_版本配置事实'!$C$6:$C$127,$A77,'51_版本配置事实'!$T$6:$T$127,"&lt;&gt;NONE")&gt;0,"CONFLICTED",IF(COUNTIFS('51_版本配置事实'!$B$6:$B$127,"PC-N90-ROOF-CAND",'51_版本配置事实'!$C$6:$C$127,$A77,'51_版本配置事实'!$I$6:$I$127,"STANDARD_AT_RELEASE")&gt;0,"STANDARD_AT_RELEASE",IF(COUNTIFS('51_版本配置事实'!$B$6:$B$127,"PC-N90-ROOF-CAND",'51_版本配置事实'!$C$6:$C$127,$A77,'51_版本配置事实'!$I$6:$I$127,"OPTIONAL_AT_RELEASE")&gt;0,"OPTIONAL_AT_RELEASE",IF(COUNTIFS('51_版本配置事实'!$B$6:$B$127,"PC-N90-ROOF-CAND",'51_版本配置事实'!$C$6:$C$127,$A77,'51_版本配置事实'!$I$6:$I$127,"SEPARATE_PURCHASE")&gt;0,"SEPARATE_PURCHASE",IF(COUNTIFS('51_版本配置事实'!$B$6:$B$127,"PC-N90-ROOF-CAND",'51_版本配置事实'!$C$6:$C$127,$A77,'51_版本配置事实'!$I$6:$I$127,"EQUIPPED_STANDARD_UNCONFIRMED")&gt;0,"EQUIPPED_STANDARD_UNCONFIRMED",IF(COUNTIFS('51_版本配置事实'!$B$6:$B$127,"PC-N90-ROOF-CAND",'51_版本配置事实'!$C$6:$C$127,$A77,'51_版本配置事实'!$I$6:$I$127,"SERIES_CAPABILITY")&gt;0,"SERIES_CAPABILITY",IF(COUNTIFS('51_版本配置事实'!$B$6:$B$127,"PC-N90-ROOF-CAND",'51_版本配置事实'!$C$6:$C$127,$A77,'51_版本配置事实'!$I$6:$I$127,"NOT_DISCLOSED")&gt;0,"NOT_DISCLOSED","NOT_DISCLOSED")))))))</x:f>
        <x:v>NOT_DISCLOSED</x:v>
      </x:c>
      <x:c r="J77" s="369" t="str">
        <x:f>IF(COUNTIFS('51_版本配置事实'!$B$6:$B$127,"PC-N90-ROOF-CAND",'51_版本配置事实'!$C$6:$C$127,$A77,'51_版本配置事实'!$J$6:$J$127,"STANDARD_CURRENT")&gt;0,"STANDARD_CURRENT","NOT_EVIDENCED")</x:f>
        <x:v>NOT_EVIDENCED</x:v>
      </x:c>
      <x:c r="K77" s="369" t="str">
        <x:f>IF(AND(E77=G77,E77&lt;&gt;"NOT_DISCLOSED",E77&lt;&gt;"CONFLICTED"),IF(COUNTIFS('50_发布会逐项主张'!$H$6:$H$137,$A77,'50_发布会逐项主张'!$O$6:$O$137,"ALL_PENGCHENG")&gt;0,"EXPLICIT_COMMON_ANNOUNCED_MAX","MATCHED_NOT_PROVED_COMMON"),"NOT_PROVED_COMMON")</x:f>
        <x:v>NOT_PROVED_COMMON</x:v>
      </x:c>
      <x:c r="L77" s="369" t="str">
        <x:f>IF(OR(C77="NOT_DISCLOSED",E77="NOT_DISCLOSED",C77="CONFLICTED",E77="CONFLICTED"),"UNRESOLVED",IF(C77=E77,"NO_CHANGE",IF(AND(C77="STANDARD_AT_RELEASE",E77="OPTIONAL_AT_RELEASE"),"STANDARD_TO_OPTIONAL",IF(AND(C77="OPTIONAL_AT_RELEASE",E77="STANDARD_AT_RELEASE"),"OPTIONAL_TO_STANDARD",IF(E77="STANDARD_AT_RELEASE","ADDED_STANDARD","REVIEW_CHANGE")))))</x:f>
        <x:v>UNRESOLVED</x:v>
      </x:c>
      <x:c r="M77" s="369" t="str">
        <x:f>IF(OR(E77="NOT_DISCLOSED",G77="NOT_DISCLOSED",E77="CONFLICTED",G77="CONFLICTED"),"UNRESOLVED",IF(E77=G77,"NO_CHANGE",IF(AND(E77="STANDARD_AT_RELEASE",G77="OPTIONAL_AT_RELEASE"),"STANDARD_TO_OPTIONAL",IF(AND(E77="OPTIONAL_AT_RELEASE",G77="STANDARD_AT_RELEASE"),"OPTIONAL_TO_STANDARD",IF(G77="STANDARD_AT_RELEASE","ADDED_STANDARD","REVIEW_CHANGE")))))</x:f>
        <x:v>UNRESOLVED</x:v>
      </x:c>
      <x:c r="N77" s="369" t="str">
        <x:f>IF(OR(G77="NOT_DISCLOSED",I77="NOT_DISCLOSED",G77="CONFLICTED",I77="CONFLICTED"),"UNRESOLVED",IF(G77=I77,"NO_CHANGE",IF(AND(G77="STANDARD_AT_RELEASE",I77="OPTIONAL_AT_RELEASE"),"STANDARD_TO_OPTIONAL",IF(AND(G77="OPTIONAL_AT_RELEASE",I77="STANDARD_AT_RELEASE"),"OPTIONAL_TO_STANDARD",IF(I77="STANDARD_AT_RELEASE","ADDED_STANDARD","REVIEW_CHANGE")))))</x:f>
        <x:v>UNRESOLVED</x:v>
      </x:c>
      <x:c r="O77" s="369" t="str">
        <x:v>BODY_SPACE_SAFETY</x:v>
      </x:c>
      <x:c r="P77" s="369" t="str">
        <x:v>DC_BODY_SAFETY_steel_2200mpa_locations</x:v>
      </x:c>
      <x:c r="Q77" s="369" t="n">
        <x:f>COUNTIF('50_发布会逐项主张'!$H$6:$H$137,A77)</x:f>
        <x:v>1</x:v>
      </x:c>
      <x:c r="R77" s="369" t="str">
        <x:f>IF(COUNTIFS('50_发布会逐项主张'!$H$6:$H$137,A77,'50_发布会逐项主张'!$X$6:$X$137,"&lt;&gt;NONE")&gt;0,"CONFLICTED","NONE")</x:f>
        <x:v>NONE</x:v>
      </x:c>
    </x:row>
    <x:row r="78" ht="48" customHeight="1">
      <x:c r="A78" s="19" t="str">
        <x:v>super_xiaoai</x:v>
      </x:c>
      <x:c r="B78" s="19" t="str">
        <x:v>CABIN</x:v>
      </x:c>
      <x:c r="C78" s="19" t="str">
        <x:f>IF(COUNTIFS('51_版本配置事实'!$B$6:$B$127,"PC-N70-BASE-CAND",'51_版本配置事实'!$C$6:$C$127,$A78,'51_版本配置事实'!$T$6:$T$127,"&lt;&gt;NONE")&gt;0,"CONFLICTED",IF(COUNTIFS('51_版本配置事实'!$B$6:$B$127,"PC-N70-BASE-CAND",'51_版本配置事实'!$C$6:$C$127,$A78,'51_版本配置事实'!$I$6:$I$127,"STANDARD_AT_RELEASE")&gt;0,"STANDARD_AT_RELEASE",IF(COUNTIFS('51_版本配置事实'!$B$6:$B$127,"PC-N70-BASE-CAND",'51_版本配置事实'!$C$6:$C$127,$A78,'51_版本配置事实'!$I$6:$I$127,"OPTIONAL_AT_RELEASE")&gt;0,"OPTIONAL_AT_RELEASE",IF(COUNTIFS('51_版本配置事实'!$B$6:$B$127,"PC-N70-BASE-CAND",'51_版本配置事实'!$C$6:$C$127,$A78,'51_版本配置事实'!$I$6:$I$127,"SEPARATE_PURCHASE")&gt;0,"SEPARATE_PURCHASE",IF(COUNTIFS('51_版本配置事实'!$B$6:$B$127,"PC-N70-BASE-CAND",'51_版本配置事实'!$C$6:$C$127,$A78,'51_版本配置事实'!$I$6:$I$127,"EQUIPPED_STANDARD_UNCONFIRMED")&gt;0,"EQUIPPED_STANDARD_UNCONFIRMED",IF(COUNTIFS('51_版本配置事实'!$B$6:$B$127,"PC-N70-BASE-CAND",'51_版本配置事实'!$C$6:$C$127,$A78,'51_版本配置事实'!$I$6:$I$127,"SERIES_CAPABILITY")&gt;0,"SERIES_CAPABILITY",IF(COUNTIFS('51_版本配置事实'!$B$6:$B$127,"PC-N70-BASE-CAND",'51_版本配置事实'!$C$6:$C$127,$A78,'51_版本配置事实'!$I$6:$I$127,"NOT_DISCLOSED")&gt;0,"NOT_DISCLOSED","NOT_DISCLOSED")))))))</x:f>
        <x:v>NOT_DISCLOSED</x:v>
      </x:c>
      <x:c r="D78" s="19" t="str">
        <x:f>IF(COUNTIFS('51_版本配置事实'!$B$6:$B$127,"PC-N70-BASE-CAND",'51_版本配置事实'!$C$6:$C$127,$A78,'51_版本配置事实'!$J$6:$J$127,"STANDARD_CURRENT")&gt;0,"STANDARD_CURRENT","NOT_EVIDENCED")</x:f>
        <x:v>NOT_EVIDENCED</x:v>
      </x:c>
      <x:c r="E78" s="19" t="str">
        <x:f>IF(COUNTIFS('51_版本配置事实'!$B$6:$B$127,"PC-N70-MAX-CAND",'51_版本配置事实'!$C$6:$C$127,$A78,'51_版本配置事实'!$T$6:$T$127,"&lt;&gt;NONE")&gt;0,"CONFLICTED",IF(COUNTIFS('51_版本配置事实'!$B$6:$B$127,"PC-N70-MAX-CAND",'51_版本配置事实'!$C$6:$C$127,$A78,'51_版本配置事实'!$I$6:$I$127,"STANDARD_AT_RELEASE")&gt;0,"STANDARD_AT_RELEASE",IF(COUNTIFS('51_版本配置事实'!$B$6:$B$127,"PC-N70-MAX-CAND",'51_版本配置事实'!$C$6:$C$127,$A78,'51_版本配置事实'!$I$6:$I$127,"OPTIONAL_AT_RELEASE")&gt;0,"OPTIONAL_AT_RELEASE",IF(COUNTIFS('51_版本配置事实'!$B$6:$B$127,"PC-N70-MAX-CAND",'51_版本配置事实'!$C$6:$C$127,$A78,'51_版本配置事实'!$I$6:$I$127,"SEPARATE_PURCHASE")&gt;0,"SEPARATE_PURCHASE",IF(COUNTIFS('51_版本配置事实'!$B$6:$B$127,"PC-N70-MAX-CAND",'51_版本配置事实'!$C$6:$C$127,$A78,'51_版本配置事实'!$I$6:$I$127,"EQUIPPED_STANDARD_UNCONFIRMED")&gt;0,"EQUIPPED_STANDARD_UNCONFIRMED",IF(COUNTIFS('51_版本配置事实'!$B$6:$B$127,"PC-N70-MAX-CAND",'51_版本配置事实'!$C$6:$C$127,$A78,'51_版本配置事实'!$I$6:$I$127,"SERIES_CAPABILITY")&gt;0,"SERIES_CAPABILITY",IF(COUNTIFS('51_版本配置事实'!$B$6:$B$127,"PC-N70-MAX-CAND",'51_版本配置事实'!$C$6:$C$127,$A78,'51_版本配置事实'!$I$6:$I$127,"NOT_DISCLOSED")&gt;0,"NOT_DISCLOSED","NOT_DISCLOSED")))))))</x:f>
        <x:v>STANDARD_AT_RELEASE</x:v>
      </x:c>
      <x:c r="F78" s="19" t="str">
        <x:f>IF(COUNTIFS('51_版本配置事实'!$B$6:$B$127,"PC-N70-MAX-CAND",'51_版本配置事实'!$C$6:$C$127,$A78,'51_版本配置事实'!$J$6:$J$127,"STANDARD_CURRENT")&gt;0,"STANDARD_CURRENT","NOT_EVIDENCED")</x:f>
        <x:v>NOT_EVIDENCED</x:v>
      </x:c>
      <x:c r="G78" s="19" t="str">
        <x:f>IF(COUNTIFS('51_版本配置事实'!$B$6:$B$127,"PC-N90-MAX-CAND",'51_版本配置事实'!$C$6:$C$127,$A78,'51_版本配置事实'!$T$6:$T$127,"&lt;&gt;NONE")&gt;0,"CONFLICTED",IF(COUNTIFS('51_版本配置事实'!$B$6:$B$127,"PC-N90-MAX-CAND",'51_版本配置事实'!$C$6:$C$127,$A78,'51_版本配置事实'!$I$6:$I$127,"STANDARD_AT_RELEASE")&gt;0,"STANDARD_AT_RELEASE",IF(COUNTIFS('51_版本配置事实'!$B$6:$B$127,"PC-N90-MAX-CAND",'51_版本配置事实'!$C$6:$C$127,$A78,'51_版本配置事实'!$I$6:$I$127,"OPTIONAL_AT_RELEASE")&gt;0,"OPTIONAL_AT_RELEASE",IF(COUNTIFS('51_版本配置事实'!$B$6:$B$127,"PC-N90-MAX-CAND",'51_版本配置事实'!$C$6:$C$127,$A78,'51_版本配置事实'!$I$6:$I$127,"SEPARATE_PURCHASE")&gt;0,"SEPARATE_PURCHASE",IF(COUNTIFS('51_版本配置事实'!$B$6:$B$127,"PC-N90-MAX-CAND",'51_版本配置事实'!$C$6:$C$127,$A78,'51_版本配置事实'!$I$6:$I$127,"EQUIPPED_STANDARD_UNCONFIRMED")&gt;0,"EQUIPPED_STANDARD_UNCONFIRMED",IF(COUNTIFS('51_版本配置事实'!$B$6:$B$127,"PC-N90-MAX-CAND",'51_版本配置事实'!$C$6:$C$127,$A78,'51_版本配置事实'!$I$6:$I$127,"SERIES_CAPABILITY")&gt;0,"SERIES_CAPABILITY",IF(COUNTIFS('51_版本配置事实'!$B$6:$B$127,"PC-N90-MAX-CAND",'51_版本配置事实'!$C$6:$C$127,$A78,'51_版本配置事实'!$I$6:$I$127,"NOT_DISCLOSED")&gt;0,"NOT_DISCLOSED","NOT_DISCLOSED")))))))</x:f>
        <x:v>STANDARD_AT_RELEASE</x:v>
      </x:c>
      <x:c r="H78" s="19" t="str">
        <x:f>IF(COUNTIFS('51_版本配置事实'!$B$6:$B$127,"PC-N90-MAX-CAND",'51_版本配置事实'!$C$6:$C$127,$A78,'51_版本配置事实'!$J$6:$J$127,"STANDARD_CURRENT")&gt;0,"STANDARD_CURRENT","NOT_EVIDENCED")</x:f>
        <x:v>NOT_EVIDENCED</x:v>
      </x:c>
      <x:c r="I78" s="19" t="str">
        <x:f>IF(COUNTIFS('51_版本配置事实'!$B$6:$B$127,"PC-N90-ROOF-CAND",'51_版本配置事实'!$C$6:$C$127,$A78,'51_版本配置事实'!$T$6:$T$127,"&lt;&gt;NONE")&gt;0,"CONFLICTED",IF(COUNTIFS('51_版本配置事实'!$B$6:$B$127,"PC-N90-ROOF-CAND",'51_版本配置事实'!$C$6:$C$127,$A78,'51_版本配置事实'!$I$6:$I$127,"STANDARD_AT_RELEASE")&gt;0,"STANDARD_AT_RELEASE",IF(COUNTIFS('51_版本配置事实'!$B$6:$B$127,"PC-N90-ROOF-CAND",'51_版本配置事实'!$C$6:$C$127,$A78,'51_版本配置事实'!$I$6:$I$127,"OPTIONAL_AT_RELEASE")&gt;0,"OPTIONAL_AT_RELEASE",IF(COUNTIFS('51_版本配置事实'!$B$6:$B$127,"PC-N90-ROOF-CAND",'51_版本配置事实'!$C$6:$C$127,$A78,'51_版本配置事实'!$I$6:$I$127,"SEPARATE_PURCHASE")&gt;0,"SEPARATE_PURCHASE",IF(COUNTIFS('51_版本配置事实'!$B$6:$B$127,"PC-N90-ROOF-CAND",'51_版本配置事实'!$C$6:$C$127,$A78,'51_版本配置事实'!$I$6:$I$127,"EQUIPPED_STANDARD_UNCONFIRMED")&gt;0,"EQUIPPED_STANDARD_UNCONFIRMED",IF(COUNTIFS('51_版本配置事实'!$B$6:$B$127,"PC-N90-ROOF-CAND",'51_版本配置事实'!$C$6:$C$127,$A78,'51_版本配置事实'!$I$6:$I$127,"SERIES_CAPABILITY")&gt;0,"SERIES_CAPABILITY",IF(COUNTIFS('51_版本配置事实'!$B$6:$B$127,"PC-N90-ROOF-CAND",'51_版本配置事实'!$C$6:$C$127,$A78,'51_版本配置事实'!$I$6:$I$127,"NOT_DISCLOSED")&gt;0,"NOT_DISCLOSED","NOT_DISCLOSED")))))))</x:f>
        <x:v>NOT_DISCLOSED</x:v>
      </x:c>
      <x:c r="J78" s="19" t="str">
        <x:f>IF(COUNTIFS('51_版本配置事实'!$B$6:$B$127,"PC-N90-ROOF-CAND",'51_版本配置事实'!$C$6:$C$127,$A78,'51_版本配置事实'!$J$6:$J$127,"STANDARD_CURRENT")&gt;0,"STANDARD_CURRENT","NOT_EVIDENCED")</x:f>
        <x:v>NOT_EVIDENCED</x:v>
      </x:c>
      <x:c r="K78" s="19" t="str">
        <x:f>IF(AND(E78=G78,E78&lt;&gt;"NOT_DISCLOSED",E78&lt;&gt;"CONFLICTED"),IF(COUNTIFS('50_发布会逐项主张'!$H$6:$H$137,$A78,'50_发布会逐项主张'!$O$6:$O$137,"ALL_PENGCHENG")&gt;0,"EXPLICIT_COMMON_ANNOUNCED_MAX","MATCHED_NOT_PROVED_COMMON"),"NOT_PROVED_COMMON")</x:f>
        <x:v>EXPLICIT_COMMON_ANNOUNCED_MAX</x:v>
      </x:c>
      <x:c r="L78" s="19" t="str">
        <x:f>IF(OR(C78="NOT_DISCLOSED",E78="NOT_DISCLOSED",C78="CONFLICTED",E78="CONFLICTED"),"UNRESOLVED",IF(C78=E78,"NO_CHANGE",IF(AND(C78="STANDARD_AT_RELEASE",E78="OPTIONAL_AT_RELEASE"),"STANDARD_TO_OPTIONAL",IF(AND(C78="OPTIONAL_AT_RELEASE",E78="STANDARD_AT_RELEASE"),"OPTIONAL_TO_STANDARD",IF(E78="STANDARD_AT_RELEASE","ADDED_STANDARD","REVIEW_CHANGE")))))</x:f>
        <x:v>UNRESOLVED</x:v>
      </x:c>
      <x:c r="M78" s="19" t="str">
        <x:f>IF(OR(E78="NOT_DISCLOSED",G78="NOT_DISCLOSED",E78="CONFLICTED",G78="CONFLICTED"),"UNRESOLVED",IF(E78=G78,"NO_CHANGE",IF(AND(E78="STANDARD_AT_RELEASE",G78="OPTIONAL_AT_RELEASE"),"STANDARD_TO_OPTIONAL",IF(AND(E78="OPTIONAL_AT_RELEASE",G78="STANDARD_AT_RELEASE"),"OPTIONAL_TO_STANDARD",IF(G78="STANDARD_AT_RELEASE","ADDED_STANDARD","REVIEW_CHANGE")))))</x:f>
        <x:v>NO_CHANGE</x:v>
      </x:c>
      <x:c r="N78" s="19" t="str">
        <x:f>IF(OR(G78="NOT_DISCLOSED",I78="NOT_DISCLOSED",G78="CONFLICTED",I78="CONFLICTED"),"UNRESOLVED",IF(G78=I78,"NO_CHANGE",IF(AND(G78="STANDARD_AT_RELEASE",I78="OPTIONAL_AT_RELEASE"),"STANDARD_TO_OPTIONAL",IF(AND(G78="OPTIONAL_AT_RELEASE",I78="STANDARD_AT_RELEASE"),"OPTIONAL_TO_STANDARD",IF(I78="STANDARD_AT_RELEASE","ADDED_STANDARD","REVIEW_CHANGE")))))</x:f>
        <x:v>UNRESOLVED</x:v>
      </x:c>
      <x:c r="O78" s="19" t="str">
        <x:v>CABIN_COMFORT</x:v>
      </x:c>
      <x:c r="P78" s="19" t="str">
        <x:v>DC_EE_CABIN</x:v>
      </x:c>
      <x:c r="Q78" s="19" t="n">
        <x:f>COUNTIF('50_发布会逐项主张'!$H$6:$H$137,A78)</x:f>
        <x:v>2</x:v>
      </x:c>
      <x:c r="R78" s="19" t="str">
        <x:f>IF(COUNTIFS('50_发布会逐项主张'!$H$6:$H$137,A78,'50_发布会逐项主张'!$X$6:$X$137,"&lt;&gt;NONE")&gt;0,"CONFLICTED","NONE")</x:f>
        <x:v>NONE</x:v>
      </x:c>
    </x:row>
    <x:row r="79" ht="48" customHeight="1">
      <x:c r="A79" s="369" t="str">
        <x:v>suspension_layout</x:v>
      </x:c>
      <x:c r="B79" s="369" t="str">
        <x:v>CHASSIS</x:v>
      </x:c>
      <x:c r="C79" s="369" t="str">
        <x:f>IF(COUNTIFS('51_版本配置事实'!$B$6:$B$127,"PC-N70-BASE-CAND",'51_版本配置事实'!$C$6:$C$127,$A79,'51_版本配置事实'!$T$6:$T$127,"&lt;&gt;NONE")&gt;0,"CONFLICTED",IF(COUNTIFS('51_版本配置事实'!$B$6:$B$127,"PC-N70-BASE-CAND",'51_版本配置事实'!$C$6:$C$127,$A79,'51_版本配置事实'!$I$6:$I$127,"STANDARD_AT_RELEASE")&gt;0,"STANDARD_AT_RELEASE",IF(COUNTIFS('51_版本配置事实'!$B$6:$B$127,"PC-N70-BASE-CAND",'51_版本配置事实'!$C$6:$C$127,$A79,'51_版本配置事实'!$I$6:$I$127,"OPTIONAL_AT_RELEASE")&gt;0,"OPTIONAL_AT_RELEASE",IF(COUNTIFS('51_版本配置事实'!$B$6:$B$127,"PC-N70-BASE-CAND",'51_版本配置事实'!$C$6:$C$127,$A79,'51_版本配置事实'!$I$6:$I$127,"SEPARATE_PURCHASE")&gt;0,"SEPARATE_PURCHASE",IF(COUNTIFS('51_版本配置事实'!$B$6:$B$127,"PC-N70-BASE-CAND",'51_版本配置事实'!$C$6:$C$127,$A79,'51_版本配置事实'!$I$6:$I$127,"EQUIPPED_STANDARD_UNCONFIRMED")&gt;0,"EQUIPPED_STANDARD_UNCONFIRMED",IF(COUNTIFS('51_版本配置事实'!$B$6:$B$127,"PC-N70-BASE-CAND",'51_版本配置事实'!$C$6:$C$127,$A79,'51_版本配置事实'!$I$6:$I$127,"SERIES_CAPABILITY")&gt;0,"SERIES_CAPABILITY",IF(COUNTIFS('51_版本配置事实'!$B$6:$B$127,"PC-N70-BASE-CAND",'51_版本配置事实'!$C$6:$C$127,$A79,'51_版本配置事实'!$I$6:$I$127,"NOT_DISCLOSED")&gt;0,"NOT_DISCLOSED","NOT_DISCLOSED")))))))</x:f>
        <x:v>NOT_DISCLOSED</x:v>
      </x:c>
      <x:c r="D79" s="369" t="str">
        <x:f>IF(COUNTIFS('51_版本配置事实'!$B$6:$B$127,"PC-N70-BASE-CAND",'51_版本配置事实'!$C$6:$C$127,$A79,'51_版本配置事实'!$J$6:$J$127,"STANDARD_CURRENT")&gt;0,"STANDARD_CURRENT","NOT_EVIDENCED")</x:f>
        <x:v>NOT_EVIDENCED</x:v>
      </x:c>
      <x:c r="E79" s="369" t="str">
        <x:f>IF(COUNTIFS('51_版本配置事实'!$B$6:$B$127,"PC-N70-MAX-CAND",'51_版本配置事实'!$C$6:$C$127,$A79,'51_版本配置事实'!$T$6:$T$127,"&lt;&gt;NONE")&gt;0,"CONFLICTED",IF(COUNTIFS('51_版本配置事实'!$B$6:$B$127,"PC-N70-MAX-CAND",'51_版本配置事实'!$C$6:$C$127,$A79,'51_版本配置事实'!$I$6:$I$127,"STANDARD_AT_RELEASE")&gt;0,"STANDARD_AT_RELEASE",IF(COUNTIFS('51_版本配置事实'!$B$6:$B$127,"PC-N70-MAX-CAND",'51_版本配置事实'!$C$6:$C$127,$A79,'51_版本配置事实'!$I$6:$I$127,"OPTIONAL_AT_RELEASE")&gt;0,"OPTIONAL_AT_RELEASE",IF(COUNTIFS('51_版本配置事实'!$B$6:$B$127,"PC-N70-MAX-CAND",'51_版本配置事实'!$C$6:$C$127,$A79,'51_版本配置事实'!$I$6:$I$127,"SEPARATE_PURCHASE")&gt;0,"SEPARATE_PURCHASE",IF(COUNTIFS('51_版本配置事实'!$B$6:$B$127,"PC-N70-MAX-CAND",'51_版本配置事实'!$C$6:$C$127,$A79,'51_版本配置事实'!$I$6:$I$127,"EQUIPPED_STANDARD_UNCONFIRMED")&gt;0,"EQUIPPED_STANDARD_UNCONFIRMED",IF(COUNTIFS('51_版本配置事实'!$B$6:$B$127,"PC-N70-MAX-CAND",'51_版本配置事实'!$C$6:$C$127,$A79,'51_版本配置事实'!$I$6:$I$127,"SERIES_CAPABILITY")&gt;0,"SERIES_CAPABILITY",IF(COUNTIFS('51_版本配置事实'!$B$6:$B$127,"PC-N70-MAX-CAND",'51_版本配置事实'!$C$6:$C$127,$A79,'51_版本配置事实'!$I$6:$I$127,"NOT_DISCLOSED")&gt;0,"NOT_DISCLOSED","NOT_DISCLOSED")))))))</x:f>
        <x:v>NOT_DISCLOSED</x:v>
      </x:c>
      <x:c r="F79" s="369" t="str">
        <x:f>IF(COUNTIFS('51_版本配置事实'!$B$6:$B$127,"PC-N70-MAX-CAND",'51_版本配置事实'!$C$6:$C$127,$A79,'51_版本配置事实'!$J$6:$J$127,"STANDARD_CURRENT")&gt;0,"STANDARD_CURRENT","NOT_EVIDENCED")</x:f>
        <x:v>NOT_EVIDENCED</x:v>
      </x:c>
      <x:c r="G79" s="369" t="str">
        <x:f>IF(COUNTIFS('51_版本配置事实'!$B$6:$B$127,"PC-N90-MAX-CAND",'51_版本配置事实'!$C$6:$C$127,$A79,'51_版本配置事实'!$T$6:$T$127,"&lt;&gt;NONE")&gt;0,"CONFLICTED",IF(COUNTIFS('51_版本配置事实'!$B$6:$B$127,"PC-N90-MAX-CAND",'51_版本配置事实'!$C$6:$C$127,$A79,'51_版本配置事实'!$I$6:$I$127,"STANDARD_AT_RELEASE")&gt;0,"STANDARD_AT_RELEASE",IF(COUNTIFS('51_版本配置事实'!$B$6:$B$127,"PC-N90-MAX-CAND",'51_版本配置事实'!$C$6:$C$127,$A79,'51_版本配置事实'!$I$6:$I$127,"OPTIONAL_AT_RELEASE")&gt;0,"OPTIONAL_AT_RELEASE",IF(COUNTIFS('51_版本配置事实'!$B$6:$B$127,"PC-N90-MAX-CAND",'51_版本配置事实'!$C$6:$C$127,$A79,'51_版本配置事实'!$I$6:$I$127,"SEPARATE_PURCHASE")&gt;0,"SEPARATE_PURCHASE",IF(COUNTIFS('51_版本配置事实'!$B$6:$B$127,"PC-N90-MAX-CAND",'51_版本配置事实'!$C$6:$C$127,$A79,'51_版本配置事实'!$I$6:$I$127,"EQUIPPED_STANDARD_UNCONFIRMED")&gt;0,"EQUIPPED_STANDARD_UNCONFIRMED",IF(COUNTIFS('51_版本配置事实'!$B$6:$B$127,"PC-N90-MAX-CAND",'51_版本配置事实'!$C$6:$C$127,$A79,'51_版本配置事实'!$I$6:$I$127,"SERIES_CAPABILITY")&gt;0,"SERIES_CAPABILITY",IF(COUNTIFS('51_版本配置事实'!$B$6:$B$127,"PC-N90-MAX-CAND",'51_版本配置事实'!$C$6:$C$127,$A79,'51_版本配置事实'!$I$6:$I$127,"NOT_DISCLOSED")&gt;0,"NOT_DISCLOSED","NOT_DISCLOSED")))))))</x:f>
        <x:v>EQUIPPED_STANDARD_UNCONFIRMED</x:v>
      </x:c>
      <x:c r="H79" s="369" t="str">
        <x:f>IF(COUNTIFS('51_版本配置事实'!$B$6:$B$127,"PC-N90-MAX-CAND",'51_版本配置事实'!$C$6:$C$127,$A79,'51_版本配置事实'!$J$6:$J$127,"STANDARD_CURRENT")&gt;0,"STANDARD_CURRENT","NOT_EVIDENCED")</x:f>
        <x:v>NOT_EVIDENCED</x:v>
      </x:c>
      <x:c r="I79" s="369" t="str">
        <x:f>IF(COUNTIFS('51_版本配置事实'!$B$6:$B$127,"PC-N90-ROOF-CAND",'51_版本配置事实'!$C$6:$C$127,$A79,'51_版本配置事实'!$T$6:$T$127,"&lt;&gt;NONE")&gt;0,"CONFLICTED",IF(COUNTIFS('51_版本配置事实'!$B$6:$B$127,"PC-N90-ROOF-CAND",'51_版本配置事实'!$C$6:$C$127,$A79,'51_版本配置事实'!$I$6:$I$127,"STANDARD_AT_RELEASE")&gt;0,"STANDARD_AT_RELEASE",IF(COUNTIFS('51_版本配置事实'!$B$6:$B$127,"PC-N90-ROOF-CAND",'51_版本配置事实'!$C$6:$C$127,$A79,'51_版本配置事实'!$I$6:$I$127,"OPTIONAL_AT_RELEASE")&gt;0,"OPTIONAL_AT_RELEASE",IF(COUNTIFS('51_版本配置事实'!$B$6:$B$127,"PC-N90-ROOF-CAND",'51_版本配置事实'!$C$6:$C$127,$A79,'51_版本配置事实'!$I$6:$I$127,"SEPARATE_PURCHASE")&gt;0,"SEPARATE_PURCHASE",IF(COUNTIFS('51_版本配置事实'!$B$6:$B$127,"PC-N90-ROOF-CAND",'51_版本配置事实'!$C$6:$C$127,$A79,'51_版本配置事实'!$I$6:$I$127,"EQUIPPED_STANDARD_UNCONFIRMED")&gt;0,"EQUIPPED_STANDARD_UNCONFIRMED",IF(COUNTIFS('51_版本配置事实'!$B$6:$B$127,"PC-N90-ROOF-CAND",'51_版本配置事实'!$C$6:$C$127,$A79,'51_版本配置事实'!$I$6:$I$127,"SERIES_CAPABILITY")&gt;0,"SERIES_CAPABILITY",IF(COUNTIFS('51_版本配置事实'!$B$6:$B$127,"PC-N90-ROOF-CAND",'51_版本配置事实'!$C$6:$C$127,$A79,'51_版本配置事实'!$I$6:$I$127,"NOT_DISCLOSED")&gt;0,"NOT_DISCLOSED","NOT_DISCLOSED")))))))</x:f>
        <x:v>NOT_DISCLOSED</x:v>
      </x:c>
      <x:c r="J79" s="369" t="str">
        <x:f>IF(COUNTIFS('51_版本配置事实'!$B$6:$B$127,"PC-N90-ROOF-CAND",'51_版本配置事实'!$C$6:$C$127,$A79,'51_版本配置事实'!$J$6:$J$127,"STANDARD_CURRENT")&gt;0,"STANDARD_CURRENT","NOT_EVIDENCED")</x:f>
        <x:v>NOT_EVIDENCED</x:v>
      </x:c>
      <x:c r="K79" s="369" t="str">
        <x:f>IF(AND(E79=G79,E79&lt;&gt;"NOT_DISCLOSED",E79&lt;&gt;"CONFLICTED"),IF(COUNTIFS('50_发布会逐项主张'!$H$6:$H$137,$A79,'50_发布会逐项主张'!$O$6:$O$137,"ALL_PENGCHENG")&gt;0,"EXPLICIT_COMMON_ANNOUNCED_MAX","MATCHED_NOT_PROVED_COMMON"),"NOT_PROVED_COMMON")</x:f>
        <x:v>NOT_PROVED_COMMON</x:v>
      </x:c>
      <x:c r="L79" s="369" t="str">
        <x:f>IF(OR(C79="NOT_DISCLOSED",E79="NOT_DISCLOSED",C79="CONFLICTED",E79="CONFLICTED"),"UNRESOLVED",IF(C79=E79,"NO_CHANGE",IF(AND(C79="STANDARD_AT_RELEASE",E79="OPTIONAL_AT_RELEASE"),"STANDARD_TO_OPTIONAL",IF(AND(C79="OPTIONAL_AT_RELEASE",E79="STANDARD_AT_RELEASE"),"OPTIONAL_TO_STANDARD",IF(E79="STANDARD_AT_RELEASE","ADDED_STANDARD","REVIEW_CHANGE")))))</x:f>
        <x:v>UNRESOLVED</x:v>
      </x:c>
      <x:c r="M79" s="369" t="str">
        <x:f>IF(OR(E79="NOT_DISCLOSED",G79="NOT_DISCLOSED",E79="CONFLICTED",G79="CONFLICTED"),"UNRESOLVED",IF(E79=G79,"NO_CHANGE",IF(AND(E79="STANDARD_AT_RELEASE",G79="OPTIONAL_AT_RELEASE"),"STANDARD_TO_OPTIONAL",IF(AND(E79="OPTIONAL_AT_RELEASE",G79="STANDARD_AT_RELEASE"),"OPTIONAL_TO_STANDARD",IF(G79="STANDARD_AT_RELEASE","ADDED_STANDARD","REVIEW_CHANGE")))))</x:f>
        <x:v>UNRESOLVED</x:v>
      </x:c>
      <x:c r="N79" s="369" t="str">
        <x:f>IF(OR(G79="NOT_DISCLOSED",I79="NOT_DISCLOSED",G79="CONFLICTED",I79="CONFLICTED"),"UNRESOLVED",IF(G79=I79,"NO_CHANGE",IF(AND(G79="STANDARD_AT_RELEASE",I79="OPTIONAL_AT_RELEASE"),"STANDARD_TO_OPTIONAL",IF(AND(G79="OPTIONAL_AT_RELEASE",I79="STANDARD_AT_RELEASE"),"OPTIONAL_TO_STANDARD",IF(I79="STANDARD_AT_RELEASE","ADDED_STANDARD","REVIEW_CHANGE")))))</x:f>
        <x:v>UNRESOLVED</x:v>
      </x:c>
      <x:c r="O79" s="369" t="str">
        <x:v>CHASSIS_HARDWARE</x:v>
      </x:c>
      <x:c r="P79" s="369" t="str">
        <x:v>DC_CHASSIS_SUSPENSION</x:v>
      </x:c>
      <x:c r="Q79" s="369" t="n">
        <x:f>COUNTIF('50_发布会逐项主张'!$H$6:$H$137,A79)</x:f>
        <x:v>2</x:v>
      </x:c>
      <x:c r="R79" s="369" t="str">
        <x:f>IF(COUNTIFS('50_发布会逐项主张'!$H$6:$H$137,A79,'50_发布会逐项主张'!$X$6:$X$137,"&lt;&gt;NONE")&gt;0,"CONFLICTED","NONE")</x:f>
        <x:v>NONE</x:v>
      </x:c>
    </x:row>
    <x:row r="80" ht="48" customHeight="1">
      <x:c r="A80" s="19" t="str">
        <x:v>tail_tent</x:v>
      </x:c>
      <x:c r="B80" s="19" t="str">
        <x:v>ACCESSORY</x:v>
      </x:c>
      <x:c r="C80" s="19" t="str">
        <x:f>IF(COUNTIFS('51_版本配置事实'!$B$6:$B$127,"PC-N70-BASE-CAND",'51_版本配置事实'!$C$6:$C$127,$A80,'51_版本配置事实'!$T$6:$T$127,"&lt;&gt;NONE")&gt;0,"CONFLICTED",IF(COUNTIFS('51_版本配置事实'!$B$6:$B$127,"PC-N70-BASE-CAND",'51_版本配置事实'!$C$6:$C$127,$A80,'51_版本配置事实'!$I$6:$I$127,"STANDARD_AT_RELEASE")&gt;0,"STANDARD_AT_RELEASE",IF(COUNTIFS('51_版本配置事实'!$B$6:$B$127,"PC-N70-BASE-CAND",'51_版本配置事实'!$C$6:$C$127,$A80,'51_版本配置事实'!$I$6:$I$127,"OPTIONAL_AT_RELEASE")&gt;0,"OPTIONAL_AT_RELEASE",IF(COUNTIFS('51_版本配置事实'!$B$6:$B$127,"PC-N70-BASE-CAND",'51_版本配置事实'!$C$6:$C$127,$A80,'51_版本配置事实'!$I$6:$I$127,"SEPARATE_PURCHASE")&gt;0,"SEPARATE_PURCHASE",IF(COUNTIFS('51_版本配置事实'!$B$6:$B$127,"PC-N70-BASE-CAND",'51_版本配置事实'!$C$6:$C$127,$A80,'51_版本配置事实'!$I$6:$I$127,"EQUIPPED_STANDARD_UNCONFIRMED")&gt;0,"EQUIPPED_STANDARD_UNCONFIRMED",IF(COUNTIFS('51_版本配置事实'!$B$6:$B$127,"PC-N70-BASE-CAND",'51_版本配置事实'!$C$6:$C$127,$A80,'51_版本配置事实'!$I$6:$I$127,"SERIES_CAPABILITY")&gt;0,"SERIES_CAPABILITY",IF(COUNTIFS('51_版本配置事实'!$B$6:$B$127,"PC-N70-BASE-CAND",'51_版本配置事实'!$C$6:$C$127,$A80,'51_版本配置事实'!$I$6:$I$127,"NOT_DISCLOSED")&gt;0,"NOT_DISCLOSED","NOT_DISCLOSED")))))))</x:f>
        <x:v>NOT_DISCLOSED</x:v>
      </x:c>
      <x:c r="D80" s="19" t="str">
        <x:f>IF(COUNTIFS('51_版本配置事实'!$B$6:$B$127,"PC-N70-BASE-CAND",'51_版本配置事实'!$C$6:$C$127,$A80,'51_版本配置事实'!$J$6:$J$127,"STANDARD_CURRENT")&gt;0,"STANDARD_CURRENT","NOT_EVIDENCED")</x:f>
        <x:v>NOT_EVIDENCED</x:v>
      </x:c>
      <x:c r="E80" s="19" t="str">
        <x:f>IF(COUNTIFS('51_版本配置事实'!$B$6:$B$127,"PC-N70-MAX-CAND",'51_版本配置事实'!$C$6:$C$127,$A80,'51_版本配置事实'!$T$6:$T$127,"&lt;&gt;NONE")&gt;0,"CONFLICTED",IF(COUNTIFS('51_版本配置事实'!$B$6:$B$127,"PC-N70-MAX-CAND",'51_版本配置事实'!$C$6:$C$127,$A80,'51_版本配置事实'!$I$6:$I$127,"STANDARD_AT_RELEASE")&gt;0,"STANDARD_AT_RELEASE",IF(COUNTIFS('51_版本配置事实'!$B$6:$B$127,"PC-N70-MAX-CAND",'51_版本配置事实'!$C$6:$C$127,$A80,'51_版本配置事实'!$I$6:$I$127,"OPTIONAL_AT_RELEASE")&gt;0,"OPTIONAL_AT_RELEASE",IF(COUNTIFS('51_版本配置事实'!$B$6:$B$127,"PC-N70-MAX-CAND",'51_版本配置事实'!$C$6:$C$127,$A80,'51_版本配置事实'!$I$6:$I$127,"SEPARATE_PURCHASE")&gt;0,"SEPARATE_PURCHASE",IF(COUNTIFS('51_版本配置事实'!$B$6:$B$127,"PC-N70-MAX-CAND",'51_版本配置事实'!$C$6:$C$127,$A80,'51_版本配置事实'!$I$6:$I$127,"EQUIPPED_STANDARD_UNCONFIRMED")&gt;0,"EQUIPPED_STANDARD_UNCONFIRMED",IF(COUNTIFS('51_版本配置事实'!$B$6:$B$127,"PC-N70-MAX-CAND",'51_版本配置事实'!$C$6:$C$127,$A80,'51_版本配置事实'!$I$6:$I$127,"SERIES_CAPABILITY")&gt;0,"SERIES_CAPABILITY",IF(COUNTIFS('51_版本配置事实'!$B$6:$B$127,"PC-N70-MAX-CAND",'51_版本配置事实'!$C$6:$C$127,$A80,'51_版本配置事实'!$I$6:$I$127,"NOT_DISCLOSED")&gt;0,"NOT_DISCLOSED","NOT_DISCLOSED")))))))</x:f>
        <x:v>NOT_DISCLOSED</x:v>
      </x:c>
      <x:c r="F80" s="19" t="str">
        <x:f>IF(COUNTIFS('51_版本配置事实'!$B$6:$B$127,"PC-N70-MAX-CAND",'51_版本配置事实'!$C$6:$C$127,$A80,'51_版本配置事实'!$J$6:$J$127,"STANDARD_CURRENT")&gt;0,"STANDARD_CURRENT","NOT_EVIDENCED")</x:f>
        <x:v>NOT_EVIDENCED</x:v>
      </x:c>
      <x:c r="G80" s="19" t="str">
        <x:f>IF(COUNTIFS('51_版本配置事实'!$B$6:$B$127,"PC-N90-MAX-CAND",'51_版本配置事实'!$C$6:$C$127,$A80,'51_版本配置事实'!$T$6:$T$127,"&lt;&gt;NONE")&gt;0,"CONFLICTED",IF(COUNTIFS('51_版本配置事实'!$B$6:$B$127,"PC-N90-MAX-CAND",'51_版本配置事实'!$C$6:$C$127,$A80,'51_版本配置事实'!$I$6:$I$127,"STANDARD_AT_RELEASE")&gt;0,"STANDARD_AT_RELEASE",IF(COUNTIFS('51_版本配置事实'!$B$6:$B$127,"PC-N90-MAX-CAND",'51_版本配置事实'!$C$6:$C$127,$A80,'51_版本配置事实'!$I$6:$I$127,"OPTIONAL_AT_RELEASE")&gt;0,"OPTIONAL_AT_RELEASE",IF(COUNTIFS('51_版本配置事实'!$B$6:$B$127,"PC-N90-MAX-CAND",'51_版本配置事实'!$C$6:$C$127,$A80,'51_版本配置事实'!$I$6:$I$127,"SEPARATE_PURCHASE")&gt;0,"SEPARATE_PURCHASE",IF(COUNTIFS('51_版本配置事实'!$B$6:$B$127,"PC-N90-MAX-CAND",'51_版本配置事实'!$C$6:$C$127,$A80,'51_版本配置事实'!$I$6:$I$127,"EQUIPPED_STANDARD_UNCONFIRMED")&gt;0,"EQUIPPED_STANDARD_UNCONFIRMED",IF(COUNTIFS('51_版本配置事实'!$B$6:$B$127,"PC-N90-MAX-CAND",'51_版本配置事实'!$C$6:$C$127,$A80,'51_版本配置事实'!$I$6:$I$127,"SERIES_CAPABILITY")&gt;0,"SERIES_CAPABILITY",IF(COUNTIFS('51_版本配置事实'!$B$6:$B$127,"PC-N90-MAX-CAND",'51_版本配置事实'!$C$6:$C$127,$A80,'51_版本配置事实'!$I$6:$I$127,"NOT_DISCLOSED")&gt;0,"NOT_DISCLOSED","NOT_DISCLOSED")))))))</x:f>
        <x:v>SEPARATE_PURCHASE</x:v>
      </x:c>
      <x:c r="H80" s="19" t="str">
        <x:f>IF(COUNTIFS('51_版本配置事实'!$B$6:$B$127,"PC-N90-MAX-CAND",'51_版本配置事实'!$C$6:$C$127,$A80,'51_版本配置事实'!$J$6:$J$127,"STANDARD_CURRENT")&gt;0,"STANDARD_CURRENT","NOT_EVIDENCED")</x:f>
        <x:v>NOT_EVIDENCED</x:v>
      </x:c>
      <x:c r="I80" s="19" t="str">
        <x:f>IF(COUNTIFS('51_版本配置事实'!$B$6:$B$127,"PC-N90-ROOF-CAND",'51_版本配置事实'!$C$6:$C$127,$A80,'51_版本配置事实'!$T$6:$T$127,"&lt;&gt;NONE")&gt;0,"CONFLICTED",IF(COUNTIFS('51_版本配置事实'!$B$6:$B$127,"PC-N90-ROOF-CAND",'51_版本配置事实'!$C$6:$C$127,$A80,'51_版本配置事实'!$I$6:$I$127,"STANDARD_AT_RELEASE")&gt;0,"STANDARD_AT_RELEASE",IF(COUNTIFS('51_版本配置事实'!$B$6:$B$127,"PC-N90-ROOF-CAND",'51_版本配置事实'!$C$6:$C$127,$A80,'51_版本配置事实'!$I$6:$I$127,"OPTIONAL_AT_RELEASE")&gt;0,"OPTIONAL_AT_RELEASE",IF(COUNTIFS('51_版本配置事实'!$B$6:$B$127,"PC-N90-ROOF-CAND",'51_版本配置事实'!$C$6:$C$127,$A80,'51_版本配置事实'!$I$6:$I$127,"SEPARATE_PURCHASE")&gt;0,"SEPARATE_PURCHASE",IF(COUNTIFS('51_版本配置事实'!$B$6:$B$127,"PC-N90-ROOF-CAND",'51_版本配置事实'!$C$6:$C$127,$A80,'51_版本配置事实'!$I$6:$I$127,"EQUIPPED_STANDARD_UNCONFIRMED")&gt;0,"EQUIPPED_STANDARD_UNCONFIRMED",IF(COUNTIFS('51_版本配置事实'!$B$6:$B$127,"PC-N90-ROOF-CAND",'51_版本配置事实'!$C$6:$C$127,$A80,'51_版本配置事实'!$I$6:$I$127,"SERIES_CAPABILITY")&gt;0,"SERIES_CAPABILITY",IF(COUNTIFS('51_版本配置事实'!$B$6:$B$127,"PC-N90-ROOF-CAND",'51_版本配置事实'!$C$6:$C$127,$A80,'51_版本配置事实'!$I$6:$I$127,"NOT_DISCLOSED")&gt;0,"NOT_DISCLOSED","NOT_DISCLOSED")))))))</x:f>
        <x:v>NOT_DISCLOSED</x:v>
      </x:c>
      <x:c r="J80" s="19" t="str">
        <x:f>IF(COUNTIFS('51_版本配置事实'!$B$6:$B$127,"PC-N90-ROOF-CAND",'51_版本配置事实'!$C$6:$C$127,$A80,'51_版本配置事实'!$J$6:$J$127,"STANDARD_CURRENT")&gt;0,"STANDARD_CURRENT","NOT_EVIDENCED")</x:f>
        <x:v>NOT_EVIDENCED</x:v>
      </x:c>
      <x:c r="K80" s="19" t="str">
        <x:f>IF(AND(E80=G80,E80&lt;&gt;"NOT_DISCLOSED",E80&lt;&gt;"CONFLICTED"),IF(COUNTIFS('50_发布会逐项主张'!$H$6:$H$137,$A80,'50_发布会逐项主张'!$O$6:$O$137,"ALL_PENGCHENG")&gt;0,"EXPLICIT_COMMON_ANNOUNCED_MAX","MATCHED_NOT_PROVED_COMMON"),"NOT_PROVED_COMMON")</x:f>
        <x:v>NOT_PROVED_COMMON</x:v>
      </x:c>
      <x:c r="L80" s="19" t="str">
        <x:f>IF(OR(C80="NOT_DISCLOSED",E80="NOT_DISCLOSED",C80="CONFLICTED",E80="CONFLICTED"),"UNRESOLVED",IF(C80=E80,"NO_CHANGE",IF(AND(C80="STANDARD_AT_RELEASE",E80="OPTIONAL_AT_RELEASE"),"STANDARD_TO_OPTIONAL",IF(AND(C80="OPTIONAL_AT_RELEASE",E80="STANDARD_AT_RELEASE"),"OPTIONAL_TO_STANDARD",IF(E80="STANDARD_AT_RELEASE","ADDED_STANDARD","REVIEW_CHANGE")))))</x:f>
        <x:v>UNRESOLVED</x:v>
      </x:c>
      <x:c r="M80" s="19" t="str">
        <x:f>IF(OR(E80="NOT_DISCLOSED",G80="NOT_DISCLOSED",E80="CONFLICTED",G80="CONFLICTED"),"UNRESOLVED",IF(E80=G80,"NO_CHANGE",IF(AND(E80="STANDARD_AT_RELEASE",G80="OPTIONAL_AT_RELEASE"),"STANDARD_TO_OPTIONAL",IF(AND(E80="OPTIONAL_AT_RELEASE",G80="STANDARD_AT_RELEASE"),"OPTIONAL_TO_STANDARD",IF(G80="STANDARD_AT_RELEASE","ADDED_STANDARD","REVIEW_CHANGE")))))</x:f>
        <x:v>UNRESOLVED</x:v>
      </x:c>
      <x:c r="N80" s="19" t="str">
        <x:f>IF(OR(G80="NOT_DISCLOSED",I80="NOT_DISCLOSED",G80="CONFLICTED",I80="CONFLICTED"),"UNRESOLVED",IF(G80=I80,"NO_CHANGE",IF(AND(G80="STANDARD_AT_RELEASE",I80="OPTIONAL_AT_RELEASE"),"STANDARD_TO_OPTIONAL",IF(AND(G80="OPTIONAL_AT_RELEASE",I80="STANDARD_AT_RELEASE"),"OPTIONAL_TO_STANDARD",IF(I80="STANDARD_AT_RELEASE","ADDED_STANDARD","REVIEW_CHANGE")))))</x:f>
        <x:v>UNRESOLVED</x:v>
      </x:c>
      <x:c r="O80" s="19" t="str">
        <x:v>OPTIONS_ACCESSORIES</x:v>
      </x:c>
      <x:c r="P80" s="19" t="str">
        <x:v>DC_ACCESSORY_tail_tent</x:v>
      </x:c>
      <x:c r="Q80" s="19" t="n">
        <x:f>COUNTIF('50_发布会逐项主张'!$H$6:$H$137,A80)</x:f>
        <x:v>1</x:v>
      </x:c>
      <x:c r="R80" s="19" t="str">
        <x:f>IF(COUNTIFS('50_发布会逐项主张'!$H$6:$H$137,A80,'50_发布会逐项主张'!$X$6:$X$137,"&lt;&gt;NONE")&gt;0,"CONFLICTED","NONE")</x:f>
        <x:v>NONE</x:v>
      </x:c>
    </x:row>
    <x:row r="81" ht="48" customHeight="1">
      <x:c r="A81" s="369" t="str">
        <x:v>tailgate_opening_width</x:v>
      </x:c>
      <x:c r="B81" s="369" t="str">
        <x:v>BODY_SPACE</x:v>
      </x:c>
      <x:c r="C81" s="369" t="str">
        <x:f>IF(COUNTIFS('51_版本配置事实'!$B$6:$B$127,"PC-N70-BASE-CAND",'51_版本配置事实'!$C$6:$C$127,$A81,'51_版本配置事实'!$T$6:$T$127,"&lt;&gt;NONE")&gt;0,"CONFLICTED",IF(COUNTIFS('51_版本配置事实'!$B$6:$B$127,"PC-N70-BASE-CAND",'51_版本配置事实'!$C$6:$C$127,$A81,'51_版本配置事实'!$I$6:$I$127,"STANDARD_AT_RELEASE")&gt;0,"STANDARD_AT_RELEASE",IF(COUNTIFS('51_版本配置事实'!$B$6:$B$127,"PC-N70-BASE-CAND",'51_版本配置事实'!$C$6:$C$127,$A81,'51_版本配置事实'!$I$6:$I$127,"OPTIONAL_AT_RELEASE")&gt;0,"OPTIONAL_AT_RELEASE",IF(COUNTIFS('51_版本配置事实'!$B$6:$B$127,"PC-N70-BASE-CAND",'51_版本配置事实'!$C$6:$C$127,$A81,'51_版本配置事实'!$I$6:$I$127,"SEPARATE_PURCHASE")&gt;0,"SEPARATE_PURCHASE",IF(COUNTIFS('51_版本配置事实'!$B$6:$B$127,"PC-N70-BASE-CAND",'51_版本配置事实'!$C$6:$C$127,$A81,'51_版本配置事实'!$I$6:$I$127,"EQUIPPED_STANDARD_UNCONFIRMED")&gt;0,"EQUIPPED_STANDARD_UNCONFIRMED",IF(COUNTIFS('51_版本配置事实'!$B$6:$B$127,"PC-N70-BASE-CAND",'51_版本配置事实'!$C$6:$C$127,$A81,'51_版本配置事实'!$I$6:$I$127,"SERIES_CAPABILITY")&gt;0,"SERIES_CAPABILITY",IF(COUNTIFS('51_版本配置事实'!$B$6:$B$127,"PC-N70-BASE-CAND",'51_版本配置事实'!$C$6:$C$127,$A81,'51_版本配置事实'!$I$6:$I$127,"NOT_DISCLOSED")&gt;0,"NOT_DISCLOSED","NOT_DISCLOSED")))))))</x:f>
        <x:v>NOT_DISCLOSED</x:v>
      </x:c>
      <x:c r="D81" s="369" t="str">
        <x:f>IF(COUNTIFS('51_版本配置事实'!$B$6:$B$127,"PC-N70-BASE-CAND",'51_版本配置事实'!$C$6:$C$127,$A81,'51_版本配置事实'!$J$6:$J$127,"STANDARD_CURRENT")&gt;0,"STANDARD_CURRENT","NOT_EVIDENCED")</x:f>
        <x:v>NOT_EVIDENCED</x:v>
      </x:c>
      <x:c r="E81" s="369" t="str">
        <x:f>IF(COUNTIFS('51_版本配置事实'!$B$6:$B$127,"PC-N70-MAX-CAND",'51_版本配置事实'!$C$6:$C$127,$A81,'51_版本配置事实'!$T$6:$T$127,"&lt;&gt;NONE")&gt;0,"CONFLICTED",IF(COUNTIFS('51_版本配置事实'!$B$6:$B$127,"PC-N70-MAX-CAND",'51_版本配置事实'!$C$6:$C$127,$A81,'51_版本配置事实'!$I$6:$I$127,"STANDARD_AT_RELEASE")&gt;0,"STANDARD_AT_RELEASE",IF(COUNTIFS('51_版本配置事实'!$B$6:$B$127,"PC-N70-MAX-CAND",'51_版本配置事实'!$C$6:$C$127,$A81,'51_版本配置事实'!$I$6:$I$127,"OPTIONAL_AT_RELEASE")&gt;0,"OPTIONAL_AT_RELEASE",IF(COUNTIFS('51_版本配置事实'!$B$6:$B$127,"PC-N70-MAX-CAND",'51_版本配置事实'!$C$6:$C$127,$A81,'51_版本配置事实'!$I$6:$I$127,"SEPARATE_PURCHASE")&gt;0,"SEPARATE_PURCHASE",IF(COUNTIFS('51_版本配置事实'!$B$6:$B$127,"PC-N70-MAX-CAND",'51_版本配置事实'!$C$6:$C$127,$A81,'51_版本配置事实'!$I$6:$I$127,"EQUIPPED_STANDARD_UNCONFIRMED")&gt;0,"EQUIPPED_STANDARD_UNCONFIRMED",IF(COUNTIFS('51_版本配置事实'!$B$6:$B$127,"PC-N70-MAX-CAND",'51_版本配置事实'!$C$6:$C$127,$A81,'51_版本配置事实'!$I$6:$I$127,"SERIES_CAPABILITY")&gt;0,"SERIES_CAPABILITY",IF(COUNTIFS('51_版本配置事实'!$B$6:$B$127,"PC-N70-MAX-CAND",'51_版本配置事实'!$C$6:$C$127,$A81,'51_版本配置事实'!$I$6:$I$127,"NOT_DISCLOSED")&gt;0,"NOT_DISCLOSED","NOT_DISCLOSED")))))))</x:f>
        <x:v>NOT_DISCLOSED</x:v>
      </x:c>
      <x:c r="F81" s="369" t="str">
        <x:f>IF(COUNTIFS('51_版本配置事实'!$B$6:$B$127,"PC-N70-MAX-CAND",'51_版本配置事实'!$C$6:$C$127,$A81,'51_版本配置事实'!$J$6:$J$127,"STANDARD_CURRENT")&gt;0,"STANDARD_CURRENT","NOT_EVIDENCED")</x:f>
        <x:v>NOT_EVIDENCED</x:v>
      </x:c>
      <x:c r="G81" s="369" t="str">
        <x:f>IF(COUNTIFS('51_版本配置事实'!$B$6:$B$127,"PC-N90-MAX-CAND",'51_版本配置事实'!$C$6:$C$127,$A81,'51_版本配置事实'!$T$6:$T$127,"&lt;&gt;NONE")&gt;0,"CONFLICTED",IF(COUNTIFS('51_版本配置事实'!$B$6:$B$127,"PC-N90-MAX-CAND",'51_版本配置事实'!$C$6:$C$127,$A81,'51_版本配置事实'!$I$6:$I$127,"STANDARD_AT_RELEASE")&gt;0,"STANDARD_AT_RELEASE",IF(COUNTIFS('51_版本配置事实'!$B$6:$B$127,"PC-N90-MAX-CAND",'51_版本配置事实'!$C$6:$C$127,$A81,'51_版本配置事实'!$I$6:$I$127,"OPTIONAL_AT_RELEASE")&gt;0,"OPTIONAL_AT_RELEASE",IF(COUNTIFS('51_版本配置事实'!$B$6:$B$127,"PC-N90-MAX-CAND",'51_版本配置事实'!$C$6:$C$127,$A81,'51_版本配置事实'!$I$6:$I$127,"SEPARATE_PURCHASE")&gt;0,"SEPARATE_PURCHASE",IF(COUNTIFS('51_版本配置事实'!$B$6:$B$127,"PC-N90-MAX-CAND",'51_版本配置事实'!$C$6:$C$127,$A81,'51_版本配置事实'!$I$6:$I$127,"EQUIPPED_STANDARD_UNCONFIRMED")&gt;0,"EQUIPPED_STANDARD_UNCONFIRMED",IF(COUNTIFS('51_版本配置事实'!$B$6:$B$127,"PC-N90-MAX-CAND",'51_版本配置事实'!$C$6:$C$127,$A81,'51_版本配置事实'!$I$6:$I$127,"SERIES_CAPABILITY")&gt;0,"SERIES_CAPABILITY",IF(COUNTIFS('51_版本配置事实'!$B$6:$B$127,"PC-N90-MAX-CAND",'51_版本配置事实'!$C$6:$C$127,$A81,'51_版本配置事实'!$I$6:$I$127,"NOT_DISCLOSED")&gt;0,"NOT_DISCLOSED","NOT_DISCLOSED")))))))</x:f>
        <x:v>EQUIPPED_STANDARD_UNCONFIRMED</x:v>
      </x:c>
      <x:c r="H81" s="369" t="str">
        <x:f>IF(COUNTIFS('51_版本配置事实'!$B$6:$B$127,"PC-N90-MAX-CAND",'51_版本配置事实'!$C$6:$C$127,$A81,'51_版本配置事实'!$J$6:$J$127,"STANDARD_CURRENT")&gt;0,"STANDARD_CURRENT","NOT_EVIDENCED")</x:f>
        <x:v>NOT_EVIDENCED</x:v>
      </x:c>
      <x:c r="I81" s="369" t="str">
        <x:f>IF(COUNTIFS('51_版本配置事实'!$B$6:$B$127,"PC-N90-ROOF-CAND",'51_版本配置事实'!$C$6:$C$127,$A81,'51_版本配置事实'!$T$6:$T$127,"&lt;&gt;NONE")&gt;0,"CONFLICTED",IF(COUNTIFS('51_版本配置事实'!$B$6:$B$127,"PC-N90-ROOF-CAND",'51_版本配置事实'!$C$6:$C$127,$A81,'51_版本配置事实'!$I$6:$I$127,"STANDARD_AT_RELEASE")&gt;0,"STANDARD_AT_RELEASE",IF(COUNTIFS('51_版本配置事实'!$B$6:$B$127,"PC-N90-ROOF-CAND",'51_版本配置事实'!$C$6:$C$127,$A81,'51_版本配置事实'!$I$6:$I$127,"OPTIONAL_AT_RELEASE")&gt;0,"OPTIONAL_AT_RELEASE",IF(COUNTIFS('51_版本配置事实'!$B$6:$B$127,"PC-N90-ROOF-CAND",'51_版本配置事实'!$C$6:$C$127,$A81,'51_版本配置事实'!$I$6:$I$127,"SEPARATE_PURCHASE")&gt;0,"SEPARATE_PURCHASE",IF(COUNTIFS('51_版本配置事实'!$B$6:$B$127,"PC-N90-ROOF-CAND",'51_版本配置事实'!$C$6:$C$127,$A81,'51_版本配置事实'!$I$6:$I$127,"EQUIPPED_STANDARD_UNCONFIRMED")&gt;0,"EQUIPPED_STANDARD_UNCONFIRMED",IF(COUNTIFS('51_版本配置事实'!$B$6:$B$127,"PC-N90-ROOF-CAND",'51_版本配置事实'!$C$6:$C$127,$A81,'51_版本配置事实'!$I$6:$I$127,"SERIES_CAPABILITY")&gt;0,"SERIES_CAPABILITY",IF(COUNTIFS('51_版本配置事实'!$B$6:$B$127,"PC-N90-ROOF-CAND",'51_版本配置事实'!$C$6:$C$127,$A81,'51_版本配置事实'!$I$6:$I$127,"NOT_DISCLOSED")&gt;0,"NOT_DISCLOSED","NOT_DISCLOSED")))))))</x:f>
        <x:v>NOT_DISCLOSED</x:v>
      </x:c>
      <x:c r="J81" s="369" t="str">
        <x:f>IF(COUNTIFS('51_版本配置事实'!$B$6:$B$127,"PC-N90-ROOF-CAND",'51_版本配置事实'!$C$6:$C$127,$A81,'51_版本配置事实'!$J$6:$J$127,"STANDARD_CURRENT")&gt;0,"STANDARD_CURRENT","NOT_EVIDENCED")</x:f>
        <x:v>NOT_EVIDENCED</x:v>
      </x:c>
      <x:c r="K81" s="369" t="str">
        <x:f>IF(AND(E81=G81,E81&lt;&gt;"NOT_DISCLOSED",E81&lt;&gt;"CONFLICTED"),IF(COUNTIFS('50_发布会逐项主张'!$H$6:$H$137,$A81,'50_发布会逐项主张'!$O$6:$O$137,"ALL_PENGCHENG")&gt;0,"EXPLICIT_COMMON_ANNOUNCED_MAX","MATCHED_NOT_PROVED_COMMON"),"NOT_PROVED_COMMON")</x:f>
        <x:v>NOT_PROVED_COMMON</x:v>
      </x:c>
      <x:c r="L81" s="369" t="str">
        <x:f>IF(OR(C81="NOT_DISCLOSED",E81="NOT_DISCLOSED",C81="CONFLICTED",E81="CONFLICTED"),"UNRESOLVED",IF(C81=E81,"NO_CHANGE",IF(AND(C81="STANDARD_AT_RELEASE",E81="OPTIONAL_AT_RELEASE"),"STANDARD_TO_OPTIONAL",IF(AND(C81="OPTIONAL_AT_RELEASE",E81="STANDARD_AT_RELEASE"),"OPTIONAL_TO_STANDARD",IF(E81="STANDARD_AT_RELEASE","ADDED_STANDARD","REVIEW_CHANGE")))))</x:f>
        <x:v>UNRESOLVED</x:v>
      </x:c>
      <x:c r="M81" s="369" t="str">
        <x:f>IF(OR(E81="NOT_DISCLOSED",G81="NOT_DISCLOSED",E81="CONFLICTED",G81="CONFLICTED"),"UNRESOLVED",IF(E81=G81,"NO_CHANGE",IF(AND(E81="STANDARD_AT_RELEASE",G81="OPTIONAL_AT_RELEASE"),"STANDARD_TO_OPTIONAL",IF(AND(E81="OPTIONAL_AT_RELEASE",G81="STANDARD_AT_RELEASE"),"OPTIONAL_TO_STANDARD",IF(G81="STANDARD_AT_RELEASE","ADDED_STANDARD","REVIEW_CHANGE")))))</x:f>
        <x:v>UNRESOLVED</x:v>
      </x:c>
      <x:c r="N81" s="369" t="str">
        <x:f>IF(OR(G81="NOT_DISCLOSED",I81="NOT_DISCLOSED",G81="CONFLICTED",I81="CONFLICTED"),"UNRESOLVED",IF(G81=I81,"NO_CHANGE",IF(AND(G81="STANDARD_AT_RELEASE",I81="OPTIONAL_AT_RELEASE"),"STANDARD_TO_OPTIONAL",IF(AND(G81="OPTIONAL_AT_RELEASE",I81="STANDARD_AT_RELEASE"),"OPTIONAL_TO_STANDARD",IF(I81="STANDARD_AT_RELEASE","ADDED_STANDARD","REVIEW_CHANGE")))))</x:f>
        <x:v>UNRESOLVED</x:v>
      </x:c>
      <x:c r="O81" s="369" t="str">
        <x:v>BODY_SPACE_SAFETY</x:v>
      </x:c>
      <x:c r="P81" s="369" t="str">
        <x:v>DC_BODY_SPACE_tailgate_opening_width</x:v>
      </x:c>
      <x:c r="Q81" s="369" t="n">
        <x:f>COUNTIF('50_发布会逐项主张'!$H$6:$H$137,A81)</x:f>
        <x:v>1</x:v>
      </x:c>
      <x:c r="R81" s="369" t="str">
        <x:f>IF(COUNTIFS('50_发布会逐项主张'!$H$6:$H$137,A81,'50_发布会逐项主张'!$X$6:$X$137,"&lt;&gt;NONE")&gt;0,"CONFLICTED","NONE")</x:f>
        <x:v>NONE</x:v>
      </x:c>
    </x:row>
    <x:row r="82" ht="48" customHeight="1">
      <x:c r="A82" s="19" t="str">
        <x:v>tailgate_threshold</x:v>
      </x:c>
      <x:c r="B82" s="19" t="str">
        <x:v>BODY_SPACE</x:v>
      </x:c>
      <x:c r="C82" s="19" t="str">
        <x:f>IF(COUNTIFS('51_版本配置事实'!$B$6:$B$127,"PC-N70-BASE-CAND",'51_版本配置事实'!$C$6:$C$127,$A82,'51_版本配置事实'!$T$6:$T$127,"&lt;&gt;NONE")&gt;0,"CONFLICTED",IF(COUNTIFS('51_版本配置事实'!$B$6:$B$127,"PC-N70-BASE-CAND",'51_版本配置事实'!$C$6:$C$127,$A82,'51_版本配置事实'!$I$6:$I$127,"STANDARD_AT_RELEASE")&gt;0,"STANDARD_AT_RELEASE",IF(COUNTIFS('51_版本配置事实'!$B$6:$B$127,"PC-N70-BASE-CAND",'51_版本配置事实'!$C$6:$C$127,$A82,'51_版本配置事实'!$I$6:$I$127,"OPTIONAL_AT_RELEASE")&gt;0,"OPTIONAL_AT_RELEASE",IF(COUNTIFS('51_版本配置事实'!$B$6:$B$127,"PC-N70-BASE-CAND",'51_版本配置事实'!$C$6:$C$127,$A82,'51_版本配置事实'!$I$6:$I$127,"SEPARATE_PURCHASE")&gt;0,"SEPARATE_PURCHASE",IF(COUNTIFS('51_版本配置事实'!$B$6:$B$127,"PC-N70-BASE-CAND",'51_版本配置事实'!$C$6:$C$127,$A82,'51_版本配置事实'!$I$6:$I$127,"EQUIPPED_STANDARD_UNCONFIRMED")&gt;0,"EQUIPPED_STANDARD_UNCONFIRMED",IF(COUNTIFS('51_版本配置事实'!$B$6:$B$127,"PC-N70-BASE-CAND",'51_版本配置事实'!$C$6:$C$127,$A82,'51_版本配置事实'!$I$6:$I$127,"SERIES_CAPABILITY")&gt;0,"SERIES_CAPABILITY",IF(COUNTIFS('51_版本配置事实'!$B$6:$B$127,"PC-N70-BASE-CAND",'51_版本配置事实'!$C$6:$C$127,$A82,'51_版本配置事实'!$I$6:$I$127,"NOT_DISCLOSED")&gt;0,"NOT_DISCLOSED","NOT_DISCLOSED")))))))</x:f>
        <x:v>NOT_DISCLOSED</x:v>
      </x:c>
      <x:c r="D82" s="19" t="str">
        <x:f>IF(COUNTIFS('51_版本配置事实'!$B$6:$B$127,"PC-N70-BASE-CAND",'51_版本配置事实'!$C$6:$C$127,$A82,'51_版本配置事实'!$J$6:$J$127,"STANDARD_CURRENT")&gt;0,"STANDARD_CURRENT","NOT_EVIDENCED")</x:f>
        <x:v>NOT_EVIDENCED</x:v>
      </x:c>
      <x:c r="E82" s="19" t="str">
        <x:f>IF(COUNTIFS('51_版本配置事实'!$B$6:$B$127,"PC-N70-MAX-CAND",'51_版本配置事实'!$C$6:$C$127,$A82,'51_版本配置事实'!$T$6:$T$127,"&lt;&gt;NONE")&gt;0,"CONFLICTED",IF(COUNTIFS('51_版本配置事实'!$B$6:$B$127,"PC-N70-MAX-CAND",'51_版本配置事实'!$C$6:$C$127,$A82,'51_版本配置事实'!$I$6:$I$127,"STANDARD_AT_RELEASE")&gt;0,"STANDARD_AT_RELEASE",IF(COUNTIFS('51_版本配置事实'!$B$6:$B$127,"PC-N70-MAX-CAND",'51_版本配置事实'!$C$6:$C$127,$A82,'51_版本配置事实'!$I$6:$I$127,"OPTIONAL_AT_RELEASE")&gt;0,"OPTIONAL_AT_RELEASE",IF(COUNTIFS('51_版本配置事实'!$B$6:$B$127,"PC-N70-MAX-CAND",'51_版本配置事实'!$C$6:$C$127,$A82,'51_版本配置事实'!$I$6:$I$127,"SEPARATE_PURCHASE")&gt;0,"SEPARATE_PURCHASE",IF(COUNTIFS('51_版本配置事实'!$B$6:$B$127,"PC-N70-MAX-CAND",'51_版本配置事实'!$C$6:$C$127,$A82,'51_版本配置事实'!$I$6:$I$127,"EQUIPPED_STANDARD_UNCONFIRMED")&gt;0,"EQUIPPED_STANDARD_UNCONFIRMED",IF(COUNTIFS('51_版本配置事实'!$B$6:$B$127,"PC-N70-MAX-CAND",'51_版本配置事实'!$C$6:$C$127,$A82,'51_版本配置事实'!$I$6:$I$127,"SERIES_CAPABILITY")&gt;0,"SERIES_CAPABILITY",IF(COUNTIFS('51_版本配置事实'!$B$6:$B$127,"PC-N70-MAX-CAND",'51_版本配置事实'!$C$6:$C$127,$A82,'51_版本配置事实'!$I$6:$I$127,"NOT_DISCLOSED")&gt;0,"NOT_DISCLOSED","NOT_DISCLOSED")))))))</x:f>
        <x:v>NOT_DISCLOSED</x:v>
      </x:c>
      <x:c r="F82" s="19" t="str">
        <x:f>IF(COUNTIFS('51_版本配置事实'!$B$6:$B$127,"PC-N70-MAX-CAND",'51_版本配置事实'!$C$6:$C$127,$A82,'51_版本配置事实'!$J$6:$J$127,"STANDARD_CURRENT")&gt;0,"STANDARD_CURRENT","NOT_EVIDENCED")</x:f>
        <x:v>NOT_EVIDENCED</x:v>
      </x:c>
      <x:c r="G82" s="19" t="str">
        <x:f>IF(COUNTIFS('51_版本配置事实'!$B$6:$B$127,"PC-N90-MAX-CAND",'51_版本配置事实'!$C$6:$C$127,$A82,'51_版本配置事实'!$T$6:$T$127,"&lt;&gt;NONE")&gt;0,"CONFLICTED",IF(COUNTIFS('51_版本配置事实'!$B$6:$B$127,"PC-N90-MAX-CAND",'51_版本配置事实'!$C$6:$C$127,$A82,'51_版本配置事实'!$I$6:$I$127,"STANDARD_AT_RELEASE")&gt;0,"STANDARD_AT_RELEASE",IF(COUNTIFS('51_版本配置事实'!$B$6:$B$127,"PC-N90-MAX-CAND",'51_版本配置事实'!$C$6:$C$127,$A82,'51_版本配置事实'!$I$6:$I$127,"OPTIONAL_AT_RELEASE")&gt;0,"OPTIONAL_AT_RELEASE",IF(COUNTIFS('51_版本配置事实'!$B$6:$B$127,"PC-N90-MAX-CAND",'51_版本配置事实'!$C$6:$C$127,$A82,'51_版本配置事实'!$I$6:$I$127,"SEPARATE_PURCHASE")&gt;0,"SEPARATE_PURCHASE",IF(COUNTIFS('51_版本配置事实'!$B$6:$B$127,"PC-N90-MAX-CAND",'51_版本配置事实'!$C$6:$C$127,$A82,'51_版本配置事实'!$I$6:$I$127,"EQUIPPED_STANDARD_UNCONFIRMED")&gt;0,"EQUIPPED_STANDARD_UNCONFIRMED",IF(COUNTIFS('51_版本配置事实'!$B$6:$B$127,"PC-N90-MAX-CAND",'51_版本配置事实'!$C$6:$C$127,$A82,'51_版本配置事实'!$I$6:$I$127,"SERIES_CAPABILITY")&gt;0,"SERIES_CAPABILITY",IF(COUNTIFS('51_版本配置事实'!$B$6:$B$127,"PC-N90-MAX-CAND",'51_版本配置事实'!$C$6:$C$127,$A82,'51_版本配置事实'!$I$6:$I$127,"NOT_DISCLOSED")&gt;0,"NOT_DISCLOSED","NOT_DISCLOSED")))))))</x:f>
        <x:v>EQUIPPED_STANDARD_UNCONFIRMED</x:v>
      </x:c>
      <x:c r="H82" s="19" t="str">
        <x:f>IF(COUNTIFS('51_版本配置事实'!$B$6:$B$127,"PC-N90-MAX-CAND",'51_版本配置事实'!$C$6:$C$127,$A82,'51_版本配置事实'!$J$6:$J$127,"STANDARD_CURRENT")&gt;0,"STANDARD_CURRENT","NOT_EVIDENCED")</x:f>
        <x:v>NOT_EVIDENCED</x:v>
      </x:c>
      <x:c r="I82" s="19" t="str">
        <x:f>IF(COUNTIFS('51_版本配置事实'!$B$6:$B$127,"PC-N90-ROOF-CAND",'51_版本配置事实'!$C$6:$C$127,$A82,'51_版本配置事实'!$T$6:$T$127,"&lt;&gt;NONE")&gt;0,"CONFLICTED",IF(COUNTIFS('51_版本配置事实'!$B$6:$B$127,"PC-N90-ROOF-CAND",'51_版本配置事实'!$C$6:$C$127,$A82,'51_版本配置事实'!$I$6:$I$127,"STANDARD_AT_RELEASE")&gt;0,"STANDARD_AT_RELEASE",IF(COUNTIFS('51_版本配置事实'!$B$6:$B$127,"PC-N90-ROOF-CAND",'51_版本配置事实'!$C$6:$C$127,$A82,'51_版本配置事实'!$I$6:$I$127,"OPTIONAL_AT_RELEASE")&gt;0,"OPTIONAL_AT_RELEASE",IF(COUNTIFS('51_版本配置事实'!$B$6:$B$127,"PC-N90-ROOF-CAND",'51_版本配置事实'!$C$6:$C$127,$A82,'51_版本配置事实'!$I$6:$I$127,"SEPARATE_PURCHASE")&gt;0,"SEPARATE_PURCHASE",IF(COUNTIFS('51_版本配置事实'!$B$6:$B$127,"PC-N90-ROOF-CAND",'51_版本配置事实'!$C$6:$C$127,$A82,'51_版本配置事实'!$I$6:$I$127,"EQUIPPED_STANDARD_UNCONFIRMED")&gt;0,"EQUIPPED_STANDARD_UNCONFIRMED",IF(COUNTIFS('51_版本配置事实'!$B$6:$B$127,"PC-N90-ROOF-CAND",'51_版本配置事实'!$C$6:$C$127,$A82,'51_版本配置事实'!$I$6:$I$127,"SERIES_CAPABILITY")&gt;0,"SERIES_CAPABILITY",IF(COUNTIFS('51_版本配置事实'!$B$6:$B$127,"PC-N90-ROOF-CAND",'51_版本配置事实'!$C$6:$C$127,$A82,'51_版本配置事实'!$I$6:$I$127,"NOT_DISCLOSED")&gt;0,"NOT_DISCLOSED","NOT_DISCLOSED")))))))</x:f>
        <x:v>NOT_DISCLOSED</x:v>
      </x:c>
      <x:c r="J82" s="19" t="str">
        <x:f>IF(COUNTIFS('51_版本配置事实'!$B$6:$B$127,"PC-N90-ROOF-CAND",'51_版本配置事实'!$C$6:$C$127,$A82,'51_版本配置事实'!$J$6:$J$127,"STANDARD_CURRENT")&gt;0,"STANDARD_CURRENT","NOT_EVIDENCED")</x:f>
        <x:v>NOT_EVIDENCED</x:v>
      </x:c>
      <x:c r="K82" s="19" t="str">
        <x:f>IF(AND(E82=G82,E82&lt;&gt;"NOT_DISCLOSED",E82&lt;&gt;"CONFLICTED"),IF(COUNTIFS('50_发布会逐项主张'!$H$6:$H$137,$A82,'50_发布会逐项主张'!$O$6:$O$137,"ALL_PENGCHENG")&gt;0,"EXPLICIT_COMMON_ANNOUNCED_MAX","MATCHED_NOT_PROVED_COMMON"),"NOT_PROVED_COMMON")</x:f>
        <x:v>NOT_PROVED_COMMON</x:v>
      </x:c>
      <x:c r="L82" s="19" t="str">
        <x:f>IF(OR(C82="NOT_DISCLOSED",E82="NOT_DISCLOSED",C82="CONFLICTED",E82="CONFLICTED"),"UNRESOLVED",IF(C82=E82,"NO_CHANGE",IF(AND(C82="STANDARD_AT_RELEASE",E82="OPTIONAL_AT_RELEASE"),"STANDARD_TO_OPTIONAL",IF(AND(C82="OPTIONAL_AT_RELEASE",E82="STANDARD_AT_RELEASE"),"OPTIONAL_TO_STANDARD",IF(E82="STANDARD_AT_RELEASE","ADDED_STANDARD","REVIEW_CHANGE")))))</x:f>
        <x:v>UNRESOLVED</x:v>
      </x:c>
      <x:c r="M82" s="19" t="str">
        <x:f>IF(OR(E82="NOT_DISCLOSED",G82="NOT_DISCLOSED",E82="CONFLICTED",G82="CONFLICTED"),"UNRESOLVED",IF(E82=G82,"NO_CHANGE",IF(AND(E82="STANDARD_AT_RELEASE",G82="OPTIONAL_AT_RELEASE"),"STANDARD_TO_OPTIONAL",IF(AND(E82="OPTIONAL_AT_RELEASE",G82="STANDARD_AT_RELEASE"),"OPTIONAL_TO_STANDARD",IF(G82="STANDARD_AT_RELEASE","ADDED_STANDARD","REVIEW_CHANGE")))))</x:f>
        <x:v>UNRESOLVED</x:v>
      </x:c>
      <x:c r="N82" s="19" t="str">
        <x:f>IF(OR(G82="NOT_DISCLOSED",I82="NOT_DISCLOSED",G82="CONFLICTED",I82="CONFLICTED"),"UNRESOLVED",IF(G82=I82,"NO_CHANGE",IF(AND(G82="STANDARD_AT_RELEASE",I82="OPTIONAL_AT_RELEASE"),"STANDARD_TO_OPTIONAL",IF(AND(G82="OPTIONAL_AT_RELEASE",I82="STANDARD_AT_RELEASE"),"OPTIONAL_TO_STANDARD",IF(I82="STANDARD_AT_RELEASE","ADDED_STANDARD","REVIEW_CHANGE")))))</x:f>
        <x:v>UNRESOLVED</x:v>
      </x:c>
      <x:c r="O82" s="19" t="str">
        <x:v>BODY_SPACE_SAFETY</x:v>
      </x:c>
      <x:c r="P82" s="19" t="str">
        <x:v>DC_BODY_SPACE_tailgate_threshold</x:v>
      </x:c>
      <x:c r="Q82" s="19" t="n">
        <x:f>COUNTIF('50_发布会逐项主张'!$H$6:$H$137,A82)</x:f>
        <x:v>1</x:v>
      </x:c>
      <x:c r="R82" s="19" t="str">
        <x:f>IF(COUNTIFS('50_发布会逐项主张'!$H$6:$H$137,A82,'50_发布会逐项主张'!$X$6:$X$137,"&lt;&gt;NONE")&gt;0,"CONFLICTED","NONE")</x:f>
        <x:v>NONE</x:v>
      </x:c>
    </x:row>
    <x:row r="83" ht="48" customHeight="1">
      <x:c r="A83" s="369" t="str">
        <x:v>tire_spec</x:v>
      </x:c>
      <x:c r="B83" s="369" t="str">
        <x:v>CHASSIS</x:v>
      </x:c>
      <x:c r="C83" s="369" t="str">
        <x:f>IF(COUNTIFS('51_版本配置事实'!$B$6:$B$127,"PC-N70-BASE-CAND",'51_版本配置事实'!$C$6:$C$127,$A83,'51_版本配置事实'!$T$6:$T$127,"&lt;&gt;NONE")&gt;0,"CONFLICTED",IF(COUNTIFS('51_版本配置事实'!$B$6:$B$127,"PC-N70-BASE-CAND",'51_版本配置事实'!$C$6:$C$127,$A83,'51_版本配置事实'!$I$6:$I$127,"STANDARD_AT_RELEASE")&gt;0,"STANDARD_AT_RELEASE",IF(COUNTIFS('51_版本配置事实'!$B$6:$B$127,"PC-N70-BASE-CAND",'51_版本配置事实'!$C$6:$C$127,$A83,'51_版本配置事实'!$I$6:$I$127,"OPTIONAL_AT_RELEASE")&gt;0,"OPTIONAL_AT_RELEASE",IF(COUNTIFS('51_版本配置事实'!$B$6:$B$127,"PC-N70-BASE-CAND",'51_版本配置事实'!$C$6:$C$127,$A83,'51_版本配置事实'!$I$6:$I$127,"SEPARATE_PURCHASE")&gt;0,"SEPARATE_PURCHASE",IF(COUNTIFS('51_版本配置事实'!$B$6:$B$127,"PC-N70-BASE-CAND",'51_版本配置事实'!$C$6:$C$127,$A83,'51_版本配置事实'!$I$6:$I$127,"EQUIPPED_STANDARD_UNCONFIRMED")&gt;0,"EQUIPPED_STANDARD_UNCONFIRMED",IF(COUNTIFS('51_版本配置事实'!$B$6:$B$127,"PC-N70-BASE-CAND",'51_版本配置事实'!$C$6:$C$127,$A83,'51_版本配置事实'!$I$6:$I$127,"SERIES_CAPABILITY")&gt;0,"SERIES_CAPABILITY",IF(COUNTIFS('51_版本配置事实'!$B$6:$B$127,"PC-N70-BASE-CAND",'51_版本配置事实'!$C$6:$C$127,$A83,'51_版本配置事实'!$I$6:$I$127,"NOT_DISCLOSED")&gt;0,"NOT_DISCLOSED","NOT_DISCLOSED")))))))</x:f>
        <x:v>NOT_DISCLOSED</x:v>
      </x:c>
      <x:c r="D83" s="369" t="str">
        <x:f>IF(COUNTIFS('51_版本配置事实'!$B$6:$B$127,"PC-N70-BASE-CAND",'51_版本配置事实'!$C$6:$C$127,$A83,'51_版本配置事实'!$J$6:$J$127,"STANDARD_CURRENT")&gt;0,"STANDARD_CURRENT","NOT_EVIDENCED")</x:f>
        <x:v>NOT_EVIDENCED</x:v>
      </x:c>
      <x:c r="E83" s="369" t="str">
        <x:f>IF(COUNTIFS('51_版本配置事实'!$B$6:$B$127,"PC-N70-MAX-CAND",'51_版本配置事实'!$C$6:$C$127,$A83,'51_版本配置事实'!$T$6:$T$127,"&lt;&gt;NONE")&gt;0,"CONFLICTED",IF(COUNTIFS('51_版本配置事实'!$B$6:$B$127,"PC-N70-MAX-CAND",'51_版本配置事实'!$C$6:$C$127,$A83,'51_版本配置事实'!$I$6:$I$127,"STANDARD_AT_RELEASE")&gt;0,"STANDARD_AT_RELEASE",IF(COUNTIFS('51_版本配置事实'!$B$6:$B$127,"PC-N70-MAX-CAND",'51_版本配置事实'!$C$6:$C$127,$A83,'51_版本配置事实'!$I$6:$I$127,"OPTIONAL_AT_RELEASE")&gt;0,"OPTIONAL_AT_RELEASE",IF(COUNTIFS('51_版本配置事实'!$B$6:$B$127,"PC-N70-MAX-CAND",'51_版本配置事实'!$C$6:$C$127,$A83,'51_版本配置事实'!$I$6:$I$127,"SEPARATE_PURCHASE")&gt;0,"SEPARATE_PURCHASE",IF(COUNTIFS('51_版本配置事实'!$B$6:$B$127,"PC-N70-MAX-CAND",'51_版本配置事实'!$C$6:$C$127,$A83,'51_版本配置事实'!$I$6:$I$127,"EQUIPPED_STANDARD_UNCONFIRMED")&gt;0,"EQUIPPED_STANDARD_UNCONFIRMED",IF(COUNTIFS('51_版本配置事实'!$B$6:$B$127,"PC-N70-MAX-CAND",'51_版本配置事实'!$C$6:$C$127,$A83,'51_版本配置事实'!$I$6:$I$127,"SERIES_CAPABILITY")&gt;0,"SERIES_CAPABILITY",IF(COUNTIFS('51_版本配置事实'!$B$6:$B$127,"PC-N70-MAX-CAND",'51_版本配置事实'!$C$6:$C$127,$A83,'51_版本配置事实'!$I$6:$I$127,"NOT_DISCLOSED")&gt;0,"NOT_DISCLOSED","NOT_DISCLOSED")))))))</x:f>
        <x:v>NOT_DISCLOSED</x:v>
      </x:c>
      <x:c r="F83" s="369" t="str">
        <x:f>IF(COUNTIFS('51_版本配置事实'!$B$6:$B$127,"PC-N70-MAX-CAND",'51_版本配置事实'!$C$6:$C$127,$A83,'51_版本配置事实'!$J$6:$J$127,"STANDARD_CURRENT")&gt;0,"STANDARD_CURRENT","NOT_EVIDENCED")</x:f>
        <x:v>NOT_EVIDENCED</x:v>
      </x:c>
      <x:c r="G83" s="369" t="str">
        <x:f>IF(COUNTIFS('51_版本配置事实'!$B$6:$B$127,"PC-N90-MAX-CAND",'51_版本配置事实'!$C$6:$C$127,$A83,'51_版本配置事实'!$T$6:$T$127,"&lt;&gt;NONE")&gt;0,"CONFLICTED",IF(COUNTIFS('51_版本配置事实'!$B$6:$B$127,"PC-N90-MAX-CAND",'51_版本配置事实'!$C$6:$C$127,$A83,'51_版本配置事实'!$I$6:$I$127,"STANDARD_AT_RELEASE")&gt;0,"STANDARD_AT_RELEASE",IF(COUNTIFS('51_版本配置事实'!$B$6:$B$127,"PC-N90-MAX-CAND",'51_版本配置事实'!$C$6:$C$127,$A83,'51_版本配置事实'!$I$6:$I$127,"OPTIONAL_AT_RELEASE")&gt;0,"OPTIONAL_AT_RELEASE",IF(COUNTIFS('51_版本配置事实'!$B$6:$B$127,"PC-N90-MAX-CAND",'51_版本配置事实'!$C$6:$C$127,$A83,'51_版本配置事实'!$I$6:$I$127,"SEPARATE_PURCHASE")&gt;0,"SEPARATE_PURCHASE",IF(COUNTIFS('51_版本配置事实'!$B$6:$B$127,"PC-N90-MAX-CAND",'51_版本配置事实'!$C$6:$C$127,$A83,'51_版本配置事实'!$I$6:$I$127,"EQUIPPED_STANDARD_UNCONFIRMED")&gt;0,"EQUIPPED_STANDARD_UNCONFIRMED",IF(COUNTIFS('51_版本配置事实'!$B$6:$B$127,"PC-N90-MAX-CAND",'51_版本配置事实'!$C$6:$C$127,$A83,'51_版本配置事实'!$I$6:$I$127,"SERIES_CAPABILITY")&gt;0,"SERIES_CAPABILITY",IF(COUNTIFS('51_版本配置事实'!$B$6:$B$127,"PC-N90-MAX-CAND",'51_版本配置事实'!$C$6:$C$127,$A83,'51_版本配置事实'!$I$6:$I$127,"NOT_DISCLOSED")&gt;0,"NOT_DISCLOSED","NOT_DISCLOSED")))))))</x:f>
        <x:v>NOT_DISCLOSED</x:v>
      </x:c>
      <x:c r="H83" s="369" t="str">
        <x:f>IF(COUNTIFS('51_版本配置事实'!$B$6:$B$127,"PC-N90-MAX-CAND",'51_版本配置事实'!$C$6:$C$127,$A83,'51_版本配置事实'!$J$6:$J$127,"STANDARD_CURRENT")&gt;0,"STANDARD_CURRENT","NOT_EVIDENCED")</x:f>
        <x:v>NOT_EVIDENCED</x:v>
      </x:c>
      <x:c r="I83" s="369" t="str">
        <x:f>IF(COUNTIFS('51_版本配置事实'!$B$6:$B$127,"PC-N90-ROOF-CAND",'51_版本配置事实'!$C$6:$C$127,$A83,'51_版本配置事实'!$T$6:$T$127,"&lt;&gt;NONE")&gt;0,"CONFLICTED",IF(COUNTIFS('51_版本配置事实'!$B$6:$B$127,"PC-N90-ROOF-CAND",'51_版本配置事实'!$C$6:$C$127,$A83,'51_版本配置事实'!$I$6:$I$127,"STANDARD_AT_RELEASE")&gt;0,"STANDARD_AT_RELEASE",IF(COUNTIFS('51_版本配置事实'!$B$6:$B$127,"PC-N90-ROOF-CAND",'51_版本配置事实'!$C$6:$C$127,$A83,'51_版本配置事实'!$I$6:$I$127,"OPTIONAL_AT_RELEASE")&gt;0,"OPTIONAL_AT_RELEASE",IF(COUNTIFS('51_版本配置事实'!$B$6:$B$127,"PC-N90-ROOF-CAND",'51_版本配置事实'!$C$6:$C$127,$A83,'51_版本配置事实'!$I$6:$I$127,"SEPARATE_PURCHASE")&gt;0,"SEPARATE_PURCHASE",IF(COUNTIFS('51_版本配置事实'!$B$6:$B$127,"PC-N90-ROOF-CAND",'51_版本配置事实'!$C$6:$C$127,$A83,'51_版本配置事实'!$I$6:$I$127,"EQUIPPED_STANDARD_UNCONFIRMED")&gt;0,"EQUIPPED_STANDARD_UNCONFIRMED",IF(COUNTIFS('51_版本配置事实'!$B$6:$B$127,"PC-N90-ROOF-CAND",'51_版本配置事实'!$C$6:$C$127,$A83,'51_版本配置事实'!$I$6:$I$127,"SERIES_CAPABILITY")&gt;0,"SERIES_CAPABILITY",IF(COUNTIFS('51_版本配置事实'!$B$6:$B$127,"PC-N90-ROOF-CAND",'51_版本配置事实'!$C$6:$C$127,$A83,'51_版本配置事实'!$I$6:$I$127,"NOT_DISCLOSED")&gt;0,"NOT_DISCLOSED","NOT_DISCLOSED")))))))</x:f>
        <x:v>NOT_DISCLOSED</x:v>
      </x:c>
      <x:c r="J83" s="369" t="str">
        <x:f>IF(COUNTIFS('51_版本配置事实'!$B$6:$B$127,"PC-N90-ROOF-CAND",'51_版本配置事实'!$C$6:$C$127,$A83,'51_版本配置事实'!$J$6:$J$127,"STANDARD_CURRENT")&gt;0,"STANDARD_CURRENT","NOT_EVIDENCED")</x:f>
        <x:v>NOT_EVIDENCED</x:v>
      </x:c>
      <x:c r="K83" s="369" t="str">
        <x:f>IF(AND(E83=G83,E83&lt;&gt;"NOT_DISCLOSED",E83&lt;&gt;"CONFLICTED"),IF(COUNTIFS('50_发布会逐项主张'!$H$6:$H$137,$A83,'50_发布会逐项主张'!$O$6:$O$137,"ALL_PENGCHENG")&gt;0,"EXPLICIT_COMMON_ANNOUNCED_MAX","MATCHED_NOT_PROVED_COMMON"),"NOT_PROVED_COMMON")</x:f>
        <x:v>NOT_PROVED_COMMON</x:v>
      </x:c>
      <x:c r="L83" s="369" t="str">
        <x:f>IF(OR(C83="NOT_DISCLOSED",E83="NOT_DISCLOSED",C83="CONFLICTED",E83="CONFLICTED"),"UNRESOLVED",IF(C83=E83,"NO_CHANGE",IF(AND(C83="STANDARD_AT_RELEASE",E83="OPTIONAL_AT_RELEASE"),"STANDARD_TO_OPTIONAL",IF(AND(C83="OPTIONAL_AT_RELEASE",E83="STANDARD_AT_RELEASE"),"OPTIONAL_TO_STANDARD",IF(E83="STANDARD_AT_RELEASE","ADDED_STANDARD","REVIEW_CHANGE")))))</x:f>
        <x:v>UNRESOLVED</x:v>
      </x:c>
      <x:c r="M83" s="369" t="str">
        <x:f>IF(OR(E83="NOT_DISCLOSED",G83="NOT_DISCLOSED",E83="CONFLICTED",G83="CONFLICTED"),"UNRESOLVED",IF(E83=G83,"NO_CHANGE",IF(AND(E83="STANDARD_AT_RELEASE",G83="OPTIONAL_AT_RELEASE"),"STANDARD_TO_OPTIONAL",IF(AND(E83="OPTIONAL_AT_RELEASE",G83="STANDARD_AT_RELEASE"),"OPTIONAL_TO_STANDARD",IF(G83="STANDARD_AT_RELEASE","ADDED_STANDARD","REVIEW_CHANGE")))))</x:f>
        <x:v>UNRESOLVED</x:v>
      </x:c>
      <x:c r="N83" s="369" t="str">
        <x:f>IF(OR(G83="NOT_DISCLOSED",I83="NOT_DISCLOSED",G83="CONFLICTED",I83="CONFLICTED"),"UNRESOLVED",IF(G83=I83,"NO_CHANGE",IF(AND(G83="STANDARD_AT_RELEASE",I83="OPTIONAL_AT_RELEASE"),"STANDARD_TO_OPTIONAL",IF(AND(G83="OPTIONAL_AT_RELEASE",I83="STANDARD_AT_RELEASE"),"OPTIONAL_TO_STANDARD",IF(I83="STANDARD_AT_RELEASE","ADDED_STANDARD","REVIEW_CHANGE")))))</x:f>
        <x:v>UNRESOLVED</x:v>
      </x:c>
      <x:c r="O83" s="369" t="str">
        <x:v>CHASSIS_HARDWARE</x:v>
      </x:c>
      <x:c r="P83" s="369" t="str">
        <x:v>DC_CHASSIS_tire_spec</x:v>
      </x:c>
      <x:c r="Q83" s="369" t="n">
        <x:f>COUNTIF('50_发布会逐项主张'!$H$6:$H$137,A83)</x:f>
        <x:v>1</x:v>
      </x:c>
      <x:c r="R83" s="369" t="str">
        <x:f>IF(COUNTIFS('50_发布会逐项主张'!$H$6:$H$137,A83,'50_发布会逐项主张'!$X$6:$X$137,"&lt;&gt;NONE")&gt;0,"CONFLICTED","NONE")</x:f>
        <x:v>NONE</x:v>
      </x:c>
    </x:row>
    <x:row r="84" ht="48" customHeight="1">
      <x:c r="A84" s="19" t="str">
        <x:v>tire_width_front_rear</x:v>
      </x:c>
      <x:c r="B84" s="19" t="str">
        <x:v>CHASSIS</x:v>
      </x:c>
      <x:c r="C84" s="19" t="str">
        <x:f>IF(COUNTIFS('51_版本配置事实'!$B$6:$B$127,"PC-N70-BASE-CAND",'51_版本配置事实'!$C$6:$C$127,$A84,'51_版本配置事实'!$T$6:$T$127,"&lt;&gt;NONE")&gt;0,"CONFLICTED",IF(COUNTIFS('51_版本配置事实'!$B$6:$B$127,"PC-N70-BASE-CAND",'51_版本配置事实'!$C$6:$C$127,$A84,'51_版本配置事实'!$I$6:$I$127,"STANDARD_AT_RELEASE")&gt;0,"STANDARD_AT_RELEASE",IF(COUNTIFS('51_版本配置事实'!$B$6:$B$127,"PC-N70-BASE-CAND",'51_版本配置事实'!$C$6:$C$127,$A84,'51_版本配置事实'!$I$6:$I$127,"OPTIONAL_AT_RELEASE")&gt;0,"OPTIONAL_AT_RELEASE",IF(COUNTIFS('51_版本配置事实'!$B$6:$B$127,"PC-N70-BASE-CAND",'51_版本配置事实'!$C$6:$C$127,$A84,'51_版本配置事实'!$I$6:$I$127,"SEPARATE_PURCHASE")&gt;0,"SEPARATE_PURCHASE",IF(COUNTIFS('51_版本配置事实'!$B$6:$B$127,"PC-N70-BASE-CAND",'51_版本配置事实'!$C$6:$C$127,$A84,'51_版本配置事实'!$I$6:$I$127,"EQUIPPED_STANDARD_UNCONFIRMED")&gt;0,"EQUIPPED_STANDARD_UNCONFIRMED",IF(COUNTIFS('51_版本配置事实'!$B$6:$B$127,"PC-N70-BASE-CAND",'51_版本配置事实'!$C$6:$C$127,$A84,'51_版本配置事实'!$I$6:$I$127,"SERIES_CAPABILITY")&gt;0,"SERIES_CAPABILITY",IF(COUNTIFS('51_版本配置事实'!$B$6:$B$127,"PC-N70-BASE-CAND",'51_版本配置事实'!$C$6:$C$127,$A84,'51_版本配置事实'!$I$6:$I$127,"NOT_DISCLOSED")&gt;0,"NOT_DISCLOSED","NOT_DISCLOSED")))))))</x:f>
        <x:v>NOT_DISCLOSED</x:v>
      </x:c>
      <x:c r="D84" s="19" t="str">
        <x:f>IF(COUNTIFS('51_版本配置事实'!$B$6:$B$127,"PC-N70-BASE-CAND",'51_版本配置事实'!$C$6:$C$127,$A84,'51_版本配置事实'!$J$6:$J$127,"STANDARD_CURRENT")&gt;0,"STANDARD_CURRENT","NOT_EVIDENCED")</x:f>
        <x:v>NOT_EVIDENCED</x:v>
      </x:c>
      <x:c r="E84" s="19" t="str">
        <x:f>IF(COUNTIFS('51_版本配置事实'!$B$6:$B$127,"PC-N70-MAX-CAND",'51_版本配置事实'!$C$6:$C$127,$A84,'51_版本配置事实'!$T$6:$T$127,"&lt;&gt;NONE")&gt;0,"CONFLICTED",IF(COUNTIFS('51_版本配置事实'!$B$6:$B$127,"PC-N70-MAX-CAND",'51_版本配置事实'!$C$6:$C$127,$A84,'51_版本配置事实'!$I$6:$I$127,"STANDARD_AT_RELEASE")&gt;0,"STANDARD_AT_RELEASE",IF(COUNTIFS('51_版本配置事实'!$B$6:$B$127,"PC-N70-MAX-CAND",'51_版本配置事实'!$C$6:$C$127,$A84,'51_版本配置事实'!$I$6:$I$127,"OPTIONAL_AT_RELEASE")&gt;0,"OPTIONAL_AT_RELEASE",IF(COUNTIFS('51_版本配置事实'!$B$6:$B$127,"PC-N70-MAX-CAND",'51_版本配置事实'!$C$6:$C$127,$A84,'51_版本配置事实'!$I$6:$I$127,"SEPARATE_PURCHASE")&gt;0,"SEPARATE_PURCHASE",IF(COUNTIFS('51_版本配置事实'!$B$6:$B$127,"PC-N70-MAX-CAND",'51_版本配置事实'!$C$6:$C$127,$A84,'51_版本配置事实'!$I$6:$I$127,"EQUIPPED_STANDARD_UNCONFIRMED")&gt;0,"EQUIPPED_STANDARD_UNCONFIRMED",IF(COUNTIFS('51_版本配置事实'!$B$6:$B$127,"PC-N70-MAX-CAND",'51_版本配置事实'!$C$6:$C$127,$A84,'51_版本配置事实'!$I$6:$I$127,"SERIES_CAPABILITY")&gt;0,"SERIES_CAPABILITY",IF(COUNTIFS('51_版本配置事实'!$B$6:$B$127,"PC-N70-MAX-CAND",'51_版本配置事实'!$C$6:$C$127,$A84,'51_版本配置事实'!$I$6:$I$127,"NOT_DISCLOSED")&gt;0,"NOT_DISCLOSED","NOT_DISCLOSED")))))))</x:f>
        <x:v>NOT_DISCLOSED</x:v>
      </x:c>
      <x:c r="F84" s="19" t="str">
        <x:f>IF(COUNTIFS('51_版本配置事实'!$B$6:$B$127,"PC-N70-MAX-CAND",'51_版本配置事实'!$C$6:$C$127,$A84,'51_版本配置事实'!$J$6:$J$127,"STANDARD_CURRENT")&gt;0,"STANDARD_CURRENT","NOT_EVIDENCED")</x:f>
        <x:v>NOT_EVIDENCED</x:v>
      </x:c>
      <x:c r="G84" s="19" t="str">
        <x:f>IF(COUNTIFS('51_版本配置事实'!$B$6:$B$127,"PC-N90-MAX-CAND",'51_版本配置事实'!$C$6:$C$127,$A84,'51_版本配置事实'!$T$6:$T$127,"&lt;&gt;NONE")&gt;0,"CONFLICTED",IF(COUNTIFS('51_版本配置事实'!$B$6:$B$127,"PC-N90-MAX-CAND",'51_版本配置事实'!$C$6:$C$127,$A84,'51_版本配置事实'!$I$6:$I$127,"STANDARD_AT_RELEASE")&gt;0,"STANDARD_AT_RELEASE",IF(COUNTIFS('51_版本配置事实'!$B$6:$B$127,"PC-N90-MAX-CAND",'51_版本配置事实'!$C$6:$C$127,$A84,'51_版本配置事实'!$I$6:$I$127,"OPTIONAL_AT_RELEASE")&gt;0,"OPTIONAL_AT_RELEASE",IF(COUNTIFS('51_版本配置事实'!$B$6:$B$127,"PC-N90-MAX-CAND",'51_版本配置事实'!$C$6:$C$127,$A84,'51_版本配置事实'!$I$6:$I$127,"SEPARATE_PURCHASE")&gt;0,"SEPARATE_PURCHASE",IF(COUNTIFS('51_版本配置事实'!$B$6:$B$127,"PC-N90-MAX-CAND",'51_版本配置事实'!$C$6:$C$127,$A84,'51_版本配置事实'!$I$6:$I$127,"EQUIPPED_STANDARD_UNCONFIRMED")&gt;0,"EQUIPPED_STANDARD_UNCONFIRMED",IF(COUNTIFS('51_版本配置事实'!$B$6:$B$127,"PC-N90-MAX-CAND",'51_版本配置事实'!$C$6:$C$127,$A84,'51_版本配置事实'!$I$6:$I$127,"SERIES_CAPABILITY")&gt;0,"SERIES_CAPABILITY",IF(COUNTIFS('51_版本配置事实'!$B$6:$B$127,"PC-N90-MAX-CAND",'51_版本配置事实'!$C$6:$C$127,$A84,'51_版本配置事实'!$I$6:$I$127,"NOT_DISCLOSED")&gt;0,"NOT_DISCLOSED","NOT_DISCLOSED")))))))</x:f>
        <x:v>EQUIPPED_STANDARD_UNCONFIRMED</x:v>
      </x:c>
      <x:c r="H84" s="19" t="str">
        <x:f>IF(COUNTIFS('51_版本配置事实'!$B$6:$B$127,"PC-N90-MAX-CAND",'51_版本配置事实'!$C$6:$C$127,$A84,'51_版本配置事实'!$J$6:$J$127,"STANDARD_CURRENT")&gt;0,"STANDARD_CURRENT","NOT_EVIDENCED")</x:f>
        <x:v>NOT_EVIDENCED</x:v>
      </x:c>
      <x:c r="I84" s="19" t="str">
        <x:f>IF(COUNTIFS('51_版本配置事实'!$B$6:$B$127,"PC-N90-ROOF-CAND",'51_版本配置事实'!$C$6:$C$127,$A84,'51_版本配置事实'!$T$6:$T$127,"&lt;&gt;NONE")&gt;0,"CONFLICTED",IF(COUNTIFS('51_版本配置事实'!$B$6:$B$127,"PC-N90-ROOF-CAND",'51_版本配置事实'!$C$6:$C$127,$A84,'51_版本配置事实'!$I$6:$I$127,"STANDARD_AT_RELEASE")&gt;0,"STANDARD_AT_RELEASE",IF(COUNTIFS('51_版本配置事实'!$B$6:$B$127,"PC-N90-ROOF-CAND",'51_版本配置事实'!$C$6:$C$127,$A84,'51_版本配置事实'!$I$6:$I$127,"OPTIONAL_AT_RELEASE")&gt;0,"OPTIONAL_AT_RELEASE",IF(COUNTIFS('51_版本配置事实'!$B$6:$B$127,"PC-N90-ROOF-CAND",'51_版本配置事实'!$C$6:$C$127,$A84,'51_版本配置事实'!$I$6:$I$127,"SEPARATE_PURCHASE")&gt;0,"SEPARATE_PURCHASE",IF(COUNTIFS('51_版本配置事实'!$B$6:$B$127,"PC-N90-ROOF-CAND",'51_版本配置事实'!$C$6:$C$127,$A84,'51_版本配置事实'!$I$6:$I$127,"EQUIPPED_STANDARD_UNCONFIRMED")&gt;0,"EQUIPPED_STANDARD_UNCONFIRMED",IF(COUNTIFS('51_版本配置事实'!$B$6:$B$127,"PC-N90-ROOF-CAND",'51_版本配置事实'!$C$6:$C$127,$A84,'51_版本配置事实'!$I$6:$I$127,"SERIES_CAPABILITY")&gt;0,"SERIES_CAPABILITY",IF(COUNTIFS('51_版本配置事实'!$B$6:$B$127,"PC-N90-ROOF-CAND",'51_版本配置事实'!$C$6:$C$127,$A84,'51_版本配置事实'!$I$6:$I$127,"NOT_DISCLOSED")&gt;0,"NOT_DISCLOSED","NOT_DISCLOSED")))))))</x:f>
        <x:v>NOT_DISCLOSED</x:v>
      </x:c>
      <x:c r="J84" s="19" t="str">
        <x:f>IF(COUNTIFS('51_版本配置事实'!$B$6:$B$127,"PC-N90-ROOF-CAND",'51_版本配置事实'!$C$6:$C$127,$A84,'51_版本配置事实'!$J$6:$J$127,"STANDARD_CURRENT")&gt;0,"STANDARD_CURRENT","NOT_EVIDENCED")</x:f>
        <x:v>NOT_EVIDENCED</x:v>
      </x:c>
      <x:c r="K84" s="19" t="str">
        <x:f>IF(AND(E84=G84,E84&lt;&gt;"NOT_DISCLOSED",E84&lt;&gt;"CONFLICTED"),IF(COUNTIFS('50_发布会逐项主张'!$H$6:$H$137,$A84,'50_发布会逐项主张'!$O$6:$O$137,"ALL_PENGCHENG")&gt;0,"EXPLICIT_COMMON_ANNOUNCED_MAX","MATCHED_NOT_PROVED_COMMON"),"NOT_PROVED_COMMON")</x:f>
        <x:v>NOT_PROVED_COMMON</x:v>
      </x:c>
      <x:c r="L84" s="19" t="str">
        <x:f>IF(OR(C84="NOT_DISCLOSED",E84="NOT_DISCLOSED",C84="CONFLICTED",E84="CONFLICTED"),"UNRESOLVED",IF(C84=E84,"NO_CHANGE",IF(AND(C84="STANDARD_AT_RELEASE",E84="OPTIONAL_AT_RELEASE"),"STANDARD_TO_OPTIONAL",IF(AND(C84="OPTIONAL_AT_RELEASE",E84="STANDARD_AT_RELEASE"),"OPTIONAL_TO_STANDARD",IF(E84="STANDARD_AT_RELEASE","ADDED_STANDARD","REVIEW_CHANGE")))))</x:f>
        <x:v>UNRESOLVED</x:v>
      </x:c>
      <x:c r="M84" s="19" t="str">
        <x:f>IF(OR(E84="NOT_DISCLOSED",G84="NOT_DISCLOSED",E84="CONFLICTED",G84="CONFLICTED"),"UNRESOLVED",IF(E84=G84,"NO_CHANGE",IF(AND(E84="STANDARD_AT_RELEASE",G84="OPTIONAL_AT_RELEASE"),"STANDARD_TO_OPTIONAL",IF(AND(E84="OPTIONAL_AT_RELEASE",G84="STANDARD_AT_RELEASE"),"OPTIONAL_TO_STANDARD",IF(G84="STANDARD_AT_RELEASE","ADDED_STANDARD","REVIEW_CHANGE")))))</x:f>
        <x:v>UNRESOLVED</x:v>
      </x:c>
      <x:c r="N84" s="19" t="str">
        <x:f>IF(OR(G84="NOT_DISCLOSED",I84="NOT_DISCLOSED",G84="CONFLICTED",I84="CONFLICTED"),"UNRESOLVED",IF(G84=I84,"NO_CHANGE",IF(AND(G84="STANDARD_AT_RELEASE",I84="OPTIONAL_AT_RELEASE"),"STANDARD_TO_OPTIONAL",IF(AND(G84="OPTIONAL_AT_RELEASE",I84="STANDARD_AT_RELEASE"),"OPTIONAL_TO_STANDARD",IF(I84="STANDARD_AT_RELEASE","ADDED_STANDARD","REVIEW_CHANGE")))))</x:f>
        <x:v>UNRESOLVED</x:v>
      </x:c>
      <x:c r="O84" s="19" t="str">
        <x:v>CHASSIS_HARDWARE</x:v>
      </x:c>
      <x:c r="P84" s="19" t="str">
        <x:v>DC_CHASSIS_tire_width_front_rear</x:v>
      </x:c>
      <x:c r="Q84" s="19" t="n">
        <x:f>COUNTIF('50_发布会逐项主张'!$H$6:$H$137,A84)</x:f>
        <x:v>1</x:v>
      </x:c>
      <x:c r="R84" s="19" t="str">
        <x:f>IF(COUNTIFS('50_发布会逐项主张'!$H$6:$H$137,A84,'50_发布会逐项主张'!$X$6:$X$137,"&lt;&gt;NONE")&gt;0,"CONFLICTED","NONE")</x:f>
        <x:v>NONE</x:v>
      </x:c>
    </x:row>
    <x:row r="85" ht="48" customHeight="1">
      <x:c r="A85" s="369" t="str">
        <x:v>top_speed</x:v>
      </x:c>
      <x:c r="B85" s="369" t="str">
        <x:v>POWERTRAIN</x:v>
      </x:c>
      <x:c r="C85" s="369" t="str">
        <x:f>IF(COUNTIFS('51_版本配置事实'!$B$6:$B$127,"PC-N70-BASE-CAND",'51_版本配置事实'!$C$6:$C$127,$A85,'51_版本配置事实'!$T$6:$T$127,"&lt;&gt;NONE")&gt;0,"CONFLICTED",IF(COUNTIFS('51_版本配置事实'!$B$6:$B$127,"PC-N70-BASE-CAND",'51_版本配置事实'!$C$6:$C$127,$A85,'51_版本配置事实'!$I$6:$I$127,"STANDARD_AT_RELEASE")&gt;0,"STANDARD_AT_RELEASE",IF(COUNTIFS('51_版本配置事实'!$B$6:$B$127,"PC-N70-BASE-CAND",'51_版本配置事实'!$C$6:$C$127,$A85,'51_版本配置事实'!$I$6:$I$127,"OPTIONAL_AT_RELEASE")&gt;0,"OPTIONAL_AT_RELEASE",IF(COUNTIFS('51_版本配置事实'!$B$6:$B$127,"PC-N70-BASE-CAND",'51_版本配置事实'!$C$6:$C$127,$A85,'51_版本配置事实'!$I$6:$I$127,"SEPARATE_PURCHASE")&gt;0,"SEPARATE_PURCHASE",IF(COUNTIFS('51_版本配置事实'!$B$6:$B$127,"PC-N70-BASE-CAND",'51_版本配置事实'!$C$6:$C$127,$A85,'51_版本配置事实'!$I$6:$I$127,"EQUIPPED_STANDARD_UNCONFIRMED")&gt;0,"EQUIPPED_STANDARD_UNCONFIRMED",IF(COUNTIFS('51_版本配置事实'!$B$6:$B$127,"PC-N70-BASE-CAND",'51_版本配置事实'!$C$6:$C$127,$A85,'51_版本配置事实'!$I$6:$I$127,"SERIES_CAPABILITY")&gt;0,"SERIES_CAPABILITY",IF(COUNTIFS('51_版本配置事实'!$B$6:$B$127,"PC-N70-BASE-CAND",'51_版本配置事实'!$C$6:$C$127,$A85,'51_版本配置事实'!$I$6:$I$127,"NOT_DISCLOSED")&gt;0,"NOT_DISCLOSED","NOT_DISCLOSED")))))))</x:f>
        <x:v>NOT_DISCLOSED</x:v>
      </x:c>
      <x:c r="D85" s="369" t="str">
        <x:f>IF(COUNTIFS('51_版本配置事实'!$B$6:$B$127,"PC-N70-BASE-CAND",'51_版本配置事实'!$C$6:$C$127,$A85,'51_版本配置事实'!$J$6:$J$127,"STANDARD_CURRENT")&gt;0,"STANDARD_CURRENT","NOT_EVIDENCED")</x:f>
        <x:v>NOT_EVIDENCED</x:v>
      </x:c>
      <x:c r="E85" s="369" t="str">
        <x:f>IF(COUNTIFS('51_版本配置事实'!$B$6:$B$127,"PC-N70-MAX-CAND",'51_版本配置事实'!$C$6:$C$127,$A85,'51_版本配置事实'!$T$6:$T$127,"&lt;&gt;NONE")&gt;0,"CONFLICTED",IF(COUNTIFS('51_版本配置事实'!$B$6:$B$127,"PC-N70-MAX-CAND",'51_版本配置事实'!$C$6:$C$127,$A85,'51_版本配置事实'!$I$6:$I$127,"STANDARD_AT_RELEASE")&gt;0,"STANDARD_AT_RELEASE",IF(COUNTIFS('51_版本配置事实'!$B$6:$B$127,"PC-N70-MAX-CAND",'51_版本配置事实'!$C$6:$C$127,$A85,'51_版本配置事实'!$I$6:$I$127,"OPTIONAL_AT_RELEASE")&gt;0,"OPTIONAL_AT_RELEASE",IF(COUNTIFS('51_版本配置事实'!$B$6:$B$127,"PC-N70-MAX-CAND",'51_版本配置事实'!$C$6:$C$127,$A85,'51_版本配置事实'!$I$6:$I$127,"SEPARATE_PURCHASE")&gt;0,"SEPARATE_PURCHASE",IF(COUNTIFS('51_版本配置事实'!$B$6:$B$127,"PC-N70-MAX-CAND",'51_版本配置事实'!$C$6:$C$127,$A85,'51_版本配置事实'!$I$6:$I$127,"EQUIPPED_STANDARD_UNCONFIRMED")&gt;0,"EQUIPPED_STANDARD_UNCONFIRMED",IF(COUNTIFS('51_版本配置事实'!$B$6:$B$127,"PC-N70-MAX-CAND",'51_版本配置事实'!$C$6:$C$127,$A85,'51_版本配置事实'!$I$6:$I$127,"SERIES_CAPABILITY")&gt;0,"SERIES_CAPABILITY",IF(COUNTIFS('51_版本配置事实'!$B$6:$B$127,"PC-N70-MAX-CAND",'51_版本配置事实'!$C$6:$C$127,$A85,'51_版本配置事实'!$I$6:$I$127,"NOT_DISCLOSED")&gt;0,"NOT_DISCLOSED","NOT_DISCLOSED")))))))</x:f>
        <x:v>EQUIPPED_STANDARD_UNCONFIRMED</x:v>
      </x:c>
      <x:c r="F85" s="369" t="str">
        <x:f>IF(COUNTIFS('51_版本配置事实'!$B$6:$B$127,"PC-N70-MAX-CAND",'51_版本配置事实'!$C$6:$C$127,$A85,'51_版本配置事实'!$J$6:$J$127,"STANDARD_CURRENT")&gt;0,"STANDARD_CURRENT","NOT_EVIDENCED")</x:f>
        <x:v>NOT_EVIDENCED</x:v>
      </x:c>
      <x:c r="G85" s="369" t="str">
        <x:f>IF(COUNTIFS('51_版本配置事实'!$B$6:$B$127,"PC-N90-MAX-CAND",'51_版本配置事实'!$C$6:$C$127,$A85,'51_版本配置事实'!$T$6:$T$127,"&lt;&gt;NONE")&gt;0,"CONFLICTED",IF(COUNTIFS('51_版本配置事实'!$B$6:$B$127,"PC-N90-MAX-CAND",'51_版本配置事实'!$C$6:$C$127,$A85,'51_版本配置事实'!$I$6:$I$127,"STANDARD_AT_RELEASE")&gt;0,"STANDARD_AT_RELEASE",IF(COUNTIFS('51_版本配置事实'!$B$6:$B$127,"PC-N90-MAX-CAND",'51_版本配置事实'!$C$6:$C$127,$A85,'51_版本配置事实'!$I$6:$I$127,"OPTIONAL_AT_RELEASE")&gt;0,"OPTIONAL_AT_RELEASE",IF(COUNTIFS('51_版本配置事实'!$B$6:$B$127,"PC-N90-MAX-CAND",'51_版本配置事实'!$C$6:$C$127,$A85,'51_版本配置事实'!$I$6:$I$127,"SEPARATE_PURCHASE")&gt;0,"SEPARATE_PURCHASE",IF(COUNTIFS('51_版本配置事实'!$B$6:$B$127,"PC-N90-MAX-CAND",'51_版本配置事实'!$C$6:$C$127,$A85,'51_版本配置事实'!$I$6:$I$127,"EQUIPPED_STANDARD_UNCONFIRMED")&gt;0,"EQUIPPED_STANDARD_UNCONFIRMED",IF(COUNTIFS('51_版本配置事实'!$B$6:$B$127,"PC-N90-MAX-CAND",'51_版本配置事实'!$C$6:$C$127,$A85,'51_版本配置事实'!$I$6:$I$127,"SERIES_CAPABILITY")&gt;0,"SERIES_CAPABILITY",IF(COUNTIFS('51_版本配置事实'!$B$6:$B$127,"PC-N90-MAX-CAND",'51_版本配置事实'!$C$6:$C$127,$A85,'51_版本配置事实'!$I$6:$I$127,"NOT_DISCLOSED")&gt;0,"NOT_DISCLOSED","NOT_DISCLOSED")))))))</x:f>
        <x:v>EQUIPPED_STANDARD_UNCONFIRMED</x:v>
      </x:c>
      <x:c r="H85" s="369" t="str">
        <x:f>IF(COUNTIFS('51_版本配置事实'!$B$6:$B$127,"PC-N90-MAX-CAND",'51_版本配置事实'!$C$6:$C$127,$A85,'51_版本配置事实'!$J$6:$J$127,"STANDARD_CURRENT")&gt;0,"STANDARD_CURRENT","NOT_EVIDENCED")</x:f>
        <x:v>NOT_EVIDENCED</x:v>
      </x:c>
      <x:c r="I85" s="369" t="str">
        <x:f>IF(COUNTIFS('51_版本配置事实'!$B$6:$B$127,"PC-N90-ROOF-CAND",'51_版本配置事实'!$C$6:$C$127,$A85,'51_版本配置事实'!$T$6:$T$127,"&lt;&gt;NONE")&gt;0,"CONFLICTED",IF(COUNTIFS('51_版本配置事实'!$B$6:$B$127,"PC-N90-ROOF-CAND",'51_版本配置事实'!$C$6:$C$127,$A85,'51_版本配置事实'!$I$6:$I$127,"STANDARD_AT_RELEASE")&gt;0,"STANDARD_AT_RELEASE",IF(COUNTIFS('51_版本配置事实'!$B$6:$B$127,"PC-N90-ROOF-CAND",'51_版本配置事实'!$C$6:$C$127,$A85,'51_版本配置事实'!$I$6:$I$127,"OPTIONAL_AT_RELEASE")&gt;0,"OPTIONAL_AT_RELEASE",IF(COUNTIFS('51_版本配置事实'!$B$6:$B$127,"PC-N90-ROOF-CAND",'51_版本配置事实'!$C$6:$C$127,$A85,'51_版本配置事实'!$I$6:$I$127,"SEPARATE_PURCHASE")&gt;0,"SEPARATE_PURCHASE",IF(COUNTIFS('51_版本配置事实'!$B$6:$B$127,"PC-N90-ROOF-CAND",'51_版本配置事实'!$C$6:$C$127,$A85,'51_版本配置事实'!$I$6:$I$127,"EQUIPPED_STANDARD_UNCONFIRMED")&gt;0,"EQUIPPED_STANDARD_UNCONFIRMED",IF(COUNTIFS('51_版本配置事实'!$B$6:$B$127,"PC-N90-ROOF-CAND",'51_版本配置事实'!$C$6:$C$127,$A85,'51_版本配置事实'!$I$6:$I$127,"SERIES_CAPABILITY")&gt;0,"SERIES_CAPABILITY",IF(COUNTIFS('51_版本配置事实'!$B$6:$B$127,"PC-N90-ROOF-CAND",'51_版本配置事实'!$C$6:$C$127,$A85,'51_版本配置事实'!$I$6:$I$127,"NOT_DISCLOSED")&gt;0,"NOT_DISCLOSED","NOT_DISCLOSED")))))))</x:f>
        <x:v>NOT_DISCLOSED</x:v>
      </x:c>
      <x:c r="J85" s="369" t="str">
        <x:f>IF(COUNTIFS('51_版本配置事实'!$B$6:$B$127,"PC-N90-ROOF-CAND",'51_版本配置事实'!$C$6:$C$127,$A85,'51_版本配置事实'!$J$6:$J$127,"STANDARD_CURRENT")&gt;0,"STANDARD_CURRENT","NOT_EVIDENCED")</x:f>
        <x:v>NOT_EVIDENCED</x:v>
      </x:c>
      <x:c r="K85" s="369" t="str">
        <x:f>IF(AND(E85=G85,E85&lt;&gt;"NOT_DISCLOSED",E85&lt;&gt;"CONFLICTED"),IF(COUNTIFS('50_发布会逐项主张'!$H$6:$H$137,$A85,'50_发布会逐项主张'!$O$6:$O$137,"ALL_PENGCHENG")&gt;0,"EXPLICIT_COMMON_ANNOUNCED_MAX","MATCHED_NOT_PROVED_COMMON"),"NOT_PROVED_COMMON")</x:f>
        <x:v>MATCHED_NOT_PROVED_COMMON</x:v>
      </x:c>
      <x:c r="L85" s="369" t="str">
        <x:f>IF(OR(C85="NOT_DISCLOSED",E85="NOT_DISCLOSED",C85="CONFLICTED",E85="CONFLICTED"),"UNRESOLVED",IF(C85=E85,"NO_CHANGE",IF(AND(C85="STANDARD_AT_RELEASE",E85="OPTIONAL_AT_RELEASE"),"STANDARD_TO_OPTIONAL",IF(AND(C85="OPTIONAL_AT_RELEASE",E85="STANDARD_AT_RELEASE"),"OPTIONAL_TO_STANDARD",IF(E85="STANDARD_AT_RELEASE","ADDED_STANDARD","REVIEW_CHANGE")))))</x:f>
        <x:v>UNRESOLVED</x:v>
      </x:c>
      <x:c r="M85" s="369" t="str">
        <x:f>IF(OR(E85="NOT_DISCLOSED",G85="NOT_DISCLOSED",E85="CONFLICTED",G85="CONFLICTED"),"UNRESOLVED",IF(E85=G85,"NO_CHANGE",IF(AND(E85="STANDARD_AT_RELEASE",G85="OPTIONAL_AT_RELEASE"),"STANDARD_TO_OPTIONAL",IF(AND(E85="OPTIONAL_AT_RELEASE",G85="STANDARD_AT_RELEASE"),"OPTIONAL_TO_STANDARD",IF(G85="STANDARD_AT_RELEASE","ADDED_STANDARD","REVIEW_CHANGE")))))</x:f>
        <x:v>NO_CHANGE</x:v>
      </x:c>
      <x:c r="N85" s="369" t="str">
        <x:f>IF(OR(G85="NOT_DISCLOSED",I85="NOT_DISCLOSED",G85="CONFLICTED",I85="CONFLICTED"),"UNRESOLVED",IF(G85=I85,"NO_CHANGE",IF(AND(G85="STANDARD_AT_RELEASE",I85="OPTIONAL_AT_RELEASE"),"STANDARD_TO_OPTIONAL",IF(AND(G85="OPTIONAL_AT_RELEASE",I85="STANDARD_AT_RELEASE"),"OPTIONAL_TO_STANDARD",IF(I85="STANDARD_AT_RELEASE","ADDED_STANDARD","REVIEW_CHANGE")))))</x:f>
        <x:v>UNRESOLVED</x:v>
      </x:c>
      <x:c r="O85" s="369" t="str">
        <x:v>E_DRIVE</x:v>
      </x:c>
      <x:c r="P85" s="369" t="str">
        <x:v>DC_POWERTRAIN_top_speed</x:v>
      </x:c>
      <x:c r="Q85" s="369" t="n">
        <x:f>COUNTIF('50_发布会逐项主张'!$H$6:$H$137,A85)</x:f>
        <x:v>2</x:v>
      </x:c>
      <x:c r="R85" s="369" t="str">
        <x:f>IF(COUNTIFS('50_发布会逐项主张'!$H$6:$H$137,A85,'50_发布会逐项主张'!$X$6:$X$137,"&lt;&gt;NONE")&gt;0,"CONFLICTED","NONE")</x:f>
        <x:v>NONE</x:v>
      </x:c>
    </x:row>
    <x:row r="86" ht="48" customHeight="1">
      <x:c r="A86" s="19" t="str">
        <x:v>trunk_max</x:v>
      </x:c>
      <x:c r="B86" s="19" t="str">
        <x:v>BODY_SPACE</x:v>
      </x:c>
      <x:c r="C86" s="19" t="str">
        <x:f>IF(COUNTIFS('51_版本配置事实'!$B$6:$B$127,"PC-N70-BASE-CAND",'51_版本配置事实'!$C$6:$C$127,$A86,'51_版本配置事实'!$T$6:$T$127,"&lt;&gt;NONE")&gt;0,"CONFLICTED",IF(COUNTIFS('51_版本配置事实'!$B$6:$B$127,"PC-N70-BASE-CAND",'51_版本配置事实'!$C$6:$C$127,$A86,'51_版本配置事实'!$I$6:$I$127,"STANDARD_AT_RELEASE")&gt;0,"STANDARD_AT_RELEASE",IF(COUNTIFS('51_版本配置事实'!$B$6:$B$127,"PC-N70-BASE-CAND",'51_版本配置事实'!$C$6:$C$127,$A86,'51_版本配置事实'!$I$6:$I$127,"OPTIONAL_AT_RELEASE")&gt;0,"OPTIONAL_AT_RELEASE",IF(COUNTIFS('51_版本配置事实'!$B$6:$B$127,"PC-N70-BASE-CAND",'51_版本配置事实'!$C$6:$C$127,$A86,'51_版本配置事实'!$I$6:$I$127,"SEPARATE_PURCHASE")&gt;0,"SEPARATE_PURCHASE",IF(COUNTIFS('51_版本配置事实'!$B$6:$B$127,"PC-N70-BASE-CAND",'51_版本配置事实'!$C$6:$C$127,$A86,'51_版本配置事实'!$I$6:$I$127,"EQUIPPED_STANDARD_UNCONFIRMED")&gt;0,"EQUIPPED_STANDARD_UNCONFIRMED",IF(COUNTIFS('51_版本配置事实'!$B$6:$B$127,"PC-N70-BASE-CAND",'51_版本配置事实'!$C$6:$C$127,$A86,'51_版本配置事实'!$I$6:$I$127,"SERIES_CAPABILITY")&gt;0,"SERIES_CAPABILITY",IF(COUNTIFS('51_版本配置事实'!$B$6:$B$127,"PC-N70-BASE-CAND",'51_版本配置事实'!$C$6:$C$127,$A86,'51_版本配置事实'!$I$6:$I$127,"NOT_DISCLOSED")&gt;0,"NOT_DISCLOSED","NOT_DISCLOSED")))))))</x:f>
        <x:v>NOT_DISCLOSED</x:v>
      </x:c>
      <x:c r="D86" s="19" t="str">
        <x:f>IF(COUNTIFS('51_版本配置事实'!$B$6:$B$127,"PC-N70-BASE-CAND",'51_版本配置事实'!$C$6:$C$127,$A86,'51_版本配置事实'!$J$6:$J$127,"STANDARD_CURRENT")&gt;0,"STANDARD_CURRENT","NOT_EVIDENCED")</x:f>
        <x:v>NOT_EVIDENCED</x:v>
      </x:c>
      <x:c r="E86" s="19" t="str">
        <x:f>IF(COUNTIFS('51_版本配置事实'!$B$6:$B$127,"PC-N70-MAX-CAND",'51_版本配置事实'!$C$6:$C$127,$A86,'51_版本配置事实'!$T$6:$T$127,"&lt;&gt;NONE")&gt;0,"CONFLICTED",IF(COUNTIFS('51_版本配置事实'!$B$6:$B$127,"PC-N70-MAX-CAND",'51_版本配置事实'!$C$6:$C$127,$A86,'51_版本配置事实'!$I$6:$I$127,"STANDARD_AT_RELEASE")&gt;0,"STANDARD_AT_RELEASE",IF(COUNTIFS('51_版本配置事实'!$B$6:$B$127,"PC-N70-MAX-CAND",'51_版本配置事实'!$C$6:$C$127,$A86,'51_版本配置事实'!$I$6:$I$127,"OPTIONAL_AT_RELEASE")&gt;0,"OPTIONAL_AT_RELEASE",IF(COUNTIFS('51_版本配置事实'!$B$6:$B$127,"PC-N70-MAX-CAND",'51_版本配置事实'!$C$6:$C$127,$A86,'51_版本配置事实'!$I$6:$I$127,"SEPARATE_PURCHASE")&gt;0,"SEPARATE_PURCHASE",IF(COUNTIFS('51_版本配置事实'!$B$6:$B$127,"PC-N70-MAX-CAND",'51_版本配置事实'!$C$6:$C$127,$A86,'51_版本配置事实'!$I$6:$I$127,"EQUIPPED_STANDARD_UNCONFIRMED")&gt;0,"EQUIPPED_STANDARD_UNCONFIRMED",IF(COUNTIFS('51_版本配置事实'!$B$6:$B$127,"PC-N70-MAX-CAND",'51_版本配置事实'!$C$6:$C$127,$A86,'51_版本配置事实'!$I$6:$I$127,"SERIES_CAPABILITY")&gt;0,"SERIES_CAPABILITY",IF(COUNTIFS('51_版本配置事实'!$B$6:$B$127,"PC-N70-MAX-CAND",'51_版本配置事实'!$C$6:$C$127,$A86,'51_版本配置事实'!$I$6:$I$127,"NOT_DISCLOSED")&gt;0,"NOT_DISCLOSED","NOT_DISCLOSED")))))))</x:f>
        <x:v>NOT_DISCLOSED</x:v>
      </x:c>
      <x:c r="F86" s="19" t="str">
        <x:f>IF(COUNTIFS('51_版本配置事实'!$B$6:$B$127,"PC-N70-MAX-CAND",'51_版本配置事实'!$C$6:$C$127,$A86,'51_版本配置事实'!$J$6:$J$127,"STANDARD_CURRENT")&gt;0,"STANDARD_CURRENT","NOT_EVIDENCED")</x:f>
        <x:v>NOT_EVIDENCED</x:v>
      </x:c>
      <x:c r="G86" s="19" t="str">
        <x:f>IF(COUNTIFS('51_版本配置事实'!$B$6:$B$127,"PC-N90-MAX-CAND",'51_版本配置事实'!$C$6:$C$127,$A86,'51_版本配置事实'!$T$6:$T$127,"&lt;&gt;NONE")&gt;0,"CONFLICTED",IF(COUNTIFS('51_版本配置事实'!$B$6:$B$127,"PC-N90-MAX-CAND",'51_版本配置事实'!$C$6:$C$127,$A86,'51_版本配置事实'!$I$6:$I$127,"STANDARD_AT_RELEASE")&gt;0,"STANDARD_AT_RELEASE",IF(COUNTIFS('51_版本配置事实'!$B$6:$B$127,"PC-N90-MAX-CAND",'51_版本配置事实'!$C$6:$C$127,$A86,'51_版本配置事实'!$I$6:$I$127,"OPTIONAL_AT_RELEASE")&gt;0,"OPTIONAL_AT_RELEASE",IF(COUNTIFS('51_版本配置事实'!$B$6:$B$127,"PC-N90-MAX-CAND",'51_版本配置事实'!$C$6:$C$127,$A86,'51_版本配置事实'!$I$6:$I$127,"SEPARATE_PURCHASE")&gt;0,"SEPARATE_PURCHASE",IF(COUNTIFS('51_版本配置事实'!$B$6:$B$127,"PC-N90-MAX-CAND",'51_版本配置事实'!$C$6:$C$127,$A86,'51_版本配置事实'!$I$6:$I$127,"EQUIPPED_STANDARD_UNCONFIRMED")&gt;0,"EQUIPPED_STANDARD_UNCONFIRMED",IF(COUNTIFS('51_版本配置事实'!$B$6:$B$127,"PC-N90-MAX-CAND",'51_版本配置事实'!$C$6:$C$127,$A86,'51_版本配置事实'!$I$6:$I$127,"SERIES_CAPABILITY")&gt;0,"SERIES_CAPABILITY",IF(COUNTIFS('51_版本配置事实'!$B$6:$B$127,"PC-N90-MAX-CAND",'51_版本配置事实'!$C$6:$C$127,$A86,'51_版本配置事实'!$I$6:$I$127,"NOT_DISCLOSED")&gt;0,"NOT_DISCLOSED","NOT_DISCLOSED")))))))</x:f>
        <x:v>EQUIPPED_STANDARD_UNCONFIRMED</x:v>
      </x:c>
      <x:c r="H86" s="19" t="str">
        <x:f>IF(COUNTIFS('51_版本配置事实'!$B$6:$B$127,"PC-N90-MAX-CAND",'51_版本配置事实'!$C$6:$C$127,$A86,'51_版本配置事实'!$J$6:$J$127,"STANDARD_CURRENT")&gt;0,"STANDARD_CURRENT","NOT_EVIDENCED")</x:f>
        <x:v>NOT_EVIDENCED</x:v>
      </x:c>
      <x:c r="I86" s="19" t="str">
        <x:f>IF(COUNTIFS('51_版本配置事实'!$B$6:$B$127,"PC-N90-ROOF-CAND",'51_版本配置事实'!$C$6:$C$127,$A86,'51_版本配置事实'!$T$6:$T$127,"&lt;&gt;NONE")&gt;0,"CONFLICTED",IF(COUNTIFS('51_版本配置事实'!$B$6:$B$127,"PC-N90-ROOF-CAND",'51_版本配置事实'!$C$6:$C$127,$A86,'51_版本配置事实'!$I$6:$I$127,"STANDARD_AT_RELEASE")&gt;0,"STANDARD_AT_RELEASE",IF(COUNTIFS('51_版本配置事实'!$B$6:$B$127,"PC-N90-ROOF-CAND",'51_版本配置事实'!$C$6:$C$127,$A86,'51_版本配置事实'!$I$6:$I$127,"OPTIONAL_AT_RELEASE")&gt;0,"OPTIONAL_AT_RELEASE",IF(COUNTIFS('51_版本配置事实'!$B$6:$B$127,"PC-N90-ROOF-CAND",'51_版本配置事实'!$C$6:$C$127,$A86,'51_版本配置事实'!$I$6:$I$127,"SEPARATE_PURCHASE")&gt;0,"SEPARATE_PURCHASE",IF(COUNTIFS('51_版本配置事实'!$B$6:$B$127,"PC-N90-ROOF-CAND",'51_版本配置事实'!$C$6:$C$127,$A86,'51_版本配置事实'!$I$6:$I$127,"EQUIPPED_STANDARD_UNCONFIRMED")&gt;0,"EQUIPPED_STANDARD_UNCONFIRMED",IF(COUNTIFS('51_版本配置事实'!$B$6:$B$127,"PC-N90-ROOF-CAND",'51_版本配置事实'!$C$6:$C$127,$A86,'51_版本配置事实'!$I$6:$I$127,"SERIES_CAPABILITY")&gt;0,"SERIES_CAPABILITY",IF(COUNTIFS('51_版本配置事实'!$B$6:$B$127,"PC-N90-ROOF-CAND",'51_版本配置事实'!$C$6:$C$127,$A86,'51_版本配置事实'!$I$6:$I$127,"NOT_DISCLOSED")&gt;0,"NOT_DISCLOSED","NOT_DISCLOSED")))))))</x:f>
        <x:v>NOT_DISCLOSED</x:v>
      </x:c>
      <x:c r="J86" s="19" t="str">
        <x:f>IF(COUNTIFS('51_版本配置事实'!$B$6:$B$127,"PC-N90-ROOF-CAND",'51_版本配置事实'!$C$6:$C$127,$A86,'51_版本配置事实'!$J$6:$J$127,"STANDARD_CURRENT")&gt;0,"STANDARD_CURRENT","NOT_EVIDENCED")</x:f>
        <x:v>NOT_EVIDENCED</x:v>
      </x:c>
      <x:c r="K86" s="19" t="str">
        <x:f>IF(AND(E86=G86,E86&lt;&gt;"NOT_DISCLOSED",E86&lt;&gt;"CONFLICTED"),IF(COUNTIFS('50_发布会逐项主张'!$H$6:$H$137,$A86,'50_发布会逐项主张'!$O$6:$O$137,"ALL_PENGCHENG")&gt;0,"EXPLICIT_COMMON_ANNOUNCED_MAX","MATCHED_NOT_PROVED_COMMON"),"NOT_PROVED_COMMON")</x:f>
        <x:v>NOT_PROVED_COMMON</x:v>
      </x:c>
      <x:c r="L86" s="19" t="str">
        <x:f>IF(OR(C86="NOT_DISCLOSED",E86="NOT_DISCLOSED",C86="CONFLICTED",E86="CONFLICTED"),"UNRESOLVED",IF(C86=E86,"NO_CHANGE",IF(AND(C86="STANDARD_AT_RELEASE",E86="OPTIONAL_AT_RELEASE"),"STANDARD_TO_OPTIONAL",IF(AND(C86="OPTIONAL_AT_RELEASE",E86="STANDARD_AT_RELEASE"),"OPTIONAL_TO_STANDARD",IF(E86="STANDARD_AT_RELEASE","ADDED_STANDARD","REVIEW_CHANGE")))))</x:f>
        <x:v>UNRESOLVED</x:v>
      </x:c>
      <x:c r="M86" s="19" t="str">
        <x:f>IF(OR(E86="NOT_DISCLOSED",G86="NOT_DISCLOSED",E86="CONFLICTED",G86="CONFLICTED"),"UNRESOLVED",IF(E86=G86,"NO_CHANGE",IF(AND(E86="STANDARD_AT_RELEASE",G86="OPTIONAL_AT_RELEASE"),"STANDARD_TO_OPTIONAL",IF(AND(E86="OPTIONAL_AT_RELEASE",G86="STANDARD_AT_RELEASE"),"OPTIONAL_TO_STANDARD",IF(G86="STANDARD_AT_RELEASE","ADDED_STANDARD","REVIEW_CHANGE")))))</x:f>
        <x:v>UNRESOLVED</x:v>
      </x:c>
      <x:c r="N86" s="19" t="str">
        <x:f>IF(OR(G86="NOT_DISCLOSED",I86="NOT_DISCLOSED",G86="CONFLICTED",I86="CONFLICTED"),"UNRESOLVED",IF(G86=I86,"NO_CHANGE",IF(AND(G86="STANDARD_AT_RELEASE",I86="OPTIONAL_AT_RELEASE"),"STANDARD_TO_OPTIONAL",IF(AND(G86="OPTIONAL_AT_RELEASE",I86="STANDARD_AT_RELEASE"),"OPTIONAL_TO_STANDARD",IF(I86="STANDARD_AT_RELEASE","ADDED_STANDARD","REVIEW_CHANGE")))))</x:f>
        <x:v>UNRESOLVED</x:v>
      </x:c>
      <x:c r="O86" s="19" t="str">
        <x:v>BODY_SPACE_SAFETY</x:v>
      </x:c>
      <x:c r="P86" s="19" t="str">
        <x:v>DC_BODY_SPACE_trunk_max</x:v>
      </x:c>
      <x:c r="Q86" s="19" t="n">
        <x:f>COUNTIF('50_发布会逐项主张'!$H$6:$H$137,A86)</x:f>
        <x:v>1</x:v>
      </x:c>
      <x:c r="R86" s="19" t="str">
        <x:f>IF(COUNTIFS('50_发布会逐项主张'!$H$6:$H$137,A86,'50_发布会逐项主张'!$X$6:$X$137,"&lt;&gt;NONE")&gt;0,"CONFLICTED","NONE")</x:f>
        <x:v>NONE</x:v>
      </x:c>
    </x:row>
    <x:row r="87" ht="48" customHeight="1">
      <x:c r="A87" s="369" t="str">
        <x:v>trunk_standard</x:v>
      </x:c>
      <x:c r="B87" s="369" t="str">
        <x:v>BODY_SPACE</x:v>
      </x:c>
      <x:c r="C87" s="369" t="str">
        <x:f>IF(COUNTIFS('51_版本配置事实'!$B$6:$B$127,"PC-N70-BASE-CAND",'51_版本配置事实'!$C$6:$C$127,$A87,'51_版本配置事实'!$T$6:$T$127,"&lt;&gt;NONE")&gt;0,"CONFLICTED",IF(COUNTIFS('51_版本配置事实'!$B$6:$B$127,"PC-N70-BASE-CAND",'51_版本配置事实'!$C$6:$C$127,$A87,'51_版本配置事实'!$I$6:$I$127,"STANDARD_AT_RELEASE")&gt;0,"STANDARD_AT_RELEASE",IF(COUNTIFS('51_版本配置事实'!$B$6:$B$127,"PC-N70-BASE-CAND",'51_版本配置事实'!$C$6:$C$127,$A87,'51_版本配置事实'!$I$6:$I$127,"OPTIONAL_AT_RELEASE")&gt;0,"OPTIONAL_AT_RELEASE",IF(COUNTIFS('51_版本配置事实'!$B$6:$B$127,"PC-N70-BASE-CAND",'51_版本配置事实'!$C$6:$C$127,$A87,'51_版本配置事实'!$I$6:$I$127,"SEPARATE_PURCHASE")&gt;0,"SEPARATE_PURCHASE",IF(COUNTIFS('51_版本配置事实'!$B$6:$B$127,"PC-N70-BASE-CAND",'51_版本配置事实'!$C$6:$C$127,$A87,'51_版本配置事实'!$I$6:$I$127,"EQUIPPED_STANDARD_UNCONFIRMED")&gt;0,"EQUIPPED_STANDARD_UNCONFIRMED",IF(COUNTIFS('51_版本配置事实'!$B$6:$B$127,"PC-N70-BASE-CAND",'51_版本配置事实'!$C$6:$C$127,$A87,'51_版本配置事实'!$I$6:$I$127,"SERIES_CAPABILITY")&gt;0,"SERIES_CAPABILITY",IF(COUNTIFS('51_版本配置事实'!$B$6:$B$127,"PC-N70-BASE-CAND",'51_版本配置事实'!$C$6:$C$127,$A87,'51_版本配置事实'!$I$6:$I$127,"NOT_DISCLOSED")&gt;0,"NOT_DISCLOSED","NOT_DISCLOSED")))))))</x:f>
        <x:v>NOT_DISCLOSED</x:v>
      </x:c>
      <x:c r="D87" s="369" t="str">
        <x:f>IF(COUNTIFS('51_版本配置事实'!$B$6:$B$127,"PC-N70-BASE-CAND",'51_版本配置事实'!$C$6:$C$127,$A87,'51_版本配置事实'!$J$6:$J$127,"STANDARD_CURRENT")&gt;0,"STANDARD_CURRENT","NOT_EVIDENCED")</x:f>
        <x:v>NOT_EVIDENCED</x:v>
      </x:c>
      <x:c r="E87" s="369" t="str">
        <x:f>IF(COUNTIFS('51_版本配置事实'!$B$6:$B$127,"PC-N70-MAX-CAND",'51_版本配置事实'!$C$6:$C$127,$A87,'51_版本配置事实'!$T$6:$T$127,"&lt;&gt;NONE")&gt;0,"CONFLICTED",IF(COUNTIFS('51_版本配置事实'!$B$6:$B$127,"PC-N70-MAX-CAND",'51_版本配置事实'!$C$6:$C$127,$A87,'51_版本配置事实'!$I$6:$I$127,"STANDARD_AT_RELEASE")&gt;0,"STANDARD_AT_RELEASE",IF(COUNTIFS('51_版本配置事实'!$B$6:$B$127,"PC-N70-MAX-CAND",'51_版本配置事实'!$C$6:$C$127,$A87,'51_版本配置事实'!$I$6:$I$127,"OPTIONAL_AT_RELEASE")&gt;0,"OPTIONAL_AT_RELEASE",IF(COUNTIFS('51_版本配置事实'!$B$6:$B$127,"PC-N70-MAX-CAND",'51_版本配置事实'!$C$6:$C$127,$A87,'51_版本配置事实'!$I$6:$I$127,"SEPARATE_PURCHASE")&gt;0,"SEPARATE_PURCHASE",IF(COUNTIFS('51_版本配置事实'!$B$6:$B$127,"PC-N70-MAX-CAND",'51_版本配置事实'!$C$6:$C$127,$A87,'51_版本配置事实'!$I$6:$I$127,"EQUIPPED_STANDARD_UNCONFIRMED")&gt;0,"EQUIPPED_STANDARD_UNCONFIRMED",IF(COUNTIFS('51_版本配置事实'!$B$6:$B$127,"PC-N70-MAX-CAND",'51_版本配置事实'!$C$6:$C$127,$A87,'51_版本配置事实'!$I$6:$I$127,"SERIES_CAPABILITY")&gt;0,"SERIES_CAPABILITY",IF(COUNTIFS('51_版本配置事实'!$B$6:$B$127,"PC-N70-MAX-CAND",'51_版本配置事实'!$C$6:$C$127,$A87,'51_版本配置事实'!$I$6:$I$127,"NOT_DISCLOSED")&gt;0,"NOT_DISCLOSED","NOT_DISCLOSED")))))))</x:f>
        <x:v>NOT_DISCLOSED</x:v>
      </x:c>
      <x:c r="F87" s="369" t="str">
        <x:f>IF(COUNTIFS('51_版本配置事实'!$B$6:$B$127,"PC-N70-MAX-CAND",'51_版本配置事实'!$C$6:$C$127,$A87,'51_版本配置事实'!$J$6:$J$127,"STANDARD_CURRENT")&gt;0,"STANDARD_CURRENT","NOT_EVIDENCED")</x:f>
        <x:v>NOT_EVIDENCED</x:v>
      </x:c>
      <x:c r="G87" s="369" t="str">
        <x:f>IF(COUNTIFS('51_版本配置事实'!$B$6:$B$127,"PC-N90-MAX-CAND",'51_版本配置事实'!$C$6:$C$127,$A87,'51_版本配置事实'!$T$6:$T$127,"&lt;&gt;NONE")&gt;0,"CONFLICTED",IF(COUNTIFS('51_版本配置事实'!$B$6:$B$127,"PC-N90-MAX-CAND",'51_版本配置事实'!$C$6:$C$127,$A87,'51_版本配置事实'!$I$6:$I$127,"STANDARD_AT_RELEASE")&gt;0,"STANDARD_AT_RELEASE",IF(COUNTIFS('51_版本配置事实'!$B$6:$B$127,"PC-N90-MAX-CAND",'51_版本配置事实'!$C$6:$C$127,$A87,'51_版本配置事实'!$I$6:$I$127,"OPTIONAL_AT_RELEASE")&gt;0,"OPTIONAL_AT_RELEASE",IF(COUNTIFS('51_版本配置事实'!$B$6:$B$127,"PC-N90-MAX-CAND",'51_版本配置事实'!$C$6:$C$127,$A87,'51_版本配置事实'!$I$6:$I$127,"SEPARATE_PURCHASE")&gt;0,"SEPARATE_PURCHASE",IF(COUNTIFS('51_版本配置事实'!$B$6:$B$127,"PC-N90-MAX-CAND",'51_版本配置事实'!$C$6:$C$127,$A87,'51_版本配置事实'!$I$6:$I$127,"EQUIPPED_STANDARD_UNCONFIRMED")&gt;0,"EQUIPPED_STANDARD_UNCONFIRMED",IF(COUNTIFS('51_版本配置事实'!$B$6:$B$127,"PC-N90-MAX-CAND",'51_版本配置事实'!$C$6:$C$127,$A87,'51_版本配置事实'!$I$6:$I$127,"SERIES_CAPABILITY")&gt;0,"SERIES_CAPABILITY",IF(COUNTIFS('51_版本配置事实'!$B$6:$B$127,"PC-N90-MAX-CAND",'51_版本配置事实'!$C$6:$C$127,$A87,'51_版本配置事实'!$I$6:$I$127,"NOT_DISCLOSED")&gt;0,"NOT_DISCLOSED","NOT_DISCLOSED")))))))</x:f>
        <x:v>EQUIPPED_STANDARD_UNCONFIRMED</x:v>
      </x:c>
      <x:c r="H87" s="369" t="str">
        <x:f>IF(COUNTIFS('51_版本配置事实'!$B$6:$B$127,"PC-N90-MAX-CAND",'51_版本配置事实'!$C$6:$C$127,$A87,'51_版本配置事实'!$J$6:$J$127,"STANDARD_CURRENT")&gt;0,"STANDARD_CURRENT","NOT_EVIDENCED")</x:f>
        <x:v>NOT_EVIDENCED</x:v>
      </x:c>
      <x:c r="I87" s="369" t="str">
        <x:f>IF(COUNTIFS('51_版本配置事实'!$B$6:$B$127,"PC-N90-ROOF-CAND",'51_版本配置事实'!$C$6:$C$127,$A87,'51_版本配置事实'!$T$6:$T$127,"&lt;&gt;NONE")&gt;0,"CONFLICTED",IF(COUNTIFS('51_版本配置事实'!$B$6:$B$127,"PC-N90-ROOF-CAND",'51_版本配置事实'!$C$6:$C$127,$A87,'51_版本配置事实'!$I$6:$I$127,"STANDARD_AT_RELEASE")&gt;0,"STANDARD_AT_RELEASE",IF(COUNTIFS('51_版本配置事实'!$B$6:$B$127,"PC-N90-ROOF-CAND",'51_版本配置事实'!$C$6:$C$127,$A87,'51_版本配置事实'!$I$6:$I$127,"OPTIONAL_AT_RELEASE")&gt;0,"OPTIONAL_AT_RELEASE",IF(COUNTIFS('51_版本配置事实'!$B$6:$B$127,"PC-N90-ROOF-CAND",'51_版本配置事实'!$C$6:$C$127,$A87,'51_版本配置事实'!$I$6:$I$127,"SEPARATE_PURCHASE")&gt;0,"SEPARATE_PURCHASE",IF(COUNTIFS('51_版本配置事实'!$B$6:$B$127,"PC-N90-ROOF-CAND",'51_版本配置事实'!$C$6:$C$127,$A87,'51_版本配置事实'!$I$6:$I$127,"EQUIPPED_STANDARD_UNCONFIRMED")&gt;0,"EQUIPPED_STANDARD_UNCONFIRMED",IF(COUNTIFS('51_版本配置事实'!$B$6:$B$127,"PC-N90-ROOF-CAND",'51_版本配置事实'!$C$6:$C$127,$A87,'51_版本配置事实'!$I$6:$I$127,"SERIES_CAPABILITY")&gt;0,"SERIES_CAPABILITY",IF(COUNTIFS('51_版本配置事实'!$B$6:$B$127,"PC-N90-ROOF-CAND",'51_版本配置事实'!$C$6:$C$127,$A87,'51_版本配置事实'!$I$6:$I$127,"NOT_DISCLOSED")&gt;0,"NOT_DISCLOSED","NOT_DISCLOSED")))))))</x:f>
        <x:v>NOT_DISCLOSED</x:v>
      </x:c>
      <x:c r="J87" s="369" t="str">
        <x:f>IF(COUNTIFS('51_版本配置事实'!$B$6:$B$127,"PC-N90-ROOF-CAND",'51_版本配置事实'!$C$6:$C$127,$A87,'51_版本配置事实'!$J$6:$J$127,"STANDARD_CURRENT")&gt;0,"STANDARD_CURRENT","NOT_EVIDENCED")</x:f>
        <x:v>NOT_EVIDENCED</x:v>
      </x:c>
      <x:c r="K87" s="369" t="str">
        <x:f>IF(AND(E87=G87,E87&lt;&gt;"NOT_DISCLOSED",E87&lt;&gt;"CONFLICTED"),IF(COUNTIFS('50_发布会逐项主张'!$H$6:$H$137,$A87,'50_发布会逐项主张'!$O$6:$O$137,"ALL_PENGCHENG")&gt;0,"EXPLICIT_COMMON_ANNOUNCED_MAX","MATCHED_NOT_PROVED_COMMON"),"NOT_PROVED_COMMON")</x:f>
        <x:v>NOT_PROVED_COMMON</x:v>
      </x:c>
      <x:c r="L87" s="369" t="str">
        <x:f>IF(OR(C87="NOT_DISCLOSED",E87="NOT_DISCLOSED",C87="CONFLICTED",E87="CONFLICTED"),"UNRESOLVED",IF(C87=E87,"NO_CHANGE",IF(AND(C87="STANDARD_AT_RELEASE",E87="OPTIONAL_AT_RELEASE"),"STANDARD_TO_OPTIONAL",IF(AND(C87="OPTIONAL_AT_RELEASE",E87="STANDARD_AT_RELEASE"),"OPTIONAL_TO_STANDARD",IF(E87="STANDARD_AT_RELEASE","ADDED_STANDARD","REVIEW_CHANGE")))))</x:f>
        <x:v>UNRESOLVED</x:v>
      </x:c>
      <x:c r="M87" s="369" t="str">
        <x:f>IF(OR(E87="NOT_DISCLOSED",G87="NOT_DISCLOSED",E87="CONFLICTED",G87="CONFLICTED"),"UNRESOLVED",IF(E87=G87,"NO_CHANGE",IF(AND(E87="STANDARD_AT_RELEASE",G87="OPTIONAL_AT_RELEASE"),"STANDARD_TO_OPTIONAL",IF(AND(E87="OPTIONAL_AT_RELEASE",G87="STANDARD_AT_RELEASE"),"OPTIONAL_TO_STANDARD",IF(G87="STANDARD_AT_RELEASE","ADDED_STANDARD","REVIEW_CHANGE")))))</x:f>
        <x:v>UNRESOLVED</x:v>
      </x:c>
      <x:c r="N87" s="369" t="str">
        <x:f>IF(OR(G87="NOT_DISCLOSED",I87="NOT_DISCLOSED",G87="CONFLICTED",I87="CONFLICTED"),"UNRESOLVED",IF(G87=I87,"NO_CHANGE",IF(AND(G87="STANDARD_AT_RELEASE",I87="OPTIONAL_AT_RELEASE"),"STANDARD_TO_OPTIONAL",IF(AND(G87="OPTIONAL_AT_RELEASE",I87="STANDARD_AT_RELEASE"),"OPTIONAL_TO_STANDARD",IF(I87="STANDARD_AT_RELEASE","ADDED_STANDARD","REVIEW_CHANGE")))))</x:f>
        <x:v>UNRESOLVED</x:v>
      </x:c>
      <x:c r="O87" s="369" t="str">
        <x:v>BODY_SPACE_SAFETY</x:v>
      </x:c>
      <x:c r="P87" s="369" t="str">
        <x:v>DC_BODY_SPACE_trunk_standard</x:v>
      </x:c>
      <x:c r="Q87" s="369" t="n">
        <x:f>COUNTIF('50_发布会逐项主张'!$H$6:$H$137,A87)</x:f>
        <x:v>2</x:v>
      </x:c>
      <x:c r="R87" s="369" t="str">
        <x:f>IF(COUNTIFS('50_发布会逐项主张'!$H$6:$H$137,A87,'50_发布会逐项主张'!$X$6:$X$137,"&lt;&gt;NONE")&gt;0,"CONFLICTED","NONE")</x:f>
        <x:v>NONE</x:v>
      </x:c>
    </x:row>
    <x:row r="88" ht="48" customHeight="1">
      <x:c r="A88" s="19" t="str">
        <x:v>turning_radius</x:v>
      </x:c>
      <x:c r="B88" s="19" t="str">
        <x:v>CHASSIS</x:v>
      </x:c>
      <x:c r="C88" s="19" t="str">
        <x:f>IF(COUNTIFS('51_版本配置事实'!$B$6:$B$127,"PC-N70-BASE-CAND",'51_版本配置事实'!$C$6:$C$127,$A88,'51_版本配置事实'!$T$6:$T$127,"&lt;&gt;NONE")&gt;0,"CONFLICTED",IF(COUNTIFS('51_版本配置事实'!$B$6:$B$127,"PC-N70-BASE-CAND",'51_版本配置事实'!$C$6:$C$127,$A88,'51_版本配置事实'!$I$6:$I$127,"STANDARD_AT_RELEASE")&gt;0,"STANDARD_AT_RELEASE",IF(COUNTIFS('51_版本配置事实'!$B$6:$B$127,"PC-N70-BASE-CAND",'51_版本配置事实'!$C$6:$C$127,$A88,'51_版本配置事实'!$I$6:$I$127,"OPTIONAL_AT_RELEASE")&gt;0,"OPTIONAL_AT_RELEASE",IF(COUNTIFS('51_版本配置事实'!$B$6:$B$127,"PC-N70-BASE-CAND",'51_版本配置事实'!$C$6:$C$127,$A88,'51_版本配置事实'!$I$6:$I$127,"SEPARATE_PURCHASE")&gt;0,"SEPARATE_PURCHASE",IF(COUNTIFS('51_版本配置事实'!$B$6:$B$127,"PC-N70-BASE-CAND",'51_版本配置事实'!$C$6:$C$127,$A88,'51_版本配置事实'!$I$6:$I$127,"EQUIPPED_STANDARD_UNCONFIRMED")&gt;0,"EQUIPPED_STANDARD_UNCONFIRMED",IF(COUNTIFS('51_版本配置事实'!$B$6:$B$127,"PC-N70-BASE-CAND",'51_版本配置事实'!$C$6:$C$127,$A88,'51_版本配置事实'!$I$6:$I$127,"SERIES_CAPABILITY")&gt;0,"SERIES_CAPABILITY",IF(COUNTIFS('51_版本配置事实'!$B$6:$B$127,"PC-N70-BASE-CAND",'51_版本配置事实'!$C$6:$C$127,$A88,'51_版本配置事实'!$I$6:$I$127,"NOT_DISCLOSED")&gt;0,"NOT_DISCLOSED","NOT_DISCLOSED")))))))</x:f>
        <x:v>NOT_DISCLOSED</x:v>
      </x:c>
      <x:c r="D88" s="19" t="str">
        <x:f>IF(COUNTIFS('51_版本配置事实'!$B$6:$B$127,"PC-N70-BASE-CAND",'51_版本配置事实'!$C$6:$C$127,$A88,'51_版本配置事实'!$J$6:$J$127,"STANDARD_CURRENT")&gt;0,"STANDARD_CURRENT","NOT_EVIDENCED")</x:f>
        <x:v>NOT_EVIDENCED</x:v>
      </x:c>
      <x:c r="E88" s="19" t="str">
        <x:f>IF(COUNTIFS('51_版本配置事实'!$B$6:$B$127,"PC-N70-MAX-CAND",'51_版本配置事实'!$C$6:$C$127,$A88,'51_版本配置事实'!$T$6:$T$127,"&lt;&gt;NONE")&gt;0,"CONFLICTED",IF(COUNTIFS('51_版本配置事实'!$B$6:$B$127,"PC-N70-MAX-CAND",'51_版本配置事实'!$C$6:$C$127,$A88,'51_版本配置事实'!$I$6:$I$127,"STANDARD_AT_RELEASE")&gt;0,"STANDARD_AT_RELEASE",IF(COUNTIFS('51_版本配置事实'!$B$6:$B$127,"PC-N70-MAX-CAND",'51_版本配置事实'!$C$6:$C$127,$A88,'51_版本配置事实'!$I$6:$I$127,"OPTIONAL_AT_RELEASE")&gt;0,"OPTIONAL_AT_RELEASE",IF(COUNTIFS('51_版本配置事实'!$B$6:$B$127,"PC-N70-MAX-CAND",'51_版本配置事实'!$C$6:$C$127,$A88,'51_版本配置事实'!$I$6:$I$127,"SEPARATE_PURCHASE")&gt;0,"SEPARATE_PURCHASE",IF(COUNTIFS('51_版本配置事实'!$B$6:$B$127,"PC-N70-MAX-CAND",'51_版本配置事实'!$C$6:$C$127,$A88,'51_版本配置事实'!$I$6:$I$127,"EQUIPPED_STANDARD_UNCONFIRMED")&gt;0,"EQUIPPED_STANDARD_UNCONFIRMED",IF(COUNTIFS('51_版本配置事实'!$B$6:$B$127,"PC-N70-MAX-CAND",'51_版本配置事实'!$C$6:$C$127,$A88,'51_版本配置事实'!$I$6:$I$127,"SERIES_CAPABILITY")&gt;0,"SERIES_CAPABILITY",IF(COUNTIFS('51_版本配置事实'!$B$6:$B$127,"PC-N70-MAX-CAND",'51_版本配置事实'!$C$6:$C$127,$A88,'51_版本配置事实'!$I$6:$I$127,"NOT_DISCLOSED")&gt;0,"NOT_DISCLOSED","NOT_DISCLOSED")))))))</x:f>
        <x:v>NOT_DISCLOSED</x:v>
      </x:c>
      <x:c r="F88" s="19" t="str">
        <x:f>IF(COUNTIFS('51_版本配置事实'!$B$6:$B$127,"PC-N70-MAX-CAND",'51_版本配置事实'!$C$6:$C$127,$A88,'51_版本配置事实'!$J$6:$J$127,"STANDARD_CURRENT")&gt;0,"STANDARD_CURRENT","NOT_EVIDENCED")</x:f>
        <x:v>NOT_EVIDENCED</x:v>
      </x:c>
      <x:c r="G88" s="19" t="str">
        <x:f>IF(COUNTIFS('51_版本配置事实'!$B$6:$B$127,"PC-N90-MAX-CAND",'51_版本配置事实'!$C$6:$C$127,$A88,'51_版本配置事实'!$T$6:$T$127,"&lt;&gt;NONE")&gt;0,"CONFLICTED",IF(COUNTIFS('51_版本配置事实'!$B$6:$B$127,"PC-N90-MAX-CAND",'51_版本配置事实'!$C$6:$C$127,$A88,'51_版本配置事实'!$I$6:$I$127,"STANDARD_AT_RELEASE")&gt;0,"STANDARD_AT_RELEASE",IF(COUNTIFS('51_版本配置事实'!$B$6:$B$127,"PC-N90-MAX-CAND",'51_版本配置事实'!$C$6:$C$127,$A88,'51_版本配置事实'!$I$6:$I$127,"OPTIONAL_AT_RELEASE")&gt;0,"OPTIONAL_AT_RELEASE",IF(COUNTIFS('51_版本配置事实'!$B$6:$B$127,"PC-N90-MAX-CAND",'51_版本配置事实'!$C$6:$C$127,$A88,'51_版本配置事实'!$I$6:$I$127,"SEPARATE_PURCHASE")&gt;0,"SEPARATE_PURCHASE",IF(COUNTIFS('51_版本配置事实'!$B$6:$B$127,"PC-N90-MAX-CAND",'51_版本配置事实'!$C$6:$C$127,$A88,'51_版本配置事实'!$I$6:$I$127,"EQUIPPED_STANDARD_UNCONFIRMED")&gt;0,"EQUIPPED_STANDARD_UNCONFIRMED",IF(COUNTIFS('51_版本配置事实'!$B$6:$B$127,"PC-N90-MAX-CAND",'51_版本配置事实'!$C$6:$C$127,$A88,'51_版本配置事实'!$I$6:$I$127,"SERIES_CAPABILITY")&gt;0,"SERIES_CAPABILITY",IF(COUNTIFS('51_版本配置事实'!$B$6:$B$127,"PC-N90-MAX-CAND",'51_版本配置事实'!$C$6:$C$127,$A88,'51_版本配置事实'!$I$6:$I$127,"NOT_DISCLOSED")&gt;0,"NOT_DISCLOSED","NOT_DISCLOSED")))))))</x:f>
        <x:v>EQUIPPED_STANDARD_UNCONFIRMED</x:v>
      </x:c>
      <x:c r="H88" s="19" t="str">
        <x:f>IF(COUNTIFS('51_版本配置事实'!$B$6:$B$127,"PC-N90-MAX-CAND",'51_版本配置事实'!$C$6:$C$127,$A88,'51_版本配置事实'!$J$6:$J$127,"STANDARD_CURRENT")&gt;0,"STANDARD_CURRENT","NOT_EVIDENCED")</x:f>
        <x:v>NOT_EVIDENCED</x:v>
      </x:c>
      <x:c r="I88" s="19" t="str">
        <x:f>IF(COUNTIFS('51_版本配置事实'!$B$6:$B$127,"PC-N90-ROOF-CAND",'51_版本配置事实'!$C$6:$C$127,$A88,'51_版本配置事实'!$T$6:$T$127,"&lt;&gt;NONE")&gt;0,"CONFLICTED",IF(COUNTIFS('51_版本配置事实'!$B$6:$B$127,"PC-N90-ROOF-CAND",'51_版本配置事实'!$C$6:$C$127,$A88,'51_版本配置事实'!$I$6:$I$127,"STANDARD_AT_RELEASE")&gt;0,"STANDARD_AT_RELEASE",IF(COUNTIFS('51_版本配置事实'!$B$6:$B$127,"PC-N90-ROOF-CAND",'51_版本配置事实'!$C$6:$C$127,$A88,'51_版本配置事实'!$I$6:$I$127,"OPTIONAL_AT_RELEASE")&gt;0,"OPTIONAL_AT_RELEASE",IF(COUNTIFS('51_版本配置事实'!$B$6:$B$127,"PC-N90-ROOF-CAND",'51_版本配置事实'!$C$6:$C$127,$A88,'51_版本配置事实'!$I$6:$I$127,"SEPARATE_PURCHASE")&gt;0,"SEPARATE_PURCHASE",IF(COUNTIFS('51_版本配置事实'!$B$6:$B$127,"PC-N90-ROOF-CAND",'51_版本配置事实'!$C$6:$C$127,$A88,'51_版本配置事实'!$I$6:$I$127,"EQUIPPED_STANDARD_UNCONFIRMED")&gt;0,"EQUIPPED_STANDARD_UNCONFIRMED",IF(COUNTIFS('51_版本配置事实'!$B$6:$B$127,"PC-N90-ROOF-CAND",'51_版本配置事实'!$C$6:$C$127,$A88,'51_版本配置事实'!$I$6:$I$127,"SERIES_CAPABILITY")&gt;0,"SERIES_CAPABILITY",IF(COUNTIFS('51_版本配置事实'!$B$6:$B$127,"PC-N90-ROOF-CAND",'51_版本配置事实'!$C$6:$C$127,$A88,'51_版本配置事实'!$I$6:$I$127,"NOT_DISCLOSED")&gt;0,"NOT_DISCLOSED","NOT_DISCLOSED")))))))</x:f>
        <x:v>NOT_DISCLOSED</x:v>
      </x:c>
      <x:c r="J88" s="19" t="str">
        <x:f>IF(COUNTIFS('51_版本配置事实'!$B$6:$B$127,"PC-N90-ROOF-CAND",'51_版本配置事实'!$C$6:$C$127,$A88,'51_版本配置事实'!$J$6:$J$127,"STANDARD_CURRENT")&gt;0,"STANDARD_CURRENT","NOT_EVIDENCED")</x:f>
        <x:v>NOT_EVIDENCED</x:v>
      </x:c>
      <x:c r="K88" s="19" t="str">
        <x:f>IF(AND(E88=G88,E88&lt;&gt;"NOT_DISCLOSED",E88&lt;&gt;"CONFLICTED"),IF(COUNTIFS('50_发布会逐项主张'!$H$6:$H$137,$A88,'50_发布会逐项主张'!$O$6:$O$137,"ALL_PENGCHENG")&gt;0,"EXPLICIT_COMMON_ANNOUNCED_MAX","MATCHED_NOT_PROVED_COMMON"),"NOT_PROVED_COMMON")</x:f>
        <x:v>NOT_PROVED_COMMON</x:v>
      </x:c>
      <x:c r="L88" s="19" t="str">
        <x:f>IF(OR(C88="NOT_DISCLOSED",E88="NOT_DISCLOSED",C88="CONFLICTED",E88="CONFLICTED"),"UNRESOLVED",IF(C88=E88,"NO_CHANGE",IF(AND(C88="STANDARD_AT_RELEASE",E88="OPTIONAL_AT_RELEASE"),"STANDARD_TO_OPTIONAL",IF(AND(C88="OPTIONAL_AT_RELEASE",E88="STANDARD_AT_RELEASE"),"OPTIONAL_TO_STANDARD",IF(E88="STANDARD_AT_RELEASE","ADDED_STANDARD","REVIEW_CHANGE")))))</x:f>
        <x:v>UNRESOLVED</x:v>
      </x:c>
      <x:c r="M88" s="19" t="str">
        <x:f>IF(OR(E88="NOT_DISCLOSED",G88="NOT_DISCLOSED",E88="CONFLICTED",G88="CONFLICTED"),"UNRESOLVED",IF(E88=G88,"NO_CHANGE",IF(AND(E88="STANDARD_AT_RELEASE",G88="OPTIONAL_AT_RELEASE"),"STANDARD_TO_OPTIONAL",IF(AND(E88="OPTIONAL_AT_RELEASE",G88="STANDARD_AT_RELEASE"),"OPTIONAL_TO_STANDARD",IF(G88="STANDARD_AT_RELEASE","ADDED_STANDARD","REVIEW_CHANGE")))))</x:f>
        <x:v>UNRESOLVED</x:v>
      </x:c>
      <x:c r="N88" s="19" t="str">
        <x:f>IF(OR(G88="NOT_DISCLOSED",I88="NOT_DISCLOSED",G88="CONFLICTED",I88="CONFLICTED"),"UNRESOLVED",IF(G88=I88,"NO_CHANGE",IF(AND(G88="STANDARD_AT_RELEASE",I88="OPTIONAL_AT_RELEASE"),"STANDARD_TO_OPTIONAL",IF(AND(G88="OPTIONAL_AT_RELEASE",I88="STANDARD_AT_RELEASE"),"OPTIONAL_TO_STANDARD",IF(I88="STANDARD_AT_RELEASE","ADDED_STANDARD","REVIEW_CHANGE")))))</x:f>
        <x:v>UNRESOLVED</x:v>
      </x:c>
      <x:c r="O88" s="19" t="str">
        <x:v>CHASSIS_HARDWARE</x:v>
      </x:c>
      <x:c r="P88" s="19" t="str">
        <x:v>DC_CHASSIS_turning_radius</x:v>
      </x:c>
      <x:c r="Q88" s="19" t="n">
        <x:f>COUNTIF('50_发布会逐项主张'!$H$6:$H$137,A88)</x:f>
        <x:v>1</x:v>
      </x:c>
      <x:c r="R88" s="19" t="str">
        <x:f>IF(COUNTIFS('50_发布会逐项主张'!$H$6:$H$137,A88,'50_发布会逐项主张'!$X$6:$X$137,"&lt;&gt;NONE")&gt;0,"CONFLICTED","NONE")</x:f>
        <x:v>NONE</x:v>
      </x:c>
    </x:row>
    <x:row r="89" ht="48" customHeight="1">
      <x:c r="A89" s="369" t="str">
        <x:v>v2l_power</x:v>
      </x:c>
      <x:c r="B89" s="369" t="str">
        <x:v>ENERGY</x:v>
      </x:c>
      <x:c r="C89" s="369" t="str">
        <x:f>IF(COUNTIFS('51_版本配置事实'!$B$6:$B$127,"PC-N70-BASE-CAND",'51_版本配置事实'!$C$6:$C$127,$A89,'51_版本配置事实'!$T$6:$T$127,"&lt;&gt;NONE")&gt;0,"CONFLICTED",IF(COUNTIFS('51_版本配置事实'!$B$6:$B$127,"PC-N70-BASE-CAND",'51_版本配置事实'!$C$6:$C$127,$A89,'51_版本配置事实'!$I$6:$I$127,"STANDARD_AT_RELEASE")&gt;0,"STANDARD_AT_RELEASE",IF(COUNTIFS('51_版本配置事实'!$B$6:$B$127,"PC-N70-BASE-CAND",'51_版本配置事实'!$C$6:$C$127,$A89,'51_版本配置事实'!$I$6:$I$127,"OPTIONAL_AT_RELEASE")&gt;0,"OPTIONAL_AT_RELEASE",IF(COUNTIFS('51_版本配置事实'!$B$6:$B$127,"PC-N70-BASE-CAND",'51_版本配置事实'!$C$6:$C$127,$A89,'51_版本配置事实'!$I$6:$I$127,"SEPARATE_PURCHASE")&gt;0,"SEPARATE_PURCHASE",IF(COUNTIFS('51_版本配置事实'!$B$6:$B$127,"PC-N70-BASE-CAND",'51_版本配置事实'!$C$6:$C$127,$A89,'51_版本配置事实'!$I$6:$I$127,"EQUIPPED_STANDARD_UNCONFIRMED")&gt;0,"EQUIPPED_STANDARD_UNCONFIRMED",IF(COUNTIFS('51_版本配置事实'!$B$6:$B$127,"PC-N70-BASE-CAND",'51_版本配置事实'!$C$6:$C$127,$A89,'51_版本配置事实'!$I$6:$I$127,"SERIES_CAPABILITY")&gt;0,"SERIES_CAPABILITY",IF(COUNTIFS('51_版本配置事实'!$B$6:$B$127,"PC-N70-BASE-CAND",'51_版本配置事实'!$C$6:$C$127,$A89,'51_版本配置事实'!$I$6:$I$127,"NOT_DISCLOSED")&gt;0,"NOT_DISCLOSED","NOT_DISCLOSED")))))))</x:f>
        <x:v>NOT_DISCLOSED</x:v>
      </x:c>
      <x:c r="D89" s="369" t="str">
        <x:f>IF(COUNTIFS('51_版本配置事实'!$B$6:$B$127,"PC-N70-BASE-CAND",'51_版本配置事实'!$C$6:$C$127,$A89,'51_版本配置事实'!$J$6:$J$127,"STANDARD_CURRENT")&gt;0,"STANDARD_CURRENT","NOT_EVIDENCED")</x:f>
        <x:v>NOT_EVIDENCED</x:v>
      </x:c>
      <x:c r="E89" s="369" t="str">
        <x:f>IF(COUNTIFS('51_版本配置事实'!$B$6:$B$127,"PC-N70-MAX-CAND",'51_版本配置事实'!$C$6:$C$127,$A89,'51_版本配置事实'!$T$6:$T$127,"&lt;&gt;NONE")&gt;0,"CONFLICTED",IF(COUNTIFS('51_版本配置事实'!$B$6:$B$127,"PC-N70-MAX-CAND",'51_版本配置事实'!$C$6:$C$127,$A89,'51_版本配置事实'!$I$6:$I$127,"STANDARD_AT_RELEASE")&gt;0,"STANDARD_AT_RELEASE",IF(COUNTIFS('51_版本配置事实'!$B$6:$B$127,"PC-N70-MAX-CAND",'51_版本配置事实'!$C$6:$C$127,$A89,'51_版本配置事实'!$I$6:$I$127,"OPTIONAL_AT_RELEASE")&gt;0,"OPTIONAL_AT_RELEASE",IF(COUNTIFS('51_版本配置事实'!$B$6:$B$127,"PC-N70-MAX-CAND",'51_版本配置事实'!$C$6:$C$127,$A89,'51_版本配置事实'!$I$6:$I$127,"SEPARATE_PURCHASE")&gt;0,"SEPARATE_PURCHASE",IF(COUNTIFS('51_版本配置事实'!$B$6:$B$127,"PC-N70-MAX-CAND",'51_版本配置事实'!$C$6:$C$127,$A89,'51_版本配置事实'!$I$6:$I$127,"EQUIPPED_STANDARD_UNCONFIRMED")&gt;0,"EQUIPPED_STANDARD_UNCONFIRMED",IF(COUNTIFS('51_版本配置事实'!$B$6:$B$127,"PC-N70-MAX-CAND",'51_版本配置事实'!$C$6:$C$127,$A89,'51_版本配置事实'!$I$6:$I$127,"SERIES_CAPABILITY")&gt;0,"SERIES_CAPABILITY",IF(COUNTIFS('51_版本配置事实'!$B$6:$B$127,"PC-N70-MAX-CAND",'51_版本配置事实'!$C$6:$C$127,$A89,'51_版本配置事实'!$I$6:$I$127,"NOT_DISCLOSED")&gt;0,"NOT_DISCLOSED","NOT_DISCLOSED")))))))</x:f>
        <x:v>NOT_DISCLOSED</x:v>
      </x:c>
      <x:c r="F89" s="369" t="str">
        <x:f>IF(COUNTIFS('51_版本配置事实'!$B$6:$B$127,"PC-N70-MAX-CAND",'51_版本配置事实'!$C$6:$C$127,$A89,'51_版本配置事实'!$J$6:$J$127,"STANDARD_CURRENT")&gt;0,"STANDARD_CURRENT","NOT_EVIDENCED")</x:f>
        <x:v>NOT_EVIDENCED</x:v>
      </x:c>
      <x:c r="G89" s="369" t="str">
        <x:f>IF(COUNTIFS('51_版本配置事实'!$B$6:$B$127,"PC-N90-MAX-CAND",'51_版本配置事实'!$C$6:$C$127,$A89,'51_版本配置事实'!$T$6:$T$127,"&lt;&gt;NONE")&gt;0,"CONFLICTED",IF(COUNTIFS('51_版本配置事实'!$B$6:$B$127,"PC-N90-MAX-CAND",'51_版本配置事实'!$C$6:$C$127,$A89,'51_版本配置事实'!$I$6:$I$127,"STANDARD_AT_RELEASE")&gt;0,"STANDARD_AT_RELEASE",IF(COUNTIFS('51_版本配置事实'!$B$6:$B$127,"PC-N90-MAX-CAND",'51_版本配置事实'!$C$6:$C$127,$A89,'51_版本配置事实'!$I$6:$I$127,"OPTIONAL_AT_RELEASE")&gt;0,"OPTIONAL_AT_RELEASE",IF(COUNTIFS('51_版本配置事实'!$B$6:$B$127,"PC-N90-MAX-CAND",'51_版本配置事实'!$C$6:$C$127,$A89,'51_版本配置事实'!$I$6:$I$127,"SEPARATE_PURCHASE")&gt;0,"SEPARATE_PURCHASE",IF(COUNTIFS('51_版本配置事实'!$B$6:$B$127,"PC-N90-MAX-CAND",'51_版本配置事实'!$C$6:$C$127,$A89,'51_版本配置事实'!$I$6:$I$127,"EQUIPPED_STANDARD_UNCONFIRMED")&gt;0,"EQUIPPED_STANDARD_UNCONFIRMED",IF(COUNTIFS('51_版本配置事实'!$B$6:$B$127,"PC-N90-MAX-CAND",'51_版本配置事实'!$C$6:$C$127,$A89,'51_版本配置事实'!$I$6:$I$127,"SERIES_CAPABILITY")&gt;0,"SERIES_CAPABILITY",IF(COUNTIFS('51_版本配置事实'!$B$6:$B$127,"PC-N90-MAX-CAND",'51_版本配置事实'!$C$6:$C$127,$A89,'51_版本配置事实'!$I$6:$I$127,"NOT_DISCLOSED")&gt;0,"NOT_DISCLOSED","NOT_DISCLOSED")))))))</x:f>
        <x:v>SERIES_CAPABILITY</x:v>
      </x:c>
      <x:c r="H89" s="369" t="str">
        <x:f>IF(COUNTIFS('51_版本配置事实'!$B$6:$B$127,"PC-N90-MAX-CAND",'51_版本配置事实'!$C$6:$C$127,$A89,'51_版本配置事实'!$J$6:$J$127,"STANDARD_CURRENT")&gt;0,"STANDARD_CURRENT","NOT_EVIDENCED")</x:f>
        <x:v>NOT_EVIDENCED</x:v>
      </x:c>
      <x:c r="I89" s="369" t="str">
        <x:f>IF(COUNTIFS('51_版本配置事实'!$B$6:$B$127,"PC-N90-ROOF-CAND",'51_版本配置事实'!$C$6:$C$127,$A89,'51_版本配置事实'!$T$6:$T$127,"&lt;&gt;NONE")&gt;0,"CONFLICTED",IF(COUNTIFS('51_版本配置事实'!$B$6:$B$127,"PC-N90-ROOF-CAND",'51_版本配置事实'!$C$6:$C$127,$A89,'51_版本配置事实'!$I$6:$I$127,"STANDARD_AT_RELEASE")&gt;0,"STANDARD_AT_RELEASE",IF(COUNTIFS('51_版本配置事实'!$B$6:$B$127,"PC-N90-ROOF-CAND",'51_版本配置事实'!$C$6:$C$127,$A89,'51_版本配置事实'!$I$6:$I$127,"OPTIONAL_AT_RELEASE")&gt;0,"OPTIONAL_AT_RELEASE",IF(COUNTIFS('51_版本配置事实'!$B$6:$B$127,"PC-N90-ROOF-CAND",'51_版本配置事实'!$C$6:$C$127,$A89,'51_版本配置事实'!$I$6:$I$127,"SEPARATE_PURCHASE")&gt;0,"SEPARATE_PURCHASE",IF(COUNTIFS('51_版本配置事实'!$B$6:$B$127,"PC-N90-ROOF-CAND",'51_版本配置事实'!$C$6:$C$127,$A89,'51_版本配置事实'!$I$6:$I$127,"EQUIPPED_STANDARD_UNCONFIRMED")&gt;0,"EQUIPPED_STANDARD_UNCONFIRMED",IF(COUNTIFS('51_版本配置事实'!$B$6:$B$127,"PC-N90-ROOF-CAND",'51_版本配置事实'!$C$6:$C$127,$A89,'51_版本配置事实'!$I$6:$I$127,"SERIES_CAPABILITY")&gt;0,"SERIES_CAPABILITY",IF(COUNTIFS('51_版本配置事实'!$B$6:$B$127,"PC-N90-ROOF-CAND",'51_版本配置事实'!$C$6:$C$127,$A89,'51_版本配置事实'!$I$6:$I$127,"NOT_DISCLOSED")&gt;0,"NOT_DISCLOSED","NOT_DISCLOSED")))))))</x:f>
        <x:v>NOT_DISCLOSED</x:v>
      </x:c>
      <x:c r="J89" s="369" t="str">
        <x:f>IF(COUNTIFS('51_版本配置事实'!$B$6:$B$127,"PC-N90-ROOF-CAND",'51_版本配置事实'!$C$6:$C$127,$A89,'51_版本配置事实'!$J$6:$J$127,"STANDARD_CURRENT")&gt;0,"STANDARD_CURRENT","NOT_EVIDENCED")</x:f>
        <x:v>NOT_EVIDENCED</x:v>
      </x:c>
      <x:c r="K89" s="369" t="str">
        <x:f>IF(AND(E89=G89,E89&lt;&gt;"NOT_DISCLOSED",E89&lt;&gt;"CONFLICTED"),IF(COUNTIFS('50_发布会逐项主张'!$H$6:$H$137,$A89,'50_发布会逐项主张'!$O$6:$O$137,"ALL_PENGCHENG")&gt;0,"EXPLICIT_COMMON_ANNOUNCED_MAX","MATCHED_NOT_PROVED_COMMON"),"NOT_PROVED_COMMON")</x:f>
        <x:v>NOT_PROVED_COMMON</x:v>
      </x:c>
      <x:c r="L89" s="369" t="str">
        <x:f>IF(OR(C89="NOT_DISCLOSED",E89="NOT_DISCLOSED",C89="CONFLICTED",E89="CONFLICTED"),"UNRESOLVED",IF(C89=E89,"NO_CHANGE",IF(AND(C89="STANDARD_AT_RELEASE",E89="OPTIONAL_AT_RELEASE"),"STANDARD_TO_OPTIONAL",IF(AND(C89="OPTIONAL_AT_RELEASE",E89="STANDARD_AT_RELEASE"),"OPTIONAL_TO_STANDARD",IF(E89="STANDARD_AT_RELEASE","ADDED_STANDARD","REVIEW_CHANGE")))))</x:f>
        <x:v>UNRESOLVED</x:v>
      </x:c>
      <x:c r="M89" s="369" t="str">
        <x:f>IF(OR(E89="NOT_DISCLOSED",G89="NOT_DISCLOSED",E89="CONFLICTED",G89="CONFLICTED"),"UNRESOLVED",IF(E89=G89,"NO_CHANGE",IF(AND(E89="STANDARD_AT_RELEASE",G89="OPTIONAL_AT_RELEASE"),"STANDARD_TO_OPTIONAL",IF(AND(E89="OPTIONAL_AT_RELEASE",G89="STANDARD_AT_RELEASE"),"OPTIONAL_TO_STANDARD",IF(G89="STANDARD_AT_RELEASE","ADDED_STANDARD","REVIEW_CHANGE")))))</x:f>
        <x:v>UNRESOLVED</x:v>
      </x:c>
      <x:c r="N89" s="369" t="str">
        <x:f>IF(OR(G89="NOT_DISCLOSED",I89="NOT_DISCLOSED",G89="CONFLICTED",I89="CONFLICTED"),"UNRESOLVED",IF(G89=I89,"NO_CHANGE",IF(AND(G89="STANDARD_AT_RELEASE",I89="OPTIONAL_AT_RELEASE"),"STANDARD_TO_OPTIONAL",IF(AND(G89="OPTIONAL_AT_RELEASE",I89="STANDARD_AT_RELEASE"),"OPTIONAL_TO_STANDARD",IF(I89="STANDARD_AT_RELEASE","ADDED_STANDARD","REVIEW_CHANGE")))))</x:f>
        <x:v>UNRESOLVED</x:v>
      </x:c>
      <x:c r="O89" s="369" t="str">
        <x:v>ENERGY_SYSTEM</x:v>
      </x:c>
      <x:c r="P89" s="369" t="str">
        <x:v>DC_ENERGY_v2l_power</x:v>
      </x:c>
      <x:c r="Q89" s="369" t="n">
        <x:f>COUNTIF('50_发布会逐项主张'!$H$6:$H$137,A89)</x:f>
        <x:v>1</x:v>
      </x:c>
      <x:c r="R89" s="369" t="str">
        <x:f>IF(COUNTIFS('50_发布会逐项主张'!$H$6:$H$137,A89,'50_发布会逐项主张'!$X$6:$X$137,"&lt;&gt;NONE")&gt;0,"CONFLICTED","NONE")</x:f>
        <x:v>NONE</x:v>
      </x:c>
    </x:row>
    <x:row r="90" ht="48" customHeight="1">
      <x:c r="A90" s="19" t="str">
        <x:v>vehicle_table</x:v>
      </x:c>
      <x:c r="B90" s="19" t="str">
        <x:v>ACCESSORY</x:v>
      </x:c>
      <x:c r="C90" s="19" t="str">
        <x:f>IF(COUNTIFS('51_版本配置事实'!$B$6:$B$127,"PC-N70-BASE-CAND",'51_版本配置事实'!$C$6:$C$127,$A90,'51_版本配置事实'!$T$6:$T$127,"&lt;&gt;NONE")&gt;0,"CONFLICTED",IF(COUNTIFS('51_版本配置事实'!$B$6:$B$127,"PC-N70-BASE-CAND",'51_版本配置事实'!$C$6:$C$127,$A90,'51_版本配置事实'!$I$6:$I$127,"STANDARD_AT_RELEASE")&gt;0,"STANDARD_AT_RELEASE",IF(COUNTIFS('51_版本配置事实'!$B$6:$B$127,"PC-N70-BASE-CAND",'51_版本配置事实'!$C$6:$C$127,$A90,'51_版本配置事实'!$I$6:$I$127,"OPTIONAL_AT_RELEASE")&gt;0,"OPTIONAL_AT_RELEASE",IF(COUNTIFS('51_版本配置事实'!$B$6:$B$127,"PC-N70-BASE-CAND",'51_版本配置事实'!$C$6:$C$127,$A90,'51_版本配置事实'!$I$6:$I$127,"SEPARATE_PURCHASE")&gt;0,"SEPARATE_PURCHASE",IF(COUNTIFS('51_版本配置事实'!$B$6:$B$127,"PC-N70-BASE-CAND",'51_版本配置事实'!$C$6:$C$127,$A90,'51_版本配置事实'!$I$6:$I$127,"EQUIPPED_STANDARD_UNCONFIRMED")&gt;0,"EQUIPPED_STANDARD_UNCONFIRMED",IF(COUNTIFS('51_版本配置事实'!$B$6:$B$127,"PC-N70-BASE-CAND",'51_版本配置事实'!$C$6:$C$127,$A90,'51_版本配置事实'!$I$6:$I$127,"SERIES_CAPABILITY")&gt;0,"SERIES_CAPABILITY",IF(COUNTIFS('51_版本配置事实'!$B$6:$B$127,"PC-N70-BASE-CAND",'51_版本配置事实'!$C$6:$C$127,$A90,'51_版本配置事实'!$I$6:$I$127,"NOT_DISCLOSED")&gt;0,"NOT_DISCLOSED","NOT_DISCLOSED")))))))</x:f>
        <x:v>NOT_DISCLOSED</x:v>
      </x:c>
      <x:c r="D90" s="19" t="str">
        <x:f>IF(COUNTIFS('51_版本配置事实'!$B$6:$B$127,"PC-N70-BASE-CAND",'51_版本配置事实'!$C$6:$C$127,$A90,'51_版本配置事实'!$J$6:$J$127,"STANDARD_CURRENT")&gt;0,"STANDARD_CURRENT","NOT_EVIDENCED")</x:f>
        <x:v>NOT_EVIDENCED</x:v>
      </x:c>
      <x:c r="E90" s="19" t="str">
        <x:f>IF(COUNTIFS('51_版本配置事实'!$B$6:$B$127,"PC-N70-MAX-CAND",'51_版本配置事实'!$C$6:$C$127,$A90,'51_版本配置事实'!$T$6:$T$127,"&lt;&gt;NONE")&gt;0,"CONFLICTED",IF(COUNTIFS('51_版本配置事实'!$B$6:$B$127,"PC-N70-MAX-CAND",'51_版本配置事实'!$C$6:$C$127,$A90,'51_版本配置事实'!$I$6:$I$127,"STANDARD_AT_RELEASE")&gt;0,"STANDARD_AT_RELEASE",IF(COUNTIFS('51_版本配置事实'!$B$6:$B$127,"PC-N70-MAX-CAND",'51_版本配置事实'!$C$6:$C$127,$A90,'51_版本配置事实'!$I$6:$I$127,"OPTIONAL_AT_RELEASE")&gt;0,"OPTIONAL_AT_RELEASE",IF(COUNTIFS('51_版本配置事实'!$B$6:$B$127,"PC-N70-MAX-CAND",'51_版本配置事实'!$C$6:$C$127,$A90,'51_版本配置事实'!$I$6:$I$127,"SEPARATE_PURCHASE")&gt;0,"SEPARATE_PURCHASE",IF(COUNTIFS('51_版本配置事实'!$B$6:$B$127,"PC-N70-MAX-CAND",'51_版本配置事实'!$C$6:$C$127,$A90,'51_版本配置事实'!$I$6:$I$127,"EQUIPPED_STANDARD_UNCONFIRMED")&gt;0,"EQUIPPED_STANDARD_UNCONFIRMED",IF(COUNTIFS('51_版本配置事实'!$B$6:$B$127,"PC-N70-MAX-CAND",'51_版本配置事实'!$C$6:$C$127,$A90,'51_版本配置事实'!$I$6:$I$127,"SERIES_CAPABILITY")&gt;0,"SERIES_CAPABILITY",IF(COUNTIFS('51_版本配置事实'!$B$6:$B$127,"PC-N70-MAX-CAND",'51_版本配置事实'!$C$6:$C$127,$A90,'51_版本配置事实'!$I$6:$I$127,"NOT_DISCLOSED")&gt;0,"NOT_DISCLOSED","NOT_DISCLOSED")))))))</x:f>
        <x:v>NOT_DISCLOSED</x:v>
      </x:c>
      <x:c r="F90" s="19" t="str">
        <x:f>IF(COUNTIFS('51_版本配置事实'!$B$6:$B$127,"PC-N70-MAX-CAND",'51_版本配置事实'!$C$6:$C$127,$A90,'51_版本配置事实'!$J$6:$J$127,"STANDARD_CURRENT")&gt;0,"STANDARD_CURRENT","NOT_EVIDENCED")</x:f>
        <x:v>NOT_EVIDENCED</x:v>
      </x:c>
      <x:c r="G90" s="19" t="str">
        <x:f>IF(COUNTIFS('51_版本配置事实'!$B$6:$B$127,"PC-N90-MAX-CAND",'51_版本配置事实'!$C$6:$C$127,$A90,'51_版本配置事实'!$T$6:$T$127,"&lt;&gt;NONE")&gt;0,"CONFLICTED",IF(COUNTIFS('51_版本配置事实'!$B$6:$B$127,"PC-N90-MAX-CAND",'51_版本配置事实'!$C$6:$C$127,$A90,'51_版本配置事实'!$I$6:$I$127,"STANDARD_AT_RELEASE")&gt;0,"STANDARD_AT_RELEASE",IF(COUNTIFS('51_版本配置事实'!$B$6:$B$127,"PC-N90-MAX-CAND",'51_版本配置事实'!$C$6:$C$127,$A90,'51_版本配置事实'!$I$6:$I$127,"OPTIONAL_AT_RELEASE")&gt;0,"OPTIONAL_AT_RELEASE",IF(COUNTIFS('51_版本配置事实'!$B$6:$B$127,"PC-N90-MAX-CAND",'51_版本配置事实'!$C$6:$C$127,$A90,'51_版本配置事实'!$I$6:$I$127,"SEPARATE_PURCHASE")&gt;0,"SEPARATE_PURCHASE",IF(COUNTIFS('51_版本配置事实'!$B$6:$B$127,"PC-N90-MAX-CAND",'51_版本配置事实'!$C$6:$C$127,$A90,'51_版本配置事实'!$I$6:$I$127,"EQUIPPED_STANDARD_UNCONFIRMED")&gt;0,"EQUIPPED_STANDARD_UNCONFIRMED",IF(COUNTIFS('51_版本配置事实'!$B$6:$B$127,"PC-N90-MAX-CAND",'51_版本配置事实'!$C$6:$C$127,$A90,'51_版本配置事实'!$I$6:$I$127,"SERIES_CAPABILITY")&gt;0,"SERIES_CAPABILITY",IF(COUNTIFS('51_版本配置事实'!$B$6:$B$127,"PC-N90-MAX-CAND",'51_版本配置事实'!$C$6:$C$127,$A90,'51_版本配置事实'!$I$6:$I$127,"NOT_DISCLOSED")&gt;0,"NOT_DISCLOSED","NOT_DISCLOSED")))))))</x:f>
        <x:v>SEPARATE_PURCHASE</x:v>
      </x:c>
      <x:c r="H90" s="19" t="str">
        <x:f>IF(COUNTIFS('51_版本配置事实'!$B$6:$B$127,"PC-N90-MAX-CAND",'51_版本配置事实'!$C$6:$C$127,$A90,'51_版本配置事实'!$J$6:$J$127,"STANDARD_CURRENT")&gt;0,"STANDARD_CURRENT","NOT_EVIDENCED")</x:f>
        <x:v>NOT_EVIDENCED</x:v>
      </x:c>
      <x:c r="I90" s="19" t="str">
        <x:f>IF(COUNTIFS('51_版本配置事实'!$B$6:$B$127,"PC-N90-ROOF-CAND",'51_版本配置事实'!$C$6:$C$127,$A90,'51_版本配置事实'!$T$6:$T$127,"&lt;&gt;NONE")&gt;0,"CONFLICTED",IF(COUNTIFS('51_版本配置事实'!$B$6:$B$127,"PC-N90-ROOF-CAND",'51_版本配置事实'!$C$6:$C$127,$A90,'51_版本配置事实'!$I$6:$I$127,"STANDARD_AT_RELEASE")&gt;0,"STANDARD_AT_RELEASE",IF(COUNTIFS('51_版本配置事实'!$B$6:$B$127,"PC-N90-ROOF-CAND",'51_版本配置事实'!$C$6:$C$127,$A90,'51_版本配置事实'!$I$6:$I$127,"OPTIONAL_AT_RELEASE")&gt;0,"OPTIONAL_AT_RELEASE",IF(COUNTIFS('51_版本配置事实'!$B$6:$B$127,"PC-N90-ROOF-CAND",'51_版本配置事实'!$C$6:$C$127,$A90,'51_版本配置事实'!$I$6:$I$127,"SEPARATE_PURCHASE")&gt;0,"SEPARATE_PURCHASE",IF(COUNTIFS('51_版本配置事实'!$B$6:$B$127,"PC-N90-ROOF-CAND",'51_版本配置事实'!$C$6:$C$127,$A90,'51_版本配置事实'!$I$6:$I$127,"EQUIPPED_STANDARD_UNCONFIRMED")&gt;0,"EQUIPPED_STANDARD_UNCONFIRMED",IF(COUNTIFS('51_版本配置事实'!$B$6:$B$127,"PC-N90-ROOF-CAND",'51_版本配置事实'!$C$6:$C$127,$A90,'51_版本配置事实'!$I$6:$I$127,"SERIES_CAPABILITY")&gt;0,"SERIES_CAPABILITY",IF(COUNTIFS('51_版本配置事实'!$B$6:$B$127,"PC-N90-ROOF-CAND",'51_版本配置事实'!$C$6:$C$127,$A90,'51_版本配置事实'!$I$6:$I$127,"NOT_DISCLOSED")&gt;0,"NOT_DISCLOSED","NOT_DISCLOSED")))))))</x:f>
        <x:v>NOT_DISCLOSED</x:v>
      </x:c>
      <x:c r="J90" s="19" t="str">
        <x:f>IF(COUNTIFS('51_版本配置事实'!$B$6:$B$127,"PC-N90-ROOF-CAND",'51_版本配置事实'!$C$6:$C$127,$A90,'51_版本配置事实'!$J$6:$J$127,"STANDARD_CURRENT")&gt;0,"STANDARD_CURRENT","NOT_EVIDENCED")</x:f>
        <x:v>NOT_EVIDENCED</x:v>
      </x:c>
      <x:c r="K90" s="19" t="str">
        <x:f>IF(AND(E90=G90,E90&lt;&gt;"NOT_DISCLOSED",E90&lt;&gt;"CONFLICTED"),IF(COUNTIFS('50_发布会逐项主张'!$H$6:$H$137,$A90,'50_发布会逐项主张'!$O$6:$O$137,"ALL_PENGCHENG")&gt;0,"EXPLICIT_COMMON_ANNOUNCED_MAX","MATCHED_NOT_PROVED_COMMON"),"NOT_PROVED_COMMON")</x:f>
        <x:v>NOT_PROVED_COMMON</x:v>
      </x:c>
      <x:c r="L90" s="19" t="str">
        <x:f>IF(OR(C90="NOT_DISCLOSED",E90="NOT_DISCLOSED",C90="CONFLICTED",E90="CONFLICTED"),"UNRESOLVED",IF(C90=E90,"NO_CHANGE",IF(AND(C90="STANDARD_AT_RELEASE",E90="OPTIONAL_AT_RELEASE"),"STANDARD_TO_OPTIONAL",IF(AND(C90="OPTIONAL_AT_RELEASE",E90="STANDARD_AT_RELEASE"),"OPTIONAL_TO_STANDARD",IF(E90="STANDARD_AT_RELEASE","ADDED_STANDARD","REVIEW_CHANGE")))))</x:f>
        <x:v>UNRESOLVED</x:v>
      </x:c>
      <x:c r="M90" s="19" t="str">
        <x:f>IF(OR(E90="NOT_DISCLOSED",G90="NOT_DISCLOSED",E90="CONFLICTED",G90="CONFLICTED"),"UNRESOLVED",IF(E90=G90,"NO_CHANGE",IF(AND(E90="STANDARD_AT_RELEASE",G90="OPTIONAL_AT_RELEASE"),"STANDARD_TO_OPTIONAL",IF(AND(E90="OPTIONAL_AT_RELEASE",G90="STANDARD_AT_RELEASE"),"OPTIONAL_TO_STANDARD",IF(G90="STANDARD_AT_RELEASE","ADDED_STANDARD","REVIEW_CHANGE")))))</x:f>
        <x:v>UNRESOLVED</x:v>
      </x:c>
      <x:c r="N90" s="19" t="str">
        <x:f>IF(OR(G90="NOT_DISCLOSED",I90="NOT_DISCLOSED",G90="CONFLICTED",I90="CONFLICTED"),"UNRESOLVED",IF(G90=I90,"NO_CHANGE",IF(AND(G90="STANDARD_AT_RELEASE",I90="OPTIONAL_AT_RELEASE"),"STANDARD_TO_OPTIONAL",IF(AND(G90="OPTIONAL_AT_RELEASE",I90="STANDARD_AT_RELEASE"),"OPTIONAL_TO_STANDARD",IF(I90="STANDARD_AT_RELEASE","ADDED_STANDARD","REVIEW_CHANGE")))))</x:f>
        <x:v>UNRESOLVED</x:v>
      </x:c>
      <x:c r="O90" s="19" t="str">
        <x:v>OPTIONS_ACCESSORIES</x:v>
      </x:c>
      <x:c r="P90" s="19" t="str">
        <x:v>DC_ACCESSORY_vehicle_table</x:v>
      </x:c>
      <x:c r="Q90" s="19" t="n">
        <x:f>COUNTIF('50_发布会逐项主张'!$H$6:$H$137,A90)</x:f>
        <x:v>1</x:v>
      </x:c>
      <x:c r="R90" s="19" t="str">
        <x:f>IF(COUNTIFS('50_发布会逐项主张'!$H$6:$H$137,A90,'50_发布会逐项主张'!$X$6:$X$137,"&lt;&gt;NONE")&gt;0,"CONFLICTED","NONE")</x:f>
        <x:v>NONE</x:v>
      </x:c>
    </x:row>
    <x:row r="91" ht="48" customHeight="1">
      <x:c r="A91" s="369" t="str">
        <x:v>wading_mode</x:v>
      </x:c>
      <x:c r="B91" s="369" t="str">
        <x:v>SAFETY</x:v>
      </x:c>
      <x:c r="C91" s="369" t="str">
        <x:f>IF(COUNTIFS('51_版本配置事实'!$B$6:$B$127,"PC-N70-BASE-CAND",'51_版本配置事实'!$C$6:$C$127,$A91,'51_版本配置事实'!$T$6:$T$127,"&lt;&gt;NONE")&gt;0,"CONFLICTED",IF(COUNTIFS('51_版本配置事实'!$B$6:$B$127,"PC-N70-BASE-CAND",'51_版本配置事实'!$C$6:$C$127,$A91,'51_版本配置事实'!$I$6:$I$127,"STANDARD_AT_RELEASE")&gt;0,"STANDARD_AT_RELEASE",IF(COUNTIFS('51_版本配置事实'!$B$6:$B$127,"PC-N70-BASE-CAND",'51_版本配置事实'!$C$6:$C$127,$A91,'51_版本配置事实'!$I$6:$I$127,"OPTIONAL_AT_RELEASE")&gt;0,"OPTIONAL_AT_RELEASE",IF(COUNTIFS('51_版本配置事实'!$B$6:$B$127,"PC-N70-BASE-CAND",'51_版本配置事实'!$C$6:$C$127,$A91,'51_版本配置事实'!$I$6:$I$127,"SEPARATE_PURCHASE")&gt;0,"SEPARATE_PURCHASE",IF(COUNTIFS('51_版本配置事实'!$B$6:$B$127,"PC-N70-BASE-CAND",'51_版本配置事实'!$C$6:$C$127,$A91,'51_版本配置事实'!$I$6:$I$127,"EQUIPPED_STANDARD_UNCONFIRMED")&gt;0,"EQUIPPED_STANDARD_UNCONFIRMED",IF(COUNTIFS('51_版本配置事实'!$B$6:$B$127,"PC-N70-BASE-CAND",'51_版本配置事实'!$C$6:$C$127,$A91,'51_版本配置事实'!$I$6:$I$127,"SERIES_CAPABILITY")&gt;0,"SERIES_CAPABILITY",IF(COUNTIFS('51_版本配置事实'!$B$6:$B$127,"PC-N70-BASE-CAND",'51_版本配置事实'!$C$6:$C$127,$A91,'51_版本配置事实'!$I$6:$I$127,"NOT_DISCLOSED")&gt;0,"NOT_DISCLOSED","NOT_DISCLOSED")))))))</x:f>
        <x:v>NOT_DISCLOSED</x:v>
      </x:c>
      <x:c r="D91" s="369" t="str">
        <x:f>IF(COUNTIFS('51_版本配置事实'!$B$6:$B$127,"PC-N70-BASE-CAND",'51_版本配置事实'!$C$6:$C$127,$A91,'51_版本配置事实'!$J$6:$J$127,"STANDARD_CURRENT")&gt;0,"STANDARD_CURRENT","NOT_EVIDENCED")</x:f>
        <x:v>NOT_EVIDENCED</x:v>
      </x:c>
      <x:c r="E91" s="369" t="str">
        <x:f>IF(COUNTIFS('51_版本配置事实'!$B$6:$B$127,"PC-N70-MAX-CAND",'51_版本配置事实'!$C$6:$C$127,$A91,'51_版本配置事实'!$T$6:$T$127,"&lt;&gt;NONE")&gt;0,"CONFLICTED",IF(COUNTIFS('51_版本配置事实'!$B$6:$B$127,"PC-N70-MAX-CAND",'51_版本配置事实'!$C$6:$C$127,$A91,'51_版本配置事实'!$I$6:$I$127,"STANDARD_AT_RELEASE")&gt;0,"STANDARD_AT_RELEASE",IF(COUNTIFS('51_版本配置事实'!$B$6:$B$127,"PC-N70-MAX-CAND",'51_版本配置事实'!$C$6:$C$127,$A91,'51_版本配置事实'!$I$6:$I$127,"OPTIONAL_AT_RELEASE")&gt;0,"OPTIONAL_AT_RELEASE",IF(COUNTIFS('51_版本配置事实'!$B$6:$B$127,"PC-N70-MAX-CAND",'51_版本配置事实'!$C$6:$C$127,$A91,'51_版本配置事实'!$I$6:$I$127,"SEPARATE_PURCHASE")&gt;0,"SEPARATE_PURCHASE",IF(COUNTIFS('51_版本配置事实'!$B$6:$B$127,"PC-N70-MAX-CAND",'51_版本配置事实'!$C$6:$C$127,$A91,'51_版本配置事实'!$I$6:$I$127,"EQUIPPED_STANDARD_UNCONFIRMED")&gt;0,"EQUIPPED_STANDARD_UNCONFIRMED",IF(COUNTIFS('51_版本配置事实'!$B$6:$B$127,"PC-N70-MAX-CAND",'51_版本配置事实'!$C$6:$C$127,$A91,'51_版本配置事实'!$I$6:$I$127,"SERIES_CAPABILITY")&gt;0,"SERIES_CAPABILITY",IF(COUNTIFS('51_版本配置事实'!$B$6:$B$127,"PC-N70-MAX-CAND",'51_版本配置事实'!$C$6:$C$127,$A91,'51_版本配置事实'!$I$6:$I$127,"NOT_DISCLOSED")&gt;0,"NOT_DISCLOSED","NOT_DISCLOSED")))))))</x:f>
        <x:v>STANDARD_AT_RELEASE</x:v>
      </x:c>
      <x:c r="F91" s="369" t="str">
        <x:f>IF(COUNTIFS('51_版本配置事实'!$B$6:$B$127,"PC-N70-MAX-CAND",'51_版本配置事实'!$C$6:$C$127,$A91,'51_版本配置事实'!$J$6:$J$127,"STANDARD_CURRENT")&gt;0,"STANDARD_CURRENT","NOT_EVIDENCED")</x:f>
        <x:v>NOT_EVIDENCED</x:v>
      </x:c>
      <x:c r="G91" s="369" t="str">
        <x:f>IF(COUNTIFS('51_版本配置事实'!$B$6:$B$127,"PC-N90-MAX-CAND",'51_版本配置事实'!$C$6:$C$127,$A91,'51_版本配置事实'!$T$6:$T$127,"&lt;&gt;NONE")&gt;0,"CONFLICTED",IF(COUNTIFS('51_版本配置事实'!$B$6:$B$127,"PC-N90-MAX-CAND",'51_版本配置事实'!$C$6:$C$127,$A91,'51_版本配置事实'!$I$6:$I$127,"STANDARD_AT_RELEASE")&gt;0,"STANDARD_AT_RELEASE",IF(COUNTIFS('51_版本配置事实'!$B$6:$B$127,"PC-N90-MAX-CAND",'51_版本配置事实'!$C$6:$C$127,$A91,'51_版本配置事实'!$I$6:$I$127,"OPTIONAL_AT_RELEASE")&gt;0,"OPTIONAL_AT_RELEASE",IF(COUNTIFS('51_版本配置事实'!$B$6:$B$127,"PC-N90-MAX-CAND",'51_版本配置事实'!$C$6:$C$127,$A91,'51_版本配置事实'!$I$6:$I$127,"SEPARATE_PURCHASE")&gt;0,"SEPARATE_PURCHASE",IF(COUNTIFS('51_版本配置事实'!$B$6:$B$127,"PC-N90-MAX-CAND",'51_版本配置事实'!$C$6:$C$127,$A91,'51_版本配置事实'!$I$6:$I$127,"EQUIPPED_STANDARD_UNCONFIRMED")&gt;0,"EQUIPPED_STANDARD_UNCONFIRMED",IF(COUNTIFS('51_版本配置事实'!$B$6:$B$127,"PC-N90-MAX-CAND",'51_版本配置事实'!$C$6:$C$127,$A91,'51_版本配置事实'!$I$6:$I$127,"SERIES_CAPABILITY")&gt;0,"SERIES_CAPABILITY",IF(COUNTIFS('51_版本配置事实'!$B$6:$B$127,"PC-N90-MAX-CAND",'51_版本配置事实'!$C$6:$C$127,$A91,'51_版本配置事实'!$I$6:$I$127,"NOT_DISCLOSED")&gt;0,"NOT_DISCLOSED","NOT_DISCLOSED")))))))</x:f>
        <x:v>STANDARD_AT_RELEASE</x:v>
      </x:c>
      <x:c r="H91" s="369" t="str">
        <x:f>IF(COUNTIFS('51_版本配置事实'!$B$6:$B$127,"PC-N90-MAX-CAND",'51_版本配置事实'!$C$6:$C$127,$A91,'51_版本配置事实'!$J$6:$J$127,"STANDARD_CURRENT")&gt;0,"STANDARD_CURRENT","NOT_EVIDENCED")</x:f>
        <x:v>NOT_EVIDENCED</x:v>
      </x:c>
      <x:c r="I91" s="369" t="str">
        <x:f>IF(COUNTIFS('51_版本配置事实'!$B$6:$B$127,"PC-N90-ROOF-CAND",'51_版本配置事实'!$C$6:$C$127,$A91,'51_版本配置事实'!$T$6:$T$127,"&lt;&gt;NONE")&gt;0,"CONFLICTED",IF(COUNTIFS('51_版本配置事实'!$B$6:$B$127,"PC-N90-ROOF-CAND",'51_版本配置事实'!$C$6:$C$127,$A91,'51_版本配置事实'!$I$6:$I$127,"STANDARD_AT_RELEASE")&gt;0,"STANDARD_AT_RELEASE",IF(COUNTIFS('51_版本配置事实'!$B$6:$B$127,"PC-N90-ROOF-CAND",'51_版本配置事实'!$C$6:$C$127,$A91,'51_版本配置事实'!$I$6:$I$127,"OPTIONAL_AT_RELEASE")&gt;0,"OPTIONAL_AT_RELEASE",IF(COUNTIFS('51_版本配置事实'!$B$6:$B$127,"PC-N90-ROOF-CAND",'51_版本配置事实'!$C$6:$C$127,$A91,'51_版本配置事实'!$I$6:$I$127,"SEPARATE_PURCHASE")&gt;0,"SEPARATE_PURCHASE",IF(COUNTIFS('51_版本配置事实'!$B$6:$B$127,"PC-N90-ROOF-CAND",'51_版本配置事实'!$C$6:$C$127,$A91,'51_版本配置事实'!$I$6:$I$127,"EQUIPPED_STANDARD_UNCONFIRMED")&gt;0,"EQUIPPED_STANDARD_UNCONFIRMED",IF(COUNTIFS('51_版本配置事实'!$B$6:$B$127,"PC-N90-ROOF-CAND",'51_版本配置事实'!$C$6:$C$127,$A91,'51_版本配置事实'!$I$6:$I$127,"SERIES_CAPABILITY")&gt;0,"SERIES_CAPABILITY",IF(COUNTIFS('51_版本配置事实'!$B$6:$B$127,"PC-N90-ROOF-CAND",'51_版本配置事实'!$C$6:$C$127,$A91,'51_版本配置事实'!$I$6:$I$127,"NOT_DISCLOSED")&gt;0,"NOT_DISCLOSED","NOT_DISCLOSED")))))))</x:f>
        <x:v>NOT_DISCLOSED</x:v>
      </x:c>
      <x:c r="J91" s="369" t="str">
        <x:f>IF(COUNTIFS('51_版本配置事实'!$B$6:$B$127,"PC-N90-ROOF-CAND",'51_版本配置事实'!$C$6:$C$127,$A91,'51_版本配置事实'!$J$6:$J$127,"STANDARD_CURRENT")&gt;0,"STANDARD_CURRENT","NOT_EVIDENCED")</x:f>
        <x:v>NOT_EVIDENCED</x:v>
      </x:c>
      <x:c r="K91" s="369" t="str">
        <x:f>IF(AND(E91=G91,E91&lt;&gt;"NOT_DISCLOSED",E91&lt;&gt;"CONFLICTED"),IF(COUNTIFS('50_发布会逐项主张'!$H$6:$H$137,$A91,'50_发布会逐项主张'!$O$6:$O$137,"ALL_PENGCHENG")&gt;0,"EXPLICIT_COMMON_ANNOUNCED_MAX","MATCHED_NOT_PROVED_COMMON"),"NOT_PROVED_COMMON")</x:f>
        <x:v>EXPLICIT_COMMON_ANNOUNCED_MAX</x:v>
      </x:c>
      <x:c r="L91" s="369" t="str">
        <x:f>IF(OR(C91="NOT_DISCLOSED",E91="NOT_DISCLOSED",C91="CONFLICTED",E91="CONFLICTED"),"UNRESOLVED",IF(C91=E91,"NO_CHANGE",IF(AND(C91="STANDARD_AT_RELEASE",E91="OPTIONAL_AT_RELEASE"),"STANDARD_TO_OPTIONAL",IF(AND(C91="OPTIONAL_AT_RELEASE",E91="STANDARD_AT_RELEASE"),"OPTIONAL_TO_STANDARD",IF(E91="STANDARD_AT_RELEASE","ADDED_STANDARD","REVIEW_CHANGE")))))</x:f>
        <x:v>UNRESOLVED</x:v>
      </x:c>
      <x:c r="M91" s="369" t="str">
        <x:f>IF(OR(E91="NOT_DISCLOSED",G91="NOT_DISCLOSED",E91="CONFLICTED",G91="CONFLICTED"),"UNRESOLVED",IF(E91=G91,"NO_CHANGE",IF(AND(E91="STANDARD_AT_RELEASE",G91="OPTIONAL_AT_RELEASE"),"STANDARD_TO_OPTIONAL",IF(AND(E91="OPTIONAL_AT_RELEASE",G91="STANDARD_AT_RELEASE"),"OPTIONAL_TO_STANDARD",IF(G91="STANDARD_AT_RELEASE","ADDED_STANDARD","REVIEW_CHANGE")))))</x:f>
        <x:v>NO_CHANGE</x:v>
      </x:c>
      <x:c r="N91" s="369" t="str">
        <x:f>IF(OR(G91="NOT_DISCLOSED",I91="NOT_DISCLOSED",G91="CONFLICTED",I91="CONFLICTED"),"UNRESOLVED",IF(G91=I91,"NO_CHANGE",IF(AND(G91="STANDARD_AT_RELEASE",I91="OPTIONAL_AT_RELEASE"),"STANDARD_TO_OPTIONAL",IF(AND(G91="OPTIONAL_AT_RELEASE",I91="STANDARD_AT_RELEASE"),"OPTIONAL_TO_STANDARD",IF(I91="STANDARD_AT_RELEASE","ADDED_STANDARD","REVIEW_CHANGE")))))</x:f>
        <x:v>UNRESOLVED</x:v>
      </x:c>
      <x:c r="O91" s="369" t="str">
        <x:v>OTHER</x:v>
      </x:c>
      <x:c r="P91" s="369" t="str">
        <x:v>DC_SAFETY_wading_mode</x:v>
      </x:c>
      <x:c r="Q91" s="369" t="n">
        <x:f>COUNTIF('50_发布会逐项主张'!$H$6:$H$137,A91)</x:f>
        <x:v>1</x:v>
      </x:c>
      <x:c r="R91" s="369" t="str">
        <x:f>IF(COUNTIFS('50_发布会逐项主张'!$H$6:$H$137,A91,'50_发布会逐项主张'!$X$6:$X$137,"&lt;&gt;NONE")&gt;0,"CONFLICTED","NONE")</x:f>
        <x:v>NONE</x:v>
      </x:c>
    </x:row>
    <x:row r="92" ht="48" customHeight="1">
      <x:c r="A92" s="19" t="str">
        <x:v>wading_radar_count</x:v>
      </x:c>
      <x:c r="B92" s="19" t="str">
        <x:v>SAFETY</x:v>
      </x:c>
      <x:c r="C92" s="19" t="str">
        <x:f>IF(COUNTIFS('51_版本配置事实'!$B$6:$B$127,"PC-N70-BASE-CAND",'51_版本配置事实'!$C$6:$C$127,$A92,'51_版本配置事实'!$T$6:$T$127,"&lt;&gt;NONE")&gt;0,"CONFLICTED",IF(COUNTIFS('51_版本配置事实'!$B$6:$B$127,"PC-N70-BASE-CAND",'51_版本配置事实'!$C$6:$C$127,$A92,'51_版本配置事实'!$I$6:$I$127,"STANDARD_AT_RELEASE")&gt;0,"STANDARD_AT_RELEASE",IF(COUNTIFS('51_版本配置事实'!$B$6:$B$127,"PC-N70-BASE-CAND",'51_版本配置事实'!$C$6:$C$127,$A92,'51_版本配置事实'!$I$6:$I$127,"OPTIONAL_AT_RELEASE")&gt;0,"OPTIONAL_AT_RELEASE",IF(COUNTIFS('51_版本配置事实'!$B$6:$B$127,"PC-N70-BASE-CAND",'51_版本配置事实'!$C$6:$C$127,$A92,'51_版本配置事实'!$I$6:$I$127,"SEPARATE_PURCHASE")&gt;0,"SEPARATE_PURCHASE",IF(COUNTIFS('51_版本配置事实'!$B$6:$B$127,"PC-N70-BASE-CAND",'51_版本配置事实'!$C$6:$C$127,$A92,'51_版本配置事实'!$I$6:$I$127,"EQUIPPED_STANDARD_UNCONFIRMED")&gt;0,"EQUIPPED_STANDARD_UNCONFIRMED",IF(COUNTIFS('51_版本配置事实'!$B$6:$B$127,"PC-N70-BASE-CAND",'51_版本配置事实'!$C$6:$C$127,$A92,'51_版本配置事实'!$I$6:$I$127,"SERIES_CAPABILITY")&gt;0,"SERIES_CAPABILITY",IF(COUNTIFS('51_版本配置事实'!$B$6:$B$127,"PC-N70-BASE-CAND",'51_版本配置事实'!$C$6:$C$127,$A92,'51_版本配置事实'!$I$6:$I$127,"NOT_DISCLOSED")&gt;0,"NOT_DISCLOSED","NOT_DISCLOSED")))))))</x:f>
        <x:v>NOT_DISCLOSED</x:v>
      </x:c>
      <x:c r="D92" s="19" t="str">
        <x:f>IF(COUNTIFS('51_版本配置事实'!$B$6:$B$127,"PC-N70-BASE-CAND",'51_版本配置事实'!$C$6:$C$127,$A92,'51_版本配置事实'!$J$6:$J$127,"STANDARD_CURRENT")&gt;0,"STANDARD_CURRENT","NOT_EVIDENCED")</x:f>
        <x:v>NOT_EVIDENCED</x:v>
      </x:c>
      <x:c r="E92" s="19" t="str">
        <x:f>IF(COUNTIFS('51_版本配置事实'!$B$6:$B$127,"PC-N70-MAX-CAND",'51_版本配置事实'!$C$6:$C$127,$A92,'51_版本配置事实'!$T$6:$T$127,"&lt;&gt;NONE")&gt;0,"CONFLICTED",IF(COUNTIFS('51_版本配置事实'!$B$6:$B$127,"PC-N70-MAX-CAND",'51_版本配置事实'!$C$6:$C$127,$A92,'51_版本配置事实'!$I$6:$I$127,"STANDARD_AT_RELEASE")&gt;0,"STANDARD_AT_RELEASE",IF(COUNTIFS('51_版本配置事实'!$B$6:$B$127,"PC-N70-MAX-CAND",'51_版本配置事实'!$C$6:$C$127,$A92,'51_版本配置事实'!$I$6:$I$127,"OPTIONAL_AT_RELEASE")&gt;0,"OPTIONAL_AT_RELEASE",IF(COUNTIFS('51_版本配置事实'!$B$6:$B$127,"PC-N70-MAX-CAND",'51_版本配置事实'!$C$6:$C$127,$A92,'51_版本配置事实'!$I$6:$I$127,"SEPARATE_PURCHASE")&gt;0,"SEPARATE_PURCHASE",IF(COUNTIFS('51_版本配置事实'!$B$6:$B$127,"PC-N70-MAX-CAND",'51_版本配置事实'!$C$6:$C$127,$A92,'51_版本配置事实'!$I$6:$I$127,"EQUIPPED_STANDARD_UNCONFIRMED")&gt;0,"EQUIPPED_STANDARD_UNCONFIRMED",IF(COUNTIFS('51_版本配置事实'!$B$6:$B$127,"PC-N70-MAX-CAND",'51_版本配置事实'!$C$6:$C$127,$A92,'51_版本配置事实'!$I$6:$I$127,"SERIES_CAPABILITY")&gt;0,"SERIES_CAPABILITY",IF(COUNTIFS('51_版本配置事实'!$B$6:$B$127,"PC-N70-MAX-CAND",'51_版本配置事实'!$C$6:$C$127,$A92,'51_版本配置事实'!$I$6:$I$127,"NOT_DISCLOSED")&gt;0,"NOT_DISCLOSED","NOT_DISCLOSED")))))))</x:f>
        <x:v>STANDARD_AT_RELEASE</x:v>
      </x:c>
      <x:c r="F92" s="19" t="str">
        <x:f>IF(COUNTIFS('51_版本配置事实'!$B$6:$B$127,"PC-N70-MAX-CAND",'51_版本配置事实'!$C$6:$C$127,$A92,'51_版本配置事实'!$J$6:$J$127,"STANDARD_CURRENT")&gt;0,"STANDARD_CURRENT","NOT_EVIDENCED")</x:f>
        <x:v>NOT_EVIDENCED</x:v>
      </x:c>
      <x:c r="G92" s="19" t="str">
        <x:f>IF(COUNTIFS('51_版本配置事实'!$B$6:$B$127,"PC-N90-MAX-CAND",'51_版本配置事实'!$C$6:$C$127,$A92,'51_版本配置事实'!$T$6:$T$127,"&lt;&gt;NONE")&gt;0,"CONFLICTED",IF(COUNTIFS('51_版本配置事实'!$B$6:$B$127,"PC-N90-MAX-CAND",'51_版本配置事实'!$C$6:$C$127,$A92,'51_版本配置事实'!$I$6:$I$127,"STANDARD_AT_RELEASE")&gt;0,"STANDARD_AT_RELEASE",IF(COUNTIFS('51_版本配置事实'!$B$6:$B$127,"PC-N90-MAX-CAND",'51_版本配置事实'!$C$6:$C$127,$A92,'51_版本配置事实'!$I$6:$I$127,"OPTIONAL_AT_RELEASE")&gt;0,"OPTIONAL_AT_RELEASE",IF(COUNTIFS('51_版本配置事实'!$B$6:$B$127,"PC-N90-MAX-CAND",'51_版本配置事实'!$C$6:$C$127,$A92,'51_版本配置事实'!$I$6:$I$127,"SEPARATE_PURCHASE")&gt;0,"SEPARATE_PURCHASE",IF(COUNTIFS('51_版本配置事实'!$B$6:$B$127,"PC-N90-MAX-CAND",'51_版本配置事实'!$C$6:$C$127,$A92,'51_版本配置事实'!$I$6:$I$127,"EQUIPPED_STANDARD_UNCONFIRMED")&gt;0,"EQUIPPED_STANDARD_UNCONFIRMED",IF(COUNTIFS('51_版本配置事实'!$B$6:$B$127,"PC-N90-MAX-CAND",'51_版本配置事实'!$C$6:$C$127,$A92,'51_版本配置事实'!$I$6:$I$127,"SERIES_CAPABILITY")&gt;0,"SERIES_CAPABILITY",IF(COUNTIFS('51_版本配置事实'!$B$6:$B$127,"PC-N90-MAX-CAND",'51_版本配置事实'!$C$6:$C$127,$A92,'51_版本配置事实'!$I$6:$I$127,"NOT_DISCLOSED")&gt;0,"NOT_DISCLOSED","NOT_DISCLOSED")))))))</x:f>
        <x:v>EQUIPPED_STANDARD_UNCONFIRMED</x:v>
      </x:c>
      <x:c r="H92" s="19" t="str">
        <x:f>IF(COUNTIFS('51_版本配置事实'!$B$6:$B$127,"PC-N90-MAX-CAND",'51_版本配置事实'!$C$6:$C$127,$A92,'51_版本配置事实'!$J$6:$J$127,"STANDARD_CURRENT")&gt;0,"STANDARD_CURRENT","NOT_EVIDENCED")</x:f>
        <x:v>NOT_EVIDENCED</x:v>
      </x:c>
      <x:c r="I92" s="19" t="str">
        <x:f>IF(COUNTIFS('51_版本配置事实'!$B$6:$B$127,"PC-N90-ROOF-CAND",'51_版本配置事实'!$C$6:$C$127,$A92,'51_版本配置事实'!$T$6:$T$127,"&lt;&gt;NONE")&gt;0,"CONFLICTED",IF(COUNTIFS('51_版本配置事实'!$B$6:$B$127,"PC-N90-ROOF-CAND",'51_版本配置事实'!$C$6:$C$127,$A92,'51_版本配置事实'!$I$6:$I$127,"STANDARD_AT_RELEASE")&gt;0,"STANDARD_AT_RELEASE",IF(COUNTIFS('51_版本配置事实'!$B$6:$B$127,"PC-N90-ROOF-CAND",'51_版本配置事实'!$C$6:$C$127,$A92,'51_版本配置事实'!$I$6:$I$127,"OPTIONAL_AT_RELEASE")&gt;0,"OPTIONAL_AT_RELEASE",IF(COUNTIFS('51_版本配置事实'!$B$6:$B$127,"PC-N90-ROOF-CAND",'51_版本配置事实'!$C$6:$C$127,$A92,'51_版本配置事实'!$I$6:$I$127,"SEPARATE_PURCHASE")&gt;0,"SEPARATE_PURCHASE",IF(COUNTIFS('51_版本配置事实'!$B$6:$B$127,"PC-N90-ROOF-CAND",'51_版本配置事实'!$C$6:$C$127,$A92,'51_版本配置事实'!$I$6:$I$127,"EQUIPPED_STANDARD_UNCONFIRMED")&gt;0,"EQUIPPED_STANDARD_UNCONFIRMED",IF(COUNTIFS('51_版本配置事实'!$B$6:$B$127,"PC-N90-ROOF-CAND",'51_版本配置事实'!$C$6:$C$127,$A92,'51_版本配置事实'!$I$6:$I$127,"SERIES_CAPABILITY")&gt;0,"SERIES_CAPABILITY",IF(COUNTIFS('51_版本配置事实'!$B$6:$B$127,"PC-N90-ROOF-CAND",'51_版本配置事实'!$C$6:$C$127,$A92,'51_版本配置事实'!$I$6:$I$127,"NOT_DISCLOSED")&gt;0,"NOT_DISCLOSED","NOT_DISCLOSED")))))))</x:f>
        <x:v>NOT_DISCLOSED</x:v>
      </x:c>
      <x:c r="J92" s="19" t="str">
        <x:f>IF(COUNTIFS('51_版本配置事实'!$B$6:$B$127,"PC-N90-ROOF-CAND",'51_版本配置事实'!$C$6:$C$127,$A92,'51_版本配置事实'!$J$6:$J$127,"STANDARD_CURRENT")&gt;0,"STANDARD_CURRENT","NOT_EVIDENCED")</x:f>
        <x:v>NOT_EVIDENCED</x:v>
      </x:c>
      <x:c r="K92" s="19" t="str">
        <x:f>IF(AND(E92=G92,E92&lt;&gt;"NOT_DISCLOSED",E92&lt;&gt;"CONFLICTED"),IF(COUNTIFS('50_发布会逐项主张'!$H$6:$H$137,$A92,'50_发布会逐项主张'!$O$6:$O$137,"ALL_PENGCHENG")&gt;0,"EXPLICIT_COMMON_ANNOUNCED_MAX","MATCHED_NOT_PROVED_COMMON"),"NOT_PROVED_COMMON")</x:f>
        <x:v>NOT_PROVED_COMMON</x:v>
      </x:c>
      <x:c r="L92" s="19" t="str">
        <x:f>IF(OR(C92="NOT_DISCLOSED",E92="NOT_DISCLOSED",C92="CONFLICTED",E92="CONFLICTED"),"UNRESOLVED",IF(C92=E92,"NO_CHANGE",IF(AND(C92="STANDARD_AT_RELEASE",E92="OPTIONAL_AT_RELEASE"),"STANDARD_TO_OPTIONAL",IF(AND(C92="OPTIONAL_AT_RELEASE",E92="STANDARD_AT_RELEASE"),"OPTIONAL_TO_STANDARD",IF(E92="STANDARD_AT_RELEASE","ADDED_STANDARD","REVIEW_CHANGE")))))</x:f>
        <x:v>UNRESOLVED</x:v>
      </x:c>
      <x:c r="M92" s="19" t="str">
        <x:f>IF(OR(E92="NOT_DISCLOSED",G92="NOT_DISCLOSED",E92="CONFLICTED",G92="CONFLICTED"),"UNRESOLVED",IF(E92=G92,"NO_CHANGE",IF(AND(E92="STANDARD_AT_RELEASE",G92="OPTIONAL_AT_RELEASE"),"STANDARD_TO_OPTIONAL",IF(AND(E92="OPTIONAL_AT_RELEASE",G92="STANDARD_AT_RELEASE"),"OPTIONAL_TO_STANDARD",IF(G92="STANDARD_AT_RELEASE","ADDED_STANDARD","REVIEW_CHANGE")))))</x:f>
        <x:v>REVIEW_CHANGE</x:v>
      </x:c>
      <x:c r="N92" s="19" t="str">
        <x:f>IF(OR(G92="NOT_DISCLOSED",I92="NOT_DISCLOSED",G92="CONFLICTED",I92="CONFLICTED"),"UNRESOLVED",IF(G92=I92,"NO_CHANGE",IF(AND(G92="STANDARD_AT_RELEASE",I92="OPTIONAL_AT_RELEASE"),"STANDARD_TO_OPTIONAL",IF(AND(G92="OPTIONAL_AT_RELEASE",I92="STANDARD_AT_RELEASE"),"OPTIONAL_TO_STANDARD",IF(I92="STANDARD_AT_RELEASE","ADDED_STANDARD","REVIEW_CHANGE")))))</x:f>
        <x:v>UNRESOLVED</x:v>
      </x:c>
      <x:c r="O92" s="19" t="str">
        <x:v>OTHER</x:v>
      </x:c>
      <x:c r="P92" s="19" t="str">
        <x:v>DC_SAFETY_wading_radar_count</x:v>
      </x:c>
      <x:c r="Q92" s="19" t="n">
        <x:f>COUNTIF('50_发布会逐项主张'!$H$6:$H$137,A92)</x:f>
        <x:v>2</x:v>
      </x:c>
      <x:c r="R92" s="19" t="str">
        <x:f>IF(COUNTIFS('50_发布会逐项主张'!$H$6:$H$137,A92,'50_发布会逐项主张'!$X$6:$X$137,"&lt;&gt;NONE")&gt;0,"CONFLICTED","NONE")</x:f>
        <x:v>NONE</x:v>
      </x:c>
    </x:row>
    <x:row r="93" ht="48" customHeight="1">
      <x:c r="A93" s="369" t="str">
        <x:v>waterproof_key_parts</x:v>
      </x:c>
      <x:c r="B93" s="369" t="str">
        <x:v>SAFETY</x:v>
      </x:c>
      <x:c r="C93" s="369" t="str">
        <x:f>IF(COUNTIFS('51_版本配置事实'!$B$6:$B$127,"PC-N70-BASE-CAND",'51_版本配置事实'!$C$6:$C$127,$A93,'51_版本配置事实'!$T$6:$T$127,"&lt;&gt;NONE")&gt;0,"CONFLICTED",IF(COUNTIFS('51_版本配置事实'!$B$6:$B$127,"PC-N70-BASE-CAND",'51_版本配置事实'!$C$6:$C$127,$A93,'51_版本配置事实'!$I$6:$I$127,"STANDARD_AT_RELEASE")&gt;0,"STANDARD_AT_RELEASE",IF(COUNTIFS('51_版本配置事实'!$B$6:$B$127,"PC-N70-BASE-CAND",'51_版本配置事实'!$C$6:$C$127,$A93,'51_版本配置事实'!$I$6:$I$127,"OPTIONAL_AT_RELEASE")&gt;0,"OPTIONAL_AT_RELEASE",IF(COUNTIFS('51_版本配置事实'!$B$6:$B$127,"PC-N70-BASE-CAND",'51_版本配置事实'!$C$6:$C$127,$A93,'51_版本配置事实'!$I$6:$I$127,"SEPARATE_PURCHASE")&gt;0,"SEPARATE_PURCHASE",IF(COUNTIFS('51_版本配置事实'!$B$6:$B$127,"PC-N70-BASE-CAND",'51_版本配置事实'!$C$6:$C$127,$A93,'51_版本配置事实'!$I$6:$I$127,"EQUIPPED_STANDARD_UNCONFIRMED")&gt;0,"EQUIPPED_STANDARD_UNCONFIRMED",IF(COUNTIFS('51_版本配置事实'!$B$6:$B$127,"PC-N70-BASE-CAND",'51_版本配置事实'!$C$6:$C$127,$A93,'51_版本配置事实'!$I$6:$I$127,"SERIES_CAPABILITY")&gt;0,"SERIES_CAPABILITY",IF(COUNTIFS('51_版本配置事实'!$B$6:$B$127,"PC-N70-BASE-CAND",'51_版本配置事实'!$C$6:$C$127,$A93,'51_版本配置事实'!$I$6:$I$127,"NOT_DISCLOSED")&gt;0,"NOT_DISCLOSED","NOT_DISCLOSED")))))))</x:f>
        <x:v>NOT_DISCLOSED</x:v>
      </x:c>
      <x:c r="D93" s="369" t="str">
        <x:f>IF(COUNTIFS('51_版本配置事实'!$B$6:$B$127,"PC-N70-BASE-CAND",'51_版本配置事实'!$C$6:$C$127,$A93,'51_版本配置事实'!$J$6:$J$127,"STANDARD_CURRENT")&gt;0,"STANDARD_CURRENT","NOT_EVIDENCED")</x:f>
        <x:v>NOT_EVIDENCED</x:v>
      </x:c>
      <x:c r="E93" s="369" t="str">
        <x:f>IF(COUNTIFS('51_版本配置事实'!$B$6:$B$127,"PC-N70-MAX-CAND",'51_版本配置事实'!$C$6:$C$127,$A93,'51_版本配置事实'!$T$6:$T$127,"&lt;&gt;NONE")&gt;0,"CONFLICTED",IF(COUNTIFS('51_版本配置事实'!$B$6:$B$127,"PC-N70-MAX-CAND",'51_版本配置事实'!$C$6:$C$127,$A93,'51_版本配置事实'!$I$6:$I$127,"STANDARD_AT_RELEASE")&gt;0,"STANDARD_AT_RELEASE",IF(COUNTIFS('51_版本配置事实'!$B$6:$B$127,"PC-N70-MAX-CAND",'51_版本配置事实'!$C$6:$C$127,$A93,'51_版本配置事实'!$I$6:$I$127,"OPTIONAL_AT_RELEASE")&gt;0,"OPTIONAL_AT_RELEASE",IF(COUNTIFS('51_版本配置事实'!$B$6:$B$127,"PC-N70-MAX-CAND",'51_版本配置事实'!$C$6:$C$127,$A93,'51_版本配置事实'!$I$6:$I$127,"SEPARATE_PURCHASE")&gt;0,"SEPARATE_PURCHASE",IF(COUNTIFS('51_版本配置事实'!$B$6:$B$127,"PC-N70-MAX-CAND",'51_版本配置事实'!$C$6:$C$127,$A93,'51_版本配置事实'!$I$6:$I$127,"EQUIPPED_STANDARD_UNCONFIRMED")&gt;0,"EQUIPPED_STANDARD_UNCONFIRMED",IF(COUNTIFS('51_版本配置事实'!$B$6:$B$127,"PC-N70-MAX-CAND",'51_版本配置事实'!$C$6:$C$127,$A93,'51_版本配置事实'!$I$6:$I$127,"SERIES_CAPABILITY")&gt;0,"SERIES_CAPABILITY",IF(COUNTIFS('51_版本配置事实'!$B$6:$B$127,"PC-N70-MAX-CAND",'51_版本配置事实'!$C$6:$C$127,$A93,'51_版本配置事实'!$I$6:$I$127,"NOT_DISCLOSED")&gt;0,"NOT_DISCLOSED","NOT_DISCLOSED")))))))</x:f>
        <x:v>STANDARD_AT_RELEASE</x:v>
      </x:c>
      <x:c r="F93" s="369" t="str">
        <x:f>IF(COUNTIFS('51_版本配置事实'!$B$6:$B$127,"PC-N70-MAX-CAND",'51_版本配置事实'!$C$6:$C$127,$A93,'51_版本配置事实'!$J$6:$J$127,"STANDARD_CURRENT")&gt;0,"STANDARD_CURRENT","NOT_EVIDENCED")</x:f>
        <x:v>NOT_EVIDENCED</x:v>
      </x:c>
      <x:c r="G93" s="369" t="str">
        <x:f>IF(COUNTIFS('51_版本配置事实'!$B$6:$B$127,"PC-N90-MAX-CAND",'51_版本配置事实'!$C$6:$C$127,$A93,'51_版本配置事实'!$T$6:$T$127,"&lt;&gt;NONE")&gt;0,"CONFLICTED",IF(COUNTIFS('51_版本配置事实'!$B$6:$B$127,"PC-N90-MAX-CAND",'51_版本配置事实'!$C$6:$C$127,$A93,'51_版本配置事实'!$I$6:$I$127,"STANDARD_AT_RELEASE")&gt;0,"STANDARD_AT_RELEASE",IF(COUNTIFS('51_版本配置事实'!$B$6:$B$127,"PC-N90-MAX-CAND",'51_版本配置事实'!$C$6:$C$127,$A93,'51_版本配置事实'!$I$6:$I$127,"OPTIONAL_AT_RELEASE")&gt;0,"OPTIONAL_AT_RELEASE",IF(COUNTIFS('51_版本配置事实'!$B$6:$B$127,"PC-N90-MAX-CAND",'51_版本配置事实'!$C$6:$C$127,$A93,'51_版本配置事实'!$I$6:$I$127,"SEPARATE_PURCHASE")&gt;0,"SEPARATE_PURCHASE",IF(COUNTIFS('51_版本配置事实'!$B$6:$B$127,"PC-N90-MAX-CAND",'51_版本配置事实'!$C$6:$C$127,$A93,'51_版本配置事实'!$I$6:$I$127,"EQUIPPED_STANDARD_UNCONFIRMED")&gt;0,"EQUIPPED_STANDARD_UNCONFIRMED",IF(COUNTIFS('51_版本配置事实'!$B$6:$B$127,"PC-N90-MAX-CAND",'51_版本配置事实'!$C$6:$C$127,$A93,'51_版本配置事实'!$I$6:$I$127,"SERIES_CAPABILITY")&gt;0,"SERIES_CAPABILITY",IF(COUNTIFS('51_版本配置事实'!$B$6:$B$127,"PC-N90-MAX-CAND",'51_版本配置事实'!$C$6:$C$127,$A93,'51_版本配置事实'!$I$6:$I$127,"NOT_DISCLOSED")&gt;0,"NOT_DISCLOSED","NOT_DISCLOSED")))))))</x:f>
        <x:v>NOT_DISCLOSED</x:v>
      </x:c>
      <x:c r="H93" s="369" t="str">
        <x:f>IF(COUNTIFS('51_版本配置事实'!$B$6:$B$127,"PC-N90-MAX-CAND",'51_版本配置事实'!$C$6:$C$127,$A93,'51_版本配置事实'!$J$6:$J$127,"STANDARD_CURRENT")&gt;0,"STANDARD_CURRENT","NOT_EVIDENCED")</x:f>
        <x:v>NOT_EVIDENCED</x:v>
      </x:c>
      <x:c r="I93" s="369" t="str">
        <x:f>IF(COUNTIFS('51_版本配置事实'!$B$6:$B$127,"PC-N90-ROOF-CAND",'51_版本配置事实'!$C$6:$C$127,$A93,'51_版本配置事实'!$T$6:$T$127,"&lt;&gt;NONE")&gt;0,"CONFLICTED",IF(COUNTIFS('51_版本配置事实'!$B$6:$B$127,"PC-N90-ROOF-CAND",'51_版本配置事实'!$C$6:$C$127,$A93,'51_版本配置事实'!$I$6:$I$127,"STANDARD_AT_RELEASE")&gt;0,"STANDARD_AT_RELEASE",IF(COUNTIFS('51_版本配置事实'!$B$6:$B$127,"PC-N90-ROOF-CAND",'51_版本配置事实'!$C$6:$C$127,$A93,'51_版本配置事实'!$I$6:$I$127,"OPTIONAL_AT_RELEASE")&gt;0,"OPTIONAL_AT_RELEASE",IF(COUNTIFS('51_版本配置事实'!$B$6:$B$127,"PC-N90-ROOF-CAND",'51_版本配置事实'!$C$6:$C$127,$A93,'51_版本配置事实'!$I$6:$I$127,"SEPARATE_PURCHASE")&gt;0,"SEPARATE_PURCHASE",IF(COUNTIFS('51_版本配置事实'!$B$6:$B$127,"PC-N90-ROOF-CAND",'51_版本配置事实'!$C$6:$C$127,$A93,'51_版本配置事实'!$I$6:$I$127,"EQUIPPED_STANDARD_UNCONFIRMED")&gt;0,"EQUIPPED_STANDARD_UNCONFIRMED",IF(COUNTIFS('51_版本配置事实'!$B$6:$B$127,"PC-N90-ROOF-CAND",'51_版本配置事实'!$C$6:$C$127,$A93,'51_版本配置事实'!$I$6:$I$127,"SERIES_CAPABILITY")&gt;0,"SERIES_CAPABILITY",IF(COUNTIFS('51_版本配置事实'!$B$6:$B$127,"PC-N90-ROOF-CAND",'51_版本配置事实'!$C$6:$C$127,$A93,'51_版本配置事实'!$I$6:$I$127,"NOT_DISCLOSED")&gt;0,"NOT_DISCLOSED","NOT_DISCLOSED")))))))</x:f>
        <x:v>NOT_DISCLOSED</x:v>
      </x:c>
      <x:c r="J93" s="369" t="str">
        <x:f>IF(COUNTIFS('51_版本配置事实'!$B$6:$B$127,"PC-N90-ROOF-CAND",'51_版本配置事实'!$C$6:$C$127,$A93,'51_版本配置事实'!$J$6:$J$127,"STANDARD_CURRENT")&gt;0,"STANDARD_CURRENT","NOT_EVIDENCED")</x:f>
        <x:v>NOT_EVIDENCED</x:v>
      </x:c>
      <x:c r="K93" s="369" t="str">
        <x:f>IF(AND(E93=G93,E93&lt;&gt;"NOT_DISCLOSED",E93&lt;&gt;"CONFLICTED"),IF(COUNTIFS('50_发布会逐项主张'!$H$6:$H$137,$A93,'50_发布会逐项主张'!$O$6:$O$137,"ALL_PENGCHENG")&gt;0,"EXPLICIT_COMMON_ANNOUNCED_MAX","MATCHED_NOT_PROVED_COMMON"),"NOT_PROVED_COMMON")</x:f>
        <x:v>NOT_PROVED_COMMON</x:v>
      </x:c>
      <x:c r="L93" s="369" t="str">
        <x:f>IF(OR(C93="NOT_DISCLOSED",E93="NOT_DISCLOSED",C93="CONFLICTED",E93="CONFLICTED"),"UNRESOLVED",IF(C93=E93,"NO_CHANGE",IF(AND(C93="STANDARD_AT_RELEASE",E93="OPTIONAL_AT_RELEASE"),"STANDARD_TO_OPTIONAL",IF(AND(C93="OPTIONAL_AT_RELEASE",E93="STANDARD_AT_RELEASE"),"OPTIONAL_TO_STANDARD",IF(E93="STANDARD_AT_RELEASE","ADDED_STANDARD","REVIEW_CHANGE")))))</x:f>
        <x:v>UNRESOLVED</x:v>
      </x:c>
      <x:c r="M93" s="369" t="str">
        <x:f>IF(OR(E93="NOT_DISCLOSED",G93="NOT_DISCLOSED",E93="CONFLICTED",G93="CONFLICTED"),"UNRESOLVED",IF(E93=G93,"NO_CHANGE",IF(AND(E93="STANDARD_AT_RELEASE",G93="OPTIONAL_AT_RELEASE"),"STANDARD_TO_OPTIONAL",IF(AND(E93="OPTIONAL_AT_RELEASE",G93="STANDARD_AT_RELEASE"),"OPTIONAL_TO_STANDARD",IF(G93="STANDARD_AT_RELEASE","ADDED_STANDARD","REVIEW_CHANGE")))))</x:f>
        <x:v>UNRESOLVED</x:v>
      </x:c>
      <x:c r="N93" s="369" t="str">
        <x:f>IF(OR(G93="NOT_DISCLOSED",I93="NOT_DISCLOSED",G93="CONFLICTED",I93="CONFLICTED"),"UNRESOLVED",IF(G93=I93,"NO_CHANGE",IF(AND(G93="STANDARD_AT_RELEASE",I93="OPTIONAL_AT_RELEASE"),"STANDARD_TO_OPTIONAL",IF(AND(G93="OPTIONAL_AT_RELEASE",I93="STANDARD_AT_RELEASE"),"OPTIONAL_TO_STANDARD",IF(I93="STANDARD_AT_RELEASE","ADDED_STANDARD","REVIEW_CHANGE")))))</x:f>
        <x:v>UNRESOLVED</x:v>
      </x:c>
      <x:c r="O93" s="369" t="str">
        <x:v>OTHER</x:v>
      </x:c>
      <x:c r="P93" s="369" t="str">
        <x:v>DC_SAFETY_waterproof_key_parts</x:v>
      </x:c>
      <x:c r="Q93" s="369" t="n">
        <x:f>COUNTIF('50_发布会逐项主张'!$H$6:$H$137,A93)</x:f>
        <x:v>1</x:v>
      </x:c>
      <x:c r="R93" s="369" t="str">
        <x:f>IF(COUNTIFS('50_发布会逐项主张'!$H$6:$H$137,A93,'50_发布会逐项主张'!$X$6:$X$137,"&lt;&gt;NONE")&gt;0,"CONFLICTED","NONE")</x:f>
        <x:v>NONE</x:v>
      </x:c>
    </x:row>
    <x:row r="94" ht="48" customHeight="1">
      <x:c r="A94" s="19" t="str">
        <x:v>wheel_designs_21</x:v>
      </x:c>
      <x:c r="B94" s="19" t="str">
        <x:v>EXTERIOR</x:v>
      </x:c>
      <x:c r="C94" s="19" t="str">
        <x:f>IF(COUNTIFS('51_版本配置事实'!$B$6:$B$127,"PC-N70-BASE-CAND",'51_版本配置事实'!$C$6:$C$127,$A94,'51_版本配置事实'!$T$6:$T$127,"&lt;&gt;NONE")&gt;0,"CONFLICTED",IF(COUNTIFS('51_版本配置事实'!$B$6:$B$127,"PC-N70-BASE-CAND",'51_版本配置事实'!$C$6:$C$127,$A94,'51_版本配置事实'!$I$6:$I$127,"STANDARD_AT_RELEASE")&gt;0,"STANDARD_AT_RELEASE",IF(COUNTIFS('51_版本配置事实'!$B$6:$B$127,"PC-N70-BASE-CAND",'51_版本配置事实'!$C$6:$C$127,$A94,'51_版本配置事实'!$I$6:$I$127,"OPTIONAL_AT_RELEASE")&gt;0,"OPTIONAL_AT_RELEASE",IF(COUNTIFS('51_版本配置事实'!$B$6:$B$127,"PC-N70-BASE-CAND",'51_版本配置事实'!$C$6:$C$127,$A94,'51_版本配置事实'!$I$6:$I$127,"SEPARATE_PURCHASE")&gt;0,"SEPARATE_PURCHASE",IF(COUNTIFS('51_版本配置事实'!$B$6:$B$127,"PC-N70-BASE-CAND",'51_版本配置事实'!$C$6:$C$127,$A94,'51_版本配置事实'!$I$6:$I$127,"EQUIPPED_STANDARD_UNCONFIRMED")&gt;0,"EQUIPPED_STANDARD_UNCONFIRMED",IF(COUNTIFS('51_版本配置事实'!$B$6:$B$127,"PC-N70-BASE-CAND",'51_版本配置事实'!$C$6:$C$127,$A94,'51_版本配置事实'!$I$6:$I$127,"SERIES_CAPABILITY")&gt;0,"SERIES_CAPABILITY",IF(COUNTIFS('51_版本配置事实'!$B$6:$B$127,"PC-N70-BASE-CAND",'51_版本配置事实'!$C$6:$C$127,$A94,'51_版本配置事实'!$I$6:$I$127,"NOT_DISCLOSED")&gt;0,"NOT_DISCLOSED","NOT_DISCLOSED")))))))</x:f>
        <x:v>NOT_DISCLOSED</x:v>
      </x:c>
      <x:c r="D94" s="19" t="str">
        <x:f>IF(COUNTIFS('51_版本配置事实'!$B$6:$B$127,"PC-N70-BASE-CAND",'51_版本配置事实'!$C$6:$C$127,$A94,'51_版本配置事实'!$J$6:$J$127,"STANDARD_CURRENT")&gt;0,"STANDARD_CURRENT","NOT_EVIDENCED")</x:f>
        <x:v>NOT_EVIDENCED</x:v>
      </x:c>
      <x:c r="E94" s="19" t="str">
        <x:f>IF(COUNTIFS('51_版本配置事实'!$B$6:$B$127,"PC-N70-MAX-CAND",'51_版本配置事实'!$C$6:$C$127,$A94,'51_版本配置事实'!$T$6:$T$127,"&lt;&gt;NONE")&gt;0,"CONFLICTED",IF(COUNTIFS('51_版本配置事实'!$B$6:$B$127,"PC-N70-MAX-CAND",'51_版本配置事实'!$C$6:$C$127,$A94,'51_版本配置事实'!$I$6:$I$127,"STANDARD_AT_RELEASE")&gt;0,"STANDARD_AT_RELEASE",IF(COUNTIFS('51_版本配置事实'!$B$6:$B$127,"PC-N70-MAX-CAND",'51_版本配置事实'!$C$6:$C$127,$A94,'51_版本配置事实'!$I$6:$I$127,"OPTIONAL_AT_RELEASE")&gt;0,"OPTIONAL_AT_RELEASE",IF(COUNTIFS('51_版本配置事实'!$B$6:$B$127,"PC-N70-MAX-CAND",'51_版本配置事实'!$C$6:$C$127,$A94,'51_版本配置事实'!$I$6:$I$127,"SEPARATE_PURCHASE")&gt;0,"SEPARATE_PURCHASE",IF(COUNTIFS('51_版本配置事实'!$B$6:$B$127,"PC-N70-MAX-CAND",'51_版本配置事实'!$C$6:$C$127,$A94,'51_版本配置事实'!$I$6:$I$127,"EQUIPPED_STANDARD_UNCONFIRMED")&gt;0,"EQUIPPED_STANDARD_UNCONFIRMED",IF(COUNTIFS('51_版本配置事实'!$B$6:$B$127,"PC-N70-MAX-CAND",'51_版本配置事实'!$C$6:$C$127,$A94,'51_版本配置事实'!$I$6:$I$127,"SERIES_CAPABILITY")&gt;0,"SERIES_CAPABILITY",IF(COUNTIFS('51_版本配置事实'!$B$6:$B$127,"PC-N70-MAX-CAND",'51_版本配置事实'!$C$6:$C$127,$A94,'51_版本配置事实'!$I$6:$I$127,"NOT_DISCLOSED")&gt;0,"NOT_DISCLOSED","NOT_DISCLOSED")))))))</x:f>
        <x:v>NOT_DISCLOSED</x:v>
      </x:c>
      <x:c r="F94" s="19" t="str">
        <x:f>IF(COUNTIFS('51_版本配置事实'!$B$6:$B$127,"PC-N70-MAX-CAND",'51_版本配置事实'!$C$6:$C$127,$A94,'51_版本配置事实'!$J$6:$J$127,"STANDARD_CURRENT")&gt;0,"STANDARD_CURRENT","NOT_EVIDENCED")</x:f>
        <x:v>NOT_EVIDENCED</x:v>
      </x:c>
      <x:c r="G94" s="19" t="str">
        <x:f>IF(COUNTIFS('51_版本配置事实'!$B$6:$B$127,"PC-N90-MAX-CAND",'51_版本配置事实'!$C$6:$C$127,$A94,'51_版本配置事实'!$T$6:$T$127,"&lt;&gt;NONE")&gt;0,"CONFLICTED",IF(COUNTIFS('51_版本配置事实'!$B$6:$B$127,"PC-N90-MAX-CAND",'51_版本配置事实'!$C$6:$C$127,$A94,'51_版本配置事实'!$I$6:$I$127,"STANDARD_AT_RELEASE")&gt;0,"STANDARD_AT_RELEASE",IF(COUNTIFS('51_版本配置事实'!$B$6:$B$127,"PC-N90-MAX-CAND",'51_版本配置事实'!$C$6:$C$127,$A94,'51_版本配置事实'!$I$6:$I$127,"OPTIONAL_AT_RELEASE")&gt;0,"OPTIONAL_AT_RELEASE",IF(COUNTIFS('51_版本配置事实'!$B$6:$B$127,"PC-N90-MAX-CAND",'51_版本配置事实'!$C$6:$C$127,$A94,'51_版本配置事实'!$I$6:$I$127,"SEPARATE_PURCHASE")&gt;0,"SEPARATE_PURCHASE",IF(COUNTIFS('51_版本配置事实'!$B$6:$B$127,"PC-N90-MAX-CAND",'51_版本配置事实'!$C$6:$C$127,$A94,'51_版本配置事实'!$I$6:$I$127,"EQUIPPED_STANDARD_UNCONFIRMED")&gt;0,"EQUIPPED_STANDARD_UNCONFIRMED",IF(COUNTIFS('51_版本配置事实'!$B$6:$B$127,"PC-N90-MAX-CAND",'51_版本配置事实'!$C$6:$C$127,$A94,'51_版本配置事实'!$I$6:$I$127,"SERIES_CAPABILITY")&gt;0,"SERIES_CAPABILITY",IF(COUNTIFS('51_版本配置事实'!$B$6:$B$127,"PC-N90-MAX-CAND",'51_版本配置事实'!$C$6:$C$127,$A94,'51_版本配置事实'!$I$6:$I$127,"NOT_DISCLOSED")&gt;0,"NOT_DISCLOSED","NOT_DISCLOSED")))))))</x:f>
        <x:v>OPTIONAL_AT_RELEASE</x:v>
      </x:c>
      <x:c r="H94" s="19" t="str">
        <x:f>IF(COUNTIFS('51_版本配置事实'!$B$6:$B$127,"PC-N90-MAX-CAND",'51_版本配置事实'!$C$6:$C$127,$A94,'51_版本配置事实'!$J$6:$J$127,"STANDARD_CURRENT")&gt;0,"STANDARD_CURRENT","NOT_EVIDENCED")</x:f>
        <x:v>NOT_EVIDENCED</x:v>
      </x:c>
      <x:c r="I94" s="19" t="str">
        <x:f>IF(COUNTIFS('51_版本配置事实'!$B$6:$B$127,"PC-N90-ROOF-CAND",'51_版本配置事实'!$C$6:$C$127,$A94,'51_版本配置事实'!$T$6:$T$127,"&lt;&gt;NONE")&gt;0,"CONFLICTED",IF(COUNTIFS('51_版本配置事实'!$B$6:$B$127,"PC-N90-ROOF-CAND",'51_版本配置事实'!$C$6:$C$127,$A94,'51_版本配置事实'!$I$6:$I$127,"STANDARD_AT_RELEASE")&gt;0,"STANDARD_AT_RELEASE",IF(COUNTIFS('51_版本配置事实'!$B$6:$B$127,"PC-N90-ROOF-CAND",'51_版本配置事实'!$C$6:$C$127,$A94,'51_版本配置事实'!$I$6:$I$127,"OPTIONAL_AT_RELEASE")&gt;0,"OPTIONAL_AT_RELEASE",IF(COUNTIFS('51_版本配置事实'!$B$6:$B$127,"PC-N90-ROOF-CAND",'51_版本配置事实'!$C$6:$C$127,$A94,'51_版本配置事实'!$I$6:$I$127,"SEPARATE_PURCHASE")&gt;0,"SEPARATE_PURCHASE",IF(COUNTIFS('51_版本配置事实'!$B$6:$B$127,"PC-N90-ROOF-CAND",'51_版本配置事实'!$C$6:$C$127,$A94,'51_版本配置事实'!$I$6:$I$127,"EQUIPPED_STANDARD_UNCONFIRMED")&gt;0,"EQUIPPED_STANDARD_UNCONFIRMED",IF(COUNTIFS('51_版本配置事实'!$B$6:$B$127,"PC-N90-ROOF-CAND",'51_版本配置事实'!$C$6:$C$127,$A94,'51_版本配置事实'!$I$6:$I$127,"SERIES_CAPABILITY")&gt;0,"SERIES_CAPABILITY",IF(COUNTIFS('51_版本配置事实'!$B$6:$B$127,"PC-N90-ROOF-CAND",'51_版本配置事实'!$C$6:$C$127,$A94,'51_版本配置事实'!$I$6:$I$127,"NOT_DISCLOSED")&gt;0,"NOT_DISCLOSED","NOT_DISCLOSED")))))))</x:f>
        <x:v>NOT_DISCLOSED</x:v>
      </x:c>
      <x:c r="J94" s="19" t="str">
        <x:f>IF(COUNTIFS('51_版本配置事实'!$B$6:$B$127,"PC-N90-ROOF-CAND",'51_版本配置事实'!$C$6:$C$127,$A94,'51_版本配置事实'!$J$6:$J$127,"STANDARD_CURRENT")&gt;0,"STANDARD_CURRENT","NOT_EVIDENCED")</x:f>
        <x:v>NOT_EVIDENCED</x:v>
      </x:c>
      <x:c r="K94" s="19" t="str">
        <x:f>IF(AND(E94=G94,E94&lt;&gt;"NOT_DISCLOSED",E94&lt;&gt;"CONFLICTED"),IF(COUNTIFS('50_发布会逐项主张'!$H$6:$H$137,$A94,'50_发布会逐项主张'!$O$6:$O$137,"ALL_PENGCHENG")&gt;0,"EXPLICIT_COMMON_ANNOUNCED_MAX","MATCHED_NOT_PROVED_COMMON"),"NOT_PROVED_COMMON")</x:f>
        <x:v>NOT_PROVED_COMMON</x:v>
      </x:c>
      <x:c r="L94" s="19" t="str">
        <x:f>IF(OR(C94="NOT_DISCLOSED",E94="NOT_DISCLOSED",C94="CONFLICTED",E94="CONFLICTED"),"UNRESOLVED",IF(C94=E94,"NO_CHANGE",IF(AND(C94="STANDARD_AT_RELEASE",E94="OPTIONAL_AT_RELEASE"),"STANDARD_TO_OPTIONAL",IF(AND(C94="OPTIONAL_AT_RELEASE",E94="STANDARD_AT_RELEASE"),"OPTIONAL_TO_STANDARD",IF(E94="STANDARD_AT_RELEASE","ADDED_STANDARD","REVIEW_CHANGE")))))</x:f>
        <x:v>UNRESOLVED</x:v>
      </x:c>
      <x:c r="M94" s="19" t="str">
        <x:f>IF(OR(E94="NOT_DISCLOSED",G94="NOT_DISCLOSED",E94="CONFLICTED",G94="CONFLICTED"),"UNRESOLVED",IF(E94=G94,"NO_CHANGE",IF(AND(E94="STANDARD_AT_RELEASE",G94="OPTIONAL_AT_RELEASE"),"STANDARD_TO_OPTIONAL",IF(AND(E94="OPTIONAL_AT_RELEASE",G94="STANDARD_AT_RELEASE"),"OPTIONAL_TO_STANDARD",IF(G94="STANDARD_AT_RELEASE","ADDED_STANDARD","REVIEW_CHANGE")))))</x:f>
        <x:v>UNRESOLVED</x:v>
      </x:c>
      <x:c r="N94" s="19" t="str">
        <x:f>IF(OR(G94="NOT_DISCLOSED",I94="NOT_DISCLOSED",G94="CONFLICTED",I94="CONFLICTED"),"UNRESOLVED",IF(G94=I94,"NO_CHANGE",IF(AND(G94="STANDARD_AT_RELEASE",I94="OPTIONAL_AT_RELEASE"),"STANDARD_TO_OPTIONAL",IF(AND(G94="OPTIONAL_AT_RELEASE",I94="STANDARD_AT_RELEASE"),"OPTIONAL_TO_STANDARD",IF(I94="STANDARD_AT_RELEASE","ADDED_STANDARD","REVIEW_CHANGE")))))</x:f>
        <x:v>UNRESOLVED</x:v>
      </x:c>
      <x:c r="O94" s="19" t="str">
        <x:v>OPTIONS_ACCESSORIES</x:v>
      </x:c>
      <x:c r="P94" s="19" t="str">
        <x:v>DC_EXTERIOR_wheel_designs_21</x:v>
      </x:c>
      <x:c r="Q94" s="19" t="n">
        <x:f>COUNTIF('50_发布会逐项主张'!$H$6:$H$137,A94)</x:f>
        <x:v>1</x:v>
      </x:c>
      <x:c r="R94" s="19" t="str">
        <x:f>IF(COUNTIFS('50_发布会逐项主张'!$H$6:$H$137,A94,'50_发布会逐项主张'!$X$6:$X$137,"&lt;&gt;NONE")&gt;0,"CONFLICTED","NONE")</x:f>
        <x:v>NONE</x:v>
      </x:c>
    </x:row>
    <x:row r="95" ht="48" customHeight="1">
      <x:c r="A95" s="369" t="str">
        <x:v>xiaomi_had</x:v>
      </x:c>
      <x:c r="B95" s="369" t="str">
        <x:v>ADAS</x:v>
      </x:c>
      <x:c r="C95" s="369" t="str">
        <x:f>IF(COUNTIFS('51_版本配置事实'!$B$6:$B$127,"PC-N70-BASE-CAND",'51_版本配置事实'!$C$6:$C$127,$A95,'51_版本配置事实'!$T$6:$T$127,"&lt;&gt;NONE")&gt;0,"CONFLICTED",IF(COUNTIFS('51_版本配置事实'!$B$6:$B$127,"PC-N70-BASE-CAND",'51_版本配置事实'!$C$6:$C$127,$A95,'51_版本配置事实'!$I$6:$I$127,"STANDARD_AT_RELEASE")&gt;0,"STANDARD_AT_RELEASE",IF(COUNTIFS('51_版本配置事实'!$B$6:$B$127,"PC-N70-BASE-CAND",'51_版本配置事实'!$C$6:$C$127,$A95,'51_版本配置事实'!$I$6:$I$127,"OPTIONAL_AT_RELEASE")&gt;0,"OPTIONAL_AT_RELEASE",IF(COUNTIFS('51_版本配置事实'!$B$6:$B$127,"PC-N70-BASE-CAND",'51_版本配置事实'!$C$6:$C$127,$A95,'51_版本配置事实'!$I$6:$I$127,"SEPARATE_PURCHASE")&gt;0,"SEPARATE_PURCHASE",IF(COUNTIFS('51_版本配置事实'!$B$6:$B$127,"PC-N70-BASE-CAND",'51_版本配置事实'!$C$6:$C$127,$A95,'51_版本配置事实'!$I$6:$I$127,"EQUIPPED_STANDARD_UNCONFIRMED")&gt;0,"EQUIPPED_STANDARD_UNCONFIRMED",IF(COUNTIFS('51_版本配置事实'!$B$6:$B$127,"PC-N70-BASE-CAND",'51_版本配置事实'!$C$6:$C$127,$A95,'51_版本配置事实'!$I$6:$I$127,"SERIES_CAPABILITY")&gt;0,"SERIES_CAPABILITY",IF(COUNTIFS('51_版本配置事实'!$B$6:$B$127,"PC-N70-BASE-CAND",'51_版本配置事实'!$C$6:$C$127,$A95,'51_版本配置事实'!$I$6:$I$127,"NOT_DISCLOSED")&gt;0,"NOT_DISCLOSED","NOT_DISCLOSED")))))))</x:f>
        <x:v>NOT_DISCLOSED</x:v>
      </x:c>
      <x:c r="D95" s="369" t="str">
        <x:f>IF(COUNTIFS('51_版本配置事实'!$B$6:$B$127,"PC-N70-BASE-CAND",'51_版本配置事实'!$C$6:$C$127,$A95,'51_版本配置事实'!$J$6:$J$127,"STANDARD_CURRENT")&gt;0,"STANDARD_CURRENT","NOT_EVIDENCED")</x:f>
        <x:v>NOT_EVIDENCED</x:v>
      </x:c>
      <x:c r="E95" s="369" t="str">
        <x:f>IF(COUNTIFS('51_版本配置事实'!$B$6:$B$127,"PC-N70-MAX-CAND",'51_版本配置事实'!$C$6:$C$127,$A95,'51_版本配置事实'!$T$6:$T$127,"&lt;&gt;NONE")&gt;0,"CONFLICTED",IF(COUNTIFS('51_版本配置事实'!$B$6:$B$127,"PC-N70-MAX-CAND",'51_版本配置事实'!$C$6:$C$127,$A95,'51_版本配置事实'!$I$6:$I$127,"STANDARD_AT_RELEASE")&gt;0,"STANDARD_AT_RELEASE",IF(COUNTIFS('51_版本配置事实'!$B$6:$B$127,"PC-N70-MAX-CAND",'51_版本配置事实'!$C$6:$C$127,$A95,'51_版本配置事实'!$I$6:$I$127,"OPTIONAL_AT_RELEASE")&gt;0,"OPTIONAL_AT_RELEASE",IF(COUNTIFS('51_版本配置事实'!$B$6:$B$127,"PC-N70-MAX-CAND",'51_版本配置事实'!$C$6:$C$127,$A95,'51_版本配置事实'!$I$6:$I$127,"SEPARATE_PURCHASE")&gt;0,"SEPARATE_PURCHASE",IF(COUNTIFS('51_版本配置事实'!$B$6:$B$127,"PC-N70-MAX-CAND",'51_版本配置事实'!$C$6:$C$127,$A95,'51_版本配置事实'!$I$6:$I$127,"EQUIPPED_STANDARD_UNCONFIRMED")&gt;0,"EQUIPPED_STANDARD_UNCONFIRMED",IF(COUNTIFS('51_版本配置事实'!$B$6:$B$127,"PC-N70-MAX-CAND",'51_版本配置事实'!$C$6:$C$127,$A95,'51_版本配置事实'!$I$6:$I$127,"SERIES_CAPABILITY")&gt;0,"SERIES_CAPABILITY",IF(COUNTIFS('51_版本配置事实'!$B$6:$B$127,"PC-N70-MAX-CAND",'51_版本配置事实'!$C$6:$C$127,$A95,'51_版本配置事实'!$I$6:$I$127,"NOT_DISCLOSED")&gt;0,"NOT_DISCLOSED","NOT_DISCLOSED")))))))</x:f>
        <x:v>STANDARD_AT_RELEASE</x:v>
      </x:c>
      <x:c r="F95" s="369" t="str">
        <x:f>IF(COUNTIFS('51_版本配置事实'!$B$6:$B$127,"PC-N70-MAX-CAND",'51_版本配置事实'!$C$6:$C$127,$A95,'51_版本配置事实'!$J$6:$J$127,"STANDARD_CURRENT")&gt;0,"STANDARD_CURRENT","NOT_EVIDENCED")</x:f>
        <x:v>NOT_EVIDENCED</x:v>
      </x:c>
      <x:c r="G95" s="369" t="str">
        <x:f>IF(COUNTIFS('51_版本配置事实'!$B$6:$B$127,"PC-N90-MAX-CAND",'51_版本配置事实'!$C$6:$C$127,$A95,'51_版本配置事实'!$T$6:$T$127,"&lt;&gt;NONE")&gt;0,"CONFLICTED",IF(COUNTIFS('51_版本配置事实'!$B$6:$B$127,"PC-N90-MAX-CAND",'51_版本配置事实'!$C$6:$C$127,$A95,'51_版本配置事实'!$I$6:$I$127,"STANDARD_AT_RELEASE")&gt;0,"STANDARD_AT_RELEASE",IF(COUNTIFS('51_版本配置事实'!$B$6:$B$127,"PC-N90-MAX-CAND",'51_版本配置事实'!$C$6:$C$127,$A95,'51_版本配置事实'!$I$6:$I$127,"OPTIONAL_AT_RELEASE")&gt;0,"OPTIONAL_AT_RELEASE",IF(COUNTIFS('51_版本配置事实'!$B$6:$B$127,"PC-N90-MAX-CAND",'51_版本配置事实'!$C$6:$C$127,$A95,'51_版本配置事实'!$I$6:$I$127,"SEPARATE_PURCHASE")&gt;0,"SEPARATE_PURCHASE",IF(COUNTIFS('51_版本配置事实'!$B$6:$B$127,"PC-N90-MAX-CAND",'51_版本配置事实'!$C$6:$C$127,$A95,'51_版本配置事实'!$I$6:$I$127,"EQUIPPED_STANDARD_UNCONFIRMED")&gt;0,"EQUIPPED_STANDARD_UNCONFIRMED",IF(COUNTIFS('51_版本配置事实'!$B$6:$B$127,"PC-N90-MAX-CAND",'51_版本配置事实'!$C$6:$C$127,$A95,'51_版本配置事实'!$I$6:$I$127,"SERIES_CAPABILITY")&gt;0,"SERIES_CAPABILITY",IF(COUNTIFS('51_版本配置事实'!$B$6:$B$127,"PC-N90-MAX-CAND",'51_版本配置事实'!$C$6:$C$127,$A95,'51_版本配置事实'!$I$6:$I$127,"NOT_DISCLOSED")&gt;0,"NOT_DISCLOSED","NOT_DISCLOSED")))))))</x:f>
        <x:v>STANDARD_AT_RELEASE</x:v>
      </x:c>
      <x:c r="H95" s="369" t="str">
        <x:f>IF(COUNTIFS('51_版本配置事实'!$B$6:$B$127,"PC-N90-MAX-CAND",'51_版本配置事实'!$C$6:$C$127,$A95,'51_版本配置事实'!$J$6:$J$127,"STANDARD_CURRENT")&gt;0,"STANDARD_CURRENT","NOT_EVIDENCED")</x:f>
        <x:v>NOT_EVIDENCED</x:v>
      </x:c>
      <x:c r="I95" s="369" t="str">
        <x:f>IF(COUNTIFS('51_版本配置事实'!$B$6:$B$127,"PC-N90-ROOF-CAND",'51_版本配置事实'!$C$6:$C$127,$A95,'51_版本配置事实'!$T$6:$T$127,"&lt;&gt;NONE")&gt;0,"CONFLICTED",IF(COUNTIFS('51_版本配置事实'!$B$6:$B$127,"PC-N90-ROOF-CAND",'51_版本配置事实'!$C$6:$C$127,$A95,'51_版本配置事实'!$I$6:$I$127,"STANDARD_AT_RELEASE")&gt;0,"STANDARD_AT_RELEASE",IF(COUNTIFS('51_版本配置事实'!$B$6:$B$127,"PC-N90-ROOF-CAND",'51_版本配置事实'!$C$6:$C$127,$A95,'51_版本配置事实'!$I$6:$I$127,"OPTIONAL_AT_RELEASE")&gt;0,"OPTIONAL_AT_RELEASE",IF(COUNTIFS('51_版本配置事实'!$B$6:$B$127,"PC-N90-ROOF-CAND",'51_版本配置事实'!$C$6:$C$127,$A95,'51_版本配置事实'!$I$6:$I$127,"SEPARATE_PURCHASE")&gt;0,"SEPARATE_PURCHASE",IF(COUNTIFS('51_版本配置事实'!$B$6:$B$127,"PC-N90-ROOF-CAND",'51_版本配置事实'!$C$6:$C$127,$A95,'51_版本配置事实'!$I$6:$I$127,"EQUIPPED_STANDARD_UNCONFIRMED")&gt;0,"EQUIPPED_STANDARD_UNCONFIRMED",IF(COUNTIFS('51_版本配置事实'!$B$6:$B$127,"PC-N90-ROOF-CAND",'51_版本配置事实'!$C$6:$C$127,$A95,'51_版本配置事实'!$I$6:$I$127,"SERIES_CAPABILITY")&gt;0,"SERIES_CAPABILITY",IF(COUNTIFS('51_版本配置事实'!$B$6:$B$127,"PC-N90-ROOF-CAND",'51_版本配置事实'!$C$6:$C$127,$A95,'51_版本配置事实'!$I$6:$I$127,"NOT_DISCLOSED")&gt;0,"NOT_DISCLOSED","NOT_DISCLOSED")))))))</x:f>
        <x:v>NOT_DISCLOSED</x:v>
      </x:c>
      <x:c r="J95" s="369" t="str">
        <x:f>IF(COUNTIFS('51_版本配置事实'!$B$6:$B$127,"PC-N90-ROOF-CAND",'51_版本配置事实'!$C$6:$C$127,$A95,'51_版本配置事实'!$J$6:$J$127,"STANDARD_CURRENT")&gt;0,"STANDARD_CURRENT","NOT_EVIDENCED")</x:f>
        <x:v>NOT_EVIDENCED</x:v>
      </x:c>
      <x:c r="K95" s="369" t="str">
        <x:f>IF(AND(E95=G95,E95&lt;&gt;"NOT_DISCLOSED",E95&lt;&gt;"CONFLICTED"),IF(COUNTIFS('50_发布会逐项主张'!$H$6:$H$137,$A95,'50_发布会逐项主张'!$O$6:$O$137,"ALL_PENGCHENG")&gt;0,"EXPLICIT_COMMON_ANNOUNCED_MAX","MATCHED_NOT_PROVED_COMMON"),"NOT_PROVED_COMMON")</x:f>
        <x:v>EXPLICIT_COMMON_ANNOUNCED_MAX</x:v>
      </x:c>
      <x:c r="L95" s="369" t="str">
        <x:f>IF(OR(C95="NOT_DISCLOSED",E95="NOT_DISCLOSED",C95="CONFLICTED",E95="CONFLICTED"),"UNRESOLVED",IF(C95=E95,"NO_CHANGE",IF(AND(C95="STANDARD_AT_RELEASE",E95="OPTIONAL_AT_RELEASE"),"STANDARD_TO_OPTIONAL",IF(AND(C95="OPTIONAL_AT_RELEASE",E95="STANDARD_AT_RELEASE"),"OPTIONAL_TO_STANDARD",IF(E95="STANDARD_AT_RELEASE","ADDED_STANDARD","REVIEW_CHANGE")))))</x:f>
        <x:v>UNRESOLVED</x:v>
      </x:c>
      <x:c r="M95" s="369" t="str">
        <x:f>IF(OR(E95="NOT_DISCLOSED",G95="NOT_DISCLOSED",E95="CONFLICTED",G95="CONFLICTED"),"UNRESOLVED",IF(E95=G95,"NO_CHANGE",IF(AND(E95="STANDARD_AT_RELEASE",G95="OPTIONAL_AT_RELEASE"),"STANDARD_TO_OPTIONAL",IF(AND(E95="OPTIONAL_AT_RELEASE",G95="STANDARD_AT_RELEASE"),"OPTIONAL_TO_STANDARD",IF(G95="STANDARD_AT_RELEASE","ADDED_STANDARD","REVIEW_CHANGE")))))</x:f>
        <x:v>NO_CHANGE</x:v>
      </x:c>
      <x:c r="N95" s="369" t="str">
        <x:f>IF(OR(G95="NOT_DISCLOSED",I95="NOT_DISCLOSED",G95="CONFLICTED",I95="CONFLICTED"),"UNRESOLVED",IF(G95=I95,"NO_CHANGE",IF(AND(G95="STANDARD_AT_RELEASE",I95="OPTIONAL_AT_RELEASE"),"STANDARD_TO_OPTIONAL",IF(AND(G95="OPTIONAL_AT_RELEASE",I95="STANDARD_AT_RELEASE"),"OPTIONAL_TO_STANDARD",IF(I95="STANDARD_AT_RELEASE","ADDED_STANDARD","REVIEW_CHANGE")))))</x:f>
        <x:v>UNRESOLVED</x:v>
      </x:c>
      <x:c r="O95" s="369" t="str">
        <x:v>INTELLIGENCE_EE</x:v>
      </x:c>
      <x:c r="P95" s="369" t="str">
        <x:v>DC_ADAS_STACK</x:v>
      </x:c>
      <x:c r="Q95" s="369" t="n">
        <x:f>COUNTIF('50_发布会逐项主张'!$H$6:$H$137,A95)</x:f>
        <x:v>1</x:v>
      </x:c>
      <x:c r="R95" s="369" t="str">
        <x:f>IF(COUNTIFS('50_发布会逐项主张'!$H$6:$H$137,A95,'50_发布会逐项主张'!$X$6:$X$137,"&lt;&gt;NONE")&gt;0,"CONFLICTED","NONE")</x:f>
        <x:v>NONE</x:v>
      </x:c>
    </x:row>
    <x:row r="96" ht="48" customHeight="1">
      <x:c r="A96" s="19" t="str">
        <x:v>xiaomi_xla</x:v>
      </x:c>
      <x:c r="B96" s="19" t="str">
        <x:v>ADAS</x:v>
      </x:c>
      <x:c r="C96" s="19" t="str">
        <x:f>IF(COUNTIFS('51_版本配置事实'!$B$6:$B$127,"PC-N70-BASE-CAND",'51_版本配置事实'!$C$6:$C$127,$A96,'51_版本配置事实'!$T$6:$T$127,"&lt;&gt;NONE")&gt;0,"CONFLICTED",IF(COUNTIFS('51_版本配置事实'!$B$6:$B$127,"PC-N70-BASE-CAND",'51_版本配置事实'!$C$6:$C$127,$A96,'51_版本配置事实'!$I$6:$I$127,"STANDARD_AT_RELEASE")&gt;0,"STANDARD_AT_RELEASE",IF(COUNTIFS('51_版本配置事实'!$B$6:$B$127,"PC-N70-BASE-CAND",'51_版本配置事实'!$C$6:$C$127,$A96,'51_版本配置事实'!$I$6:$I$127,"OPTIONAL_AT_RELEASE")&gt;0,"OPTIONAL_AT_RELEASE",IF(COUNTIFS('51_版本配置事实'!$B$6:$B$127,"PC-N70-BASE-CAND",'51_版本配置事实'!$C$6:$C$127,$A96,'51_版本配置事实'!$I$6:$I$127,"SEPARATE_PURCHASE")&gt;0,"SEPARATE_PURCHASE",IF(COUNTIFS('51_版本配置事实'!$B$6:$B$127,"PC-N70-BASE-CAND",'51_版本配置事实'!$C$6:$C$127,$A96,'51_版本配置事实'!$I$6:$I$127,"EQUIPPED_STANDARD_UNCONFIRMED")&gt;0,"EQUIPPED_STANDARD_UNCONFIRMED",IF(COUNTIFS('51_版本配置事实'!$B$6:$B$127,"PC-N70-BASE-CAND",'51_版本配置事实'!$C$6:$C$127,$A96,'51_版本配置事实'!$I$6:$I$127,"SERIES_CAPABILITY")&gt;0,"SERIES_CAPABILITY",IF(COUNTIFS('51_版本配置事实'!$B$6:$B$127,"PC-N70-BASE-CAND",'51_版本配置事实'!$C$6:$C$127,$A96,'51_版本配置事实'!$I$6:$I$127,"NOT_DISCLOSED")&gt;0,"NOT_DISCLOSED","NOT_DISCLOSED")))))))</x:f>
        <x:v>NOT_DISCLOSED</x:v>
      </x:c>
      <x:c r="D96" s="19" t="str">
        <x:f>IF(COUNTIFS('51_版本配置事实'!$B$6:$B$127,"PC-N70-BASE-CAND",'51_版本配置事实'!$C$6:$C$127,$A96,'51_版本配置事实'!$J$6:$J$127,"STANDARD_CURRENT")&gt;0,"STANDARD_CURRENT","NOT_EVIDENCED")</x:f>
        <x:v>NOT_EVIDENCED</x:v>
      </x:c>
      <x:c r="E96" s="19" t="str">
        <x:f>IF(COUNTIFS('51_版本配置事实'!$B$6:$B$127,"PC-N70-MAX-CAND",'51_版本配置事实'!$C$6:$C$127,$A96,'51_版本配置事实'!$T$6:$T$127,"&lt;&gt;NONE")&gt;0,"CONFLICTED",IF(COUNTIFS('51_版本配置事实'!$B$6:$B$127,"PC-N70-MAX-CAND",'51_版本配置事实'!$C$6:$C$127,$A96,'51_版本配置事实'!$I$6:$I$127,"STANDARD_AT_RELEASE")&gt;0,"STANDARD_AT_RELEASE",IF(COUNTIFS('51_版本配置事实'!$B$6:$B$127,"PC-N70-MAX-CAND",'51_版本配置事实'!$C$6:$C$127,$A96,'51_版本配置事实'!$I$6:$I$127,"OPTIONAL_AT_RELEASE")&gt;0,"OPTIONAL_AT_RELEASE",IF(COUNTIFS('51_版本配置事实'!$B$6:$B$127,"PC-N70-MAX-CAND",'51_版本配置事实'!$C$6:$C$127,$A96,'51_版本配置事实'!$I$6:$I$127,"SEPARATE_PURCHASE")&gt;0,"SEPARATE_PURCHASE",IF(COUNTIFS('51_版本配置事实'!$B$6:$B$127,"PC-N70-MAX-CAND",'51_版本配置事实'!$C$6:$C$127,$A96,'51_版本配置事实'!$I$6:$I$127,"EQUIPPED_STANDARD_UNCONFIRMED")&gt;0,"EQUIPPED_STANDARD_UNCONFIRMED",IF(COUNTIFS('51_版本配置事实'!$B$6:$B$127,"PC-N70-MAX-CAND",'51_版本配置事实'!$C$6:$C$127,$A96,'51_版本配置事实'!$I$6:$I$127,"SERIES_CAPABILITY")&gt;0,"SERIES_CAPABILITY",IF(COUNTIFS('51_版本配置事实'!$B$6:$B$127,"PC-N70-MAX-CAND",'51_版本配置事实'!$C$6:$C$127,$A96,'51_版本配置事实'!$I$6:$I$127,"NOT_DISCLOSED")&gt;0,"NOT_DISCLOSED","NOT_DISCLOSED")))))))</x:f>
        <x:v>NOT_DISCLOSED</x:v>
      </x:c>
      <x:c r="F96" s="19" t="str">
        <x:f>IF(COUNTIFS('51_版本配置事实'!$B$6:$B$127,"PC-N70-MAX-CAND",'51_版本配置事实'!$C$6:$C$127,$A96,'51_版本配置事实'!$J$6:$J$127,"STANDARD_CURRENT")&gt;0,"STANDARD_CURRENT","NOT_EVIDENCED")</x:f>
        <x:v>NOT_EVIDENCED</x:v>
      </x:c>
      <x:c r="G96" s="19" t="str">
        <x:f>IF(COUNTIFS('51_版本配置事实'!$B$6:$B$127,"PC-N90-MAX-CAND",'51_版本配置事实'!$C$6:$C$127,$A96,'51_版本配置事实'!$T$6:$T$127,"&lt;&gt;NONE")&gt;0,"CONFLICTED",IF(COUNTIFS('51_版本配置事实'!$B$6:$B$127,"PC-N90-MAX-CAND",'51_版本配置事实'!$C$6:$C$127,$A96,'51_版本配置事实'!$I$6:$I$127,"STANDARD_AT_RELEASE")&gt;0,"STANDARD_AT_RELEASE",IF(COUNTIFS('51_版本配置事实'!$B$6:$B$127,"PC-N90-MAX-CAND",'51_版本配置事实'!$C$6:$C$127,$A96,'51_版本配置事实'!$I$6:$I$127,"OPTIONAL_AT_RELEASE")&gt;0,"OPTIONAL_AT_RELEASE",IF(COUNTIFS('51_版本配置事实'!$B$6:$B$127,"PC-N90-MAX-CAND",'51_版本配置事实'!$C$6:$C$127,$A96,'51_版本配置事实'!$I$6:$I$127,"SEPARATE_PURCHASE")&gt;0,"SEPARATE_PURCHASE",IF(COUNTIFS('51_版本配置事实'!$B$6:$B$127,"PC-N90-MAX-CAND",'51_版本配置事实'!$C$6:$C$127,$A96,'51_版本配置事实'!$I$6:$I$127,"EQUIPPED_STANDARD_UNCONFIRMED")&gt;0,"EQUIPPED_STANDARD_UNCONFIRMED",IF(COUNTIFS('51_版本配置事实'!$B$6:$B$127,"PC-N90-MAX-CAND",'51_版本配置事实'!$C$6:$C$127,$A96,'51_版本配置事实'!$I$6:$I$127,"SERIES_CAPABILITY")&gt;0,"SERIES_CAPABILITY",IF(COUNTIFS('51_版本配置事实'!$B$6:$B$127,"PC-N90-MAX-CAND",'51_版本配置事实'!$C$6:$C$127,$A96,'51_版本配置事实'!$I$6:$I$127,"NOT_DISCLOSED")&gt;0,"NOT_DISCLOSED","NOT_DISCLOSED")))))))</x:f>
        <x:v>STANDARD_AT_RELEASE</x:v>
      </x:c>
      <x:c r="H96" s="19" t="str">
        <x:f>IF(COUNTIFS('51_版本配置事实'!$B$6:$B$127,"PC-N90-MAX-CAND",'51_版本配置事实'!$C$6:$C$127,$A96,'51_版本配置事实'!$J$6:$J$127,"STANDARD_CURRENT")&gt;0,"STANDARD_CURRENT","NOT_EVIDENCED")</x:f>
        <x:v>NOT_EVIDENCED</x:v>
      </x:c>
      <x:c r="I96" s="19" t="str">
        <x:f>IF(COUNTIFS('51_版本配置事实'!$B$6:$B$127,"PC-N90-ROOF-CAND",'51_版本配置事实'!$C$6:$C$127,$A96,'51_版本配置事实'!$T$6:$T$127,"&lt;&gt;NONE")&gt;0,"CONFLICTED",IF(COUNTIFS('51_版本配置事实'!$B$6:$B$127,"PC-N90-ROOF-CAND",'51_版本配置事实'!$C$6:$C$127,$A96,'51_版本配置事实'!$I$6:$I$127,"STANDARD_AT_RELEASE")&gt;0,"STANDARD_AT_RELEASE",IF(COUNTIFS('51_版本配置事实'!$B$6:$B$127,"PC-N90-ROOF-CAND",'51_版本配置事实'!$C$6:$C$127,$A96,'51_版本配置事实'!$I$6:$I$127,"OPTIONAL_AT_RELEASE")&gt;0,"OPTIONAL_AT_RELEASE",IF(COUNTIFS('51_版本配置事实'!$B$6:$B$127,"PC-N90-ROOF-CAND",'51_版本配置事实'!$C$6:$C$127,$A96,'51_版本配置事实'!$I$6:$I$127,"SEPARATE_PURCHASE")&gt;0,"SEPARATE_PURCHASE",IF(COUNTIFS('51_版本配置事实'!$B$6:$B$127,"PC-N90-ROOF-CAND",'51_版本配置事实'!$C$6:$C$127,$A96,'51_版本配置事实'!$I$6:$I$127,"EQUIPPED_STANDARD_UNCONFIRMED")&gt;0,"EQUIPPED_STANDARD_UNCONFIRMED",IF(COUNTIFS('51_版本配置事实'!$B$6:$B$127,"PC-N90-ROOF-CAND",'51_版本配置事实'!$C$6:$C$127,$A96,'51_版本配置事实'!$I$6:$I$127,"SERIES_CAPABILITY")&gt;0,"SERIES_CAPABILITY",IF(COUNTIFS('51_版本配置事实'!$B$6:$B$127,"PC-N90-ROOF-CAND",'51_版本配置事实'!$C$6:$C$127,$A96,'51_版本配置事实'!$I$6:$I$127,"NOT_DISCLOSED")&gt;0,"NOT_DISCLOSED","NOT_DISCLOSED")))))))</x:f>
        <x:v>NOT_DISCLOSED</x:v>
      </x:c>
      <x:c r="J96" s="19" t="str">
        <x:f>IF(COUNTIFS('51_版本配置事实'!$B$6:$B$127,"PC-N90-ROOF-CAND",'51_版本配置事实'!$C$6:$C$127,$A96,'51_版本配置事实'!$J$6:$J$127,"STANDARD_CURRENT")&gt;0,"STANDARD_CURRENT","NOT_EVIDENCED")</x:f>
        <x:v>NOT_EVIDENCED</x:v>
      </x:c>
      <x:c r="K96" s="19" t="str">
        <x:f>IF(AND(E96=G96,E96&lt;&gt;"NOT_DISCLOSED",E96&lt;&gt;"CONFLICTED"),IF(COUNTIFS('50_发布会逐项主张'!$H$6:$H$137,$A96,'50_发布会逐项主张'!$O$6:$O$137,"ALL_PENGCHENG")&gt;0,"EXPLICIT_COMMON_ANNOUNCED_MAX","MATCHED_NOT_PROVED_COMMON"),"NOT_PROVED_COMMON")</x:f>
        <x:v>NOT_PROVED_COMMON</x:v>
      </x:c>
      <x:c r="L96" s="19" t="str">
        <x:f>IF(OR(C96="NOT_DISCLOSED",E96="NOT_DISCLOSED",C96="CONFLICTED",E96="CONFLICTED"),"UNRESOLVED",IF(C96=E96,"NO_CHANGE",IF(AND(C96="STANDARD_AT_RELEASE",E96="OPTIONAL_AT_RELEASE"),"STANDARD_TO_OPTIONAL",IF(AND(C96="OPTIONAL_AT_RELEASE",E96="STANDARD_AT_RELEASE"),"OPTIONAL_TO_STANDARD",IF(E96="STANDARD_AT_RELEASE","ADDED_STANDARD","REVIEW_CHANGE")))))</x:f>
        <x:v>UNRESOLVED</x:v>
      </x:c>
      <x:c r="M96" s="19" t="str">
        <x:f>IF(OR(E96="NOT_DISCLOSED",G96="NOT_DISCLOSED",E96="CONFLICTED",G96="CONFLICTED"),"UNRESOLVED",IF(E96=G96,"NO_CHANGE",IF(AND(E96="STANDARD_AT_RELEASE",G96="OPTIONAL_AT_RELEASE"),"STANDARD_TO_OPTIONAL",IF(AND(E96="OPTIONAL_AT_RELEASE",G96="STANDARD_AT_RELEASE"),"OPTIONAL_TO_STANDARD",IF(G96="STANDARD_AT_RELEASE","ADDED_STANDARD","REVIEW_CHANGE")))))</x:f>
        <x:v>UNRESOLVED</x:v>
      </x:c>
      <x:c r="N96" s="19" t="str">
        <x:f>IF(OR(G96="NOT_DISCLOSED",I96="NOT_DISCLOSED",G96="CONFLICTED",I96="CONFLICTED"),"UNRESOLVED",IF(G96=I96,"NO_CHANGE",IF(AND(G96="STANDARD_AT_RELEASE",I96="OPTIONAL_AT_RELEASE"),"STANDARD_TO_OPTIONAL",IF(AND(G96="OPTIONAL_AT_RELEASE",I96="STANDARD_AT_RELEASE"),"OPTIONAL_TO_STANDARD",IF(I96="STANDARD_AT_RELEASE","ADDED_STANDARD","REVIEW_CHANGE")))))</x:f>
        <x:v>UNRESOLVED</x:v>
      </x:c>
      <x:c r="O96" s="19" t="str">
        <x:v>INTELLIGENCE_EE</x:v>
      </x:c>
      <x:c r="P96" s="19" t="str">
        <x:v>DC_ADAS_STACK</x:v>
      </x:c>
      <x:c r="Q96" s="19" t="n">
        <x:f>COUNTIF('50_发布会逐项主张'!$H$6:$H$137,A96)</x:f>
        <x:v>1</x:v>
      </x:c>
      <x:c r="R96" s="19" t="str">
        <x:f>IF(COUNTIFS('50_发布会逐项主张'!$H$6:$H$137,A96,'50_发布会逐项主张'!$X$6:$X$137,"&lt;&gt;NONE")&gt;0,"CONFLICTED","NONE")</x:f>
        <x:v>NONE</x:v>
      </x:c>
    </x:row>
    <x:row r="97" ht="48" customHeight="1">
      <x:c r="A97" s="369" t="str">
        <x:v>zero_gravity_seats</x:v>
      </x:c>
      <x:c r="B97" s="369" t="str">
        <x:v>COMFORT</x:v>
      </x:c>
      <x:c r="C97" s="369" t="str">
        <x:f>IF(COUNTIFS('51_版本配置事实'!$B$6:$B$127,"PC-N70-BASE-CAND",'51_版本配置事实'!$C$6:$C$127,$A97,'51_版本配置事实'!$T$6:$T$127,"&lt;&gt;NONE")&gt;0,"CONFLICTED",IF(COUNTIFS('51_版本配置事实'!$B$6:$B$127,"PC-N70-BASE-CAND",'51_版本配置事实'!$C$6:$C$127,$A97,'51_版本配置事实'!$I$6:$I$127,"STANDARD_AT_RELEASE")&gt;0,"STANDARD_AT_RELEASE",IF(COUNTIFS('51_版本配置事实'!$B$6:$B$127,"PC-N70-BASE-CAND",'51_版本配置事实'!$C$6:$C$127,$A97,'51_版本配置事实'!$I$6:$I$127,"OPTIONAL_AT_RELEASE")&gt;0,"OPTIONAL_AT_RELEASE",IF(COUNTIFS('51_版本配置事实'!$B$6:$B$127,"PC-N70-BASE-CAND",'51_版本配置事实'!$C$6:$C$127,$A97,'51_版本配置事实'!$I$6:$I$127,"SEPARATE_PURCHASE")&gt;0,"SEPARATE_PURCHASE",IF(COUNTIFS('51_版本配置事实'!$B$6:$B$127,"PC-N70-BASE-CAND",'51_版本配置事实'!$C$6:$C$127,$A97,'51_版本配置事实'!$I$6:$I$127,"EQUIPPED_STANDARD_UNCONFIRMED")&gt;0,"EQUIPPED_STANDARD_UNCONFIRMED",IF(COUNTIFS('51_版本配置事实'!$B$6:$B$127,"PC-N70-BASE-CAND",'51_版本配置事实'!$C$6:$C$127,$A97,'51_版本配置事实'!$I$6:$I$127,"SERIES_CAPABILITY")&gt;0,"SERIES_CAPABILITY",IF(COUNTIFS('51_版本配置事实'!$B$6:$B$127,"PC-N70-BASE-CAND",'51_版本配置事实'!$C$6:$C$127,$A97,'51_版本配置事实'!$I$6:$I$127,"NOT_DISCLOSED")&gt;0,"NOT_DISCLOSED","NOT_DISCLOSED")))))))</x:f>
        <x:v>NOT_DISCLOSED</x:v>
      </x:c>
      <x:c r="D97" s="369" t="str">
        <x:f>IF(COUNTIFS('51_版本配置事实'!$B$6:$B$127,"PC-N70-BASE-CAND",'51_版本配置事实'!$C$6:$C$127,$A97,'51_版本配置事实'!$J$6:$J$127,"STANDARD_CURRENT")&gt;0,"STANDARD_CURRENT","NOT_EVIDENCED")</x:f>
        <x:v>NOT_EVIDENCED</x:v>
      </x:c>
      <x:c r="E97" s="369" t="str">
        <x:f>IF(COUNTIFS('51_版本配置事实'!$B$6:$B$127,"PC-N70-MAX-CAND",'51_版本配置事实'!$C$6:$C$127,$A97,'51_版本配置事实'!$T$6:$T$127,"&lt;&gt;NONE")&gt;0,"CONFLICTED",IF(COUNTIFS('51_版本配置事实'!$B$6:$B$127,"PC-N70-MAX-CAND",'51_版本配置事实'!$C$6:$C$127,$A97,'51_版本配置事实'!$I$6:$I$127,"STANDARD_AT_RELEASE")&gt;0,"STANDARD_AT_RELEASE",IF(COUNTIFS('51_版本配置事实'!$B$6:$B$127,"PC-N70-MAX-CAND",'51_版本配置事实'!$C$6:$C$127,$A97,'51_版本配置事实'!$I$6:$I$127,"OPTIONAL_AT_RELEASE")&gt;0,"OPTIONAL_AT_RELEASE",IF(COUNTIFS('51_版本配置事实'!$B$6:$B$127,"PC-N70-MAX-CAND",'51_版本配置事实'!$C$6:$C$127,$A97,'51_版本配置事实'!$I$6:$I$127,"SEPARATE_PURCHASE")&gt;0,"SEPARATE_PURCHASE",IF(COUNTIFS('51_版本配置事实'!$B$6:$B$127,"PC-N70-MAX-CAND",'51_版本配置事实'!$C$6:$C$127,$A97,'51_版本配置事实'!$I$6:$I$127,"EQUIPPED_STANDARD_UNCONFIRMED")&gt;0,"EQUIPPED_STANDARD_UNCONFIRMED",IF(COUNTIFS('51_版本配置事实'!$B$6:$B$127,"PC-N70-MAX-CAND",'51_版本配置事实'!$C$6:$C$127,$A97,'51_版本配置事实'!$I$6:$I$127,"SERIES_CAPABILITY")&gt;0,"SERIES_CAPABILITY",IF(COUNTIFS('51_版本配置事实'!$B$6:$B$127,"PC-N70-MAX-CAND",'51_版本配置事实'!$C$6:$C$127,$A97,'51_版本配置事实'!$I$6:$I$127,"NOT_DISCLOSED")&gt;0,"NOT_DISCLOSED","NOT_DISCLOSED")))))))</x:f>
        <x:v>NOT_DISCLOSED</x:v>
      </x:c>
      <x:c r="F97" s="369" t="str">
        <x:f>IF(COUNTIFS('51_版本配置事实'!$B$6:$B$127,"PC-N70-MAX-CAND",'51_版本配置事实'!$C$6:$C$127,$A97,'51_版本配置事实'!$J$6:$J$127,"STANDARD_CURRENT")&gt;0,"STANDARD_CURRENT","NOT_EVIDENCED")</x:f>
        <x:v>NOT_EVIDENCED</x:v>
      </x:c>
      <x:c r="G97" s="369" t="str">
        <x:f>IF(COUNTIFS('51_版本配置事实'!$B$6:$B$127,"PC-N90-MAX-CAND",'51_版本配置事实'!$C$6:$C$127,$A97,'51_版本配置事实'!$T$6:$T$127,"&lt;&gt;NONE")&gt;0,"CONFLICTED",IF(COUNTIFS('51_版本配置事实'!$B$6:$B$127,"PC-N90-MAX-CAND",'51_版本配置事实'!$C$6:$C$127,$A97,'51_版本配置事实'!$I$6:$I$127,"STANDARD_AT_RELEASE")&gt;0,"STANDARD_AT_RELEASE",IF(COUNTIFS('51_版本配置事实'!$B$6:$B$127,"PC-N90-MAX-CAND",'51_版本配置事实'!$C$6:$C$127,$A97,'51_版本配置事实'!$I$6:$I$127,"OPTIONAL_AT_RELEASE")&gt;0,"OPTIONAL_AT_RELEASE",IF(COUNTIFS('51_版本配置事实'!$B$6:$B$127,"PC-N90-MAX-CAND",'51_版本配置事实'!$C$6:$C$127,$A97,'51_版本配置事实'!$I$6:$I$127,"SEPARATE_PURCHASE")&gt;0,"SEPARATE_PURCHASE",IF(COUNTIFS('51_版本配置事实'!$B$6:$B$127,"PC-N90-MAX-CAND",'51_版本配置事实'!$C$6:$C$127,$A97,'51_版本配置事实'!$I$6:$I$127,"EQUIPPED_STANDARD_UNCONFIRMED")&gt;0,"EQUIPPED_STANDARD_UNCONFIRMED",IF(COUNTIFS('51_版本配置事实'!$B$6:$B$127,"PC-N90-MAX-CAND",'51_版本配置事实'!$C$6:$C$127,$A97,'51_版本配置事实'!$I$6:$I$127,"SERIES_CAPABILITY")&gt;0,"SERIES_CAPABILITY",IF(COUNTIFS('51_版本配置事实'!$B$6:$B$127,"PC-N90-MAX-CAND",'51_版本配置事实'!$C$6:$C$127,$A97,'51_版本配置事实'!$I$6:$I$127,"NOT_DISCLOSED")&gt;0,"NOT_DISCLOSED","NOT_DISCLOSED")))))))</x:f>
        <x:v>OPTIONAL_AT_RELEASE</x:v>
      </x:c>
      <x:c r="H97" s="369" t="str">
        <x:f>IF(COUNTIFS('51_版本配置事实'!$B$6:$B$127,"PC-N90-MAX-CAND",'51_版本配置事实'!$C$6:$C$127,$A97,'51_版本配置事实'!$J$6:$J$127,"STANDARD_CURRENT")&gt;0,"STANDARD_CURRENT","NOT_EVIDENCED")</x:f>
        <x:v>NOT_EVIDENCED</x:v>
      </x:c>
      <x:c r="I97" s="369" t="str">
        <x:f>IF(COUNTIFS('51_版本配置事实'!$B$6:$B$127,"PC-N90-ROOF-CAND",'51_版本配置事实'!$C$6:$C$127,$A97,'51_版本配置事实'!$T$6:$T$127,"&lt;&gt;NONE")&gt;0,"CONFLICTED",IF(COUNTIFS('51_版本配置事实'!$B$6:$B$127,"PC-N90-ROOF-CAND",'51_版本配置事实'!$C$6:$C$127,$A97,'51_版本配置事实'!$I$6:$I$127,"STANDARD_AT_RELEASE")&gt;0,"STANDARD_AT_RELEASE",IF(COUNTIFS('51_版本配置事实'!$B$6:$B$127,"PC-N90-ROOF-CAND",'51_版本配置事实'!$C$6:$C$127,$A97,'51_版本配置事实'!$I$6:$I$127,"OPTIONAL_AT_RELEASE")&gt;0,"OPTIONAL_AT_RELEASE",IF(COUNTIFS('51_版本配置事实'!$B$6:$B$127,"PC-N90-ROOF-CAND",'51_版本配置事实'!$C$6:$C$127,$A97,'51_版本配置事实'!$I$6:$I$127,"SEPARATE_PURCHASE")&gt;0,"SEPARATE_PURCHASE",IF(COUNTIFS('51_版本配置事实'!$B$6:$B$127,"PC-N90-ROOF-CAND",'51_版本配置事实'!$C$6:$C$127,$A97,'51_版本配置事实'!$I$6:$I$127,"EQUIPPED_STANDARD_UNCONFIRMED")&gt;0,"EQUIPPED_STANDARD_UNCONFIRMED",IF(COUNTIFS('51_版本配置事实'!$B$6:$B$127,"PC-N90-ROOF-CAND",'51_版本配置事实'!$C$6:$C$127,$A97,'51_版本配置事实'!$I$6:$I$127,"SERIES_CAPABILITY")&gt;0,"SERIES_CAPABILITY",IF(COUNTIFS('51_版本配置事实'!$B$6:$B$127,"PC-N90-ROOF-CAND",'51_版本配置事实'!$C$6:$C$127,$A97,'51_版本配置事实'!$I$6:$I$127,"NOT_DISCLOSED")&gt;0,"NOT_DISCLOSED","NOT_DISCLOSED")))))))</x:f>
        <x:v>NOT_DISCLOSED</x:v>
      </x:c>
      <x:c r="J97" s="369" t="str">
        <x:f>IF(COUNTIFS('51_版本配置事实'!$B$6:$B$127,"PC-N90-ROOF-CAND",'51_版本配置事实'!$C$6:$C$127,$A97,'51_版本配置事实'!$J$6:$J$127,"STANDARD_CURRENT")&gt;0,"STANDARD_CURRENT","NOT_EVIDENCED")</x:f>
        <x:v>NOT_EVIDENCED</x:v>
      </x:c>
      <x:c r="K97" s="369" t="str">
        <x:f>IF(AND(E97=G97,E97&lt;&gt;"NOT_DISCLOSED",E97&lt;&gt;"CONFLICTED"),IF(COUNTIFS('50_发布会逐项主张'!$H$6:$H$137,$A97,'50_发布会逐项主张'!$O$6:$O$137,"ALL_PENGCHENG")&gt;0,"EXPLICIT_COMMON_ANNOUNCED_MAX","MATCHED_NOT_PROVED_COMMON"),"NOT_PROVED_COMMON")</x:f>
        <x:v>NOT_PROVED_COMMON</x:v>
      </x:c>
      <x:c r="L97" s="369" t="str">
        <x:f>IF(OR(C97="NOT_DISCLOSED",E97="NOT_DISCLOSED",C97="CONFLICTED",E97="CONFLICTED"),"UNRESOLVED",IF(C97=E97,"NO_CHANGE",IF(AND(C97="STANDARD_AT_RELEASE",E97="OPTIONAL_AT_RELEASE"),"STANDARD_TO_OPTIONAL",IF(AND(C97="OPTIONAL_AT_RELEASE",E97="STANDARD_AT_RELEASE"),"OPTIONAL_TO_STANDARD",IF(E97="STANDARD_AT_RELEASE","ADDED_STANDARD","REVIEW_CHANGE")))))</x:f>
        <x:v>UNRESOLVED</x:v>
      </x:c>
      <x:c r="M97" s="369" t="str">
        <x:f>IF(OR(E97="NOT_DISCLOSED",G97="NOT_DISCLOSED",E97="CONFLICTED",G97="CONFLICTED"),"UNRESOLVED",IF(E97=G97,"NO_CHANGE",IF(AND(E97="STANDARD_AT_RELEASE",G97="OPTIONAL_AT_RELEASE"),"STANDARD_TO_OPTIONAL",IF(AND(E97="OPTIONAL_AT_RELEASE",G97="STANDARD_AT_RELEASE"),"OPTIONAL_TO_STANDARD",IF(G97="STANDARD_AT_RELEASE","ADDED_STANDARD","REVIEW_CHANGE")))))</x:f>
        <x:v>UNRESOLVED</x:v>
      </x:c>
      <x:c r="N97" s="369" t="str">
        <x:f>IF(OR(G97="NOT_DISCLOSED",I97="NOT_DISCLOSED",G97="CONFLICTED",I97="CONFLICTED"),"UNRESOLVED",IF(G97=I97,"NO_CHANGE",IF(AND(G97="STANDARD_AT_RELEASE",I97="OPTIONAL_AT_RELEASE"),"STANDARD_TO_OPTIONAL",IF(AND(G97="OPTIONAL_AT_RELEASE",I97="STANDARD_AT_RELEASE"),"OPTIONAL_TO_STANDARD",IF(I97="STANDARD_AT_RELEASE","ADDED_STANDARD","REVIEW_CHANGE")))))</x:f>
        <x:v>UNRESOLVED</x:v>
      </x:c>
      <x:c r="O97" s="369" t="str">
        <x:v>CABIN_COMFORT</x:v>
      </x:c>
      <x:c r="P97" s="369" t="str">
        <x:v>DC_COMFORT_zero_gravity_seats</x:v>
      </x:c>
      <x:c r="Q97" s="369" t="n">
        <x:f>COUNTIF('50_发布会逐项主张'!$H$6:$H$137,A97)</x:f>
        <x:v>2</x:v>
      </x:c>
      <x:c r="R97" s="369" t="str">
        <x:f>IF(COUNTIFS('50_发布会逐项主张'!$H$6:$H$137,A97,'50_发布会逐项主张'!$X$6:$X$137,"&lt;&gt;NONE")&gt;0,"CONFLICTED","NONE")</x:f>
        <x:v>NONE</x:v>
      </x:c>
    </x:row>
    <x:row r="98" ht="48" customHeight="1">
      <x:c r="A98" s="19" t="str">
        <x:v>zero_to_100</x:v>
      </x:c>
      <x:c r="B98" s="19" t="str">
        <x:v>POWERTRAIN</x:v>
      </x:c>
      <x:c r="C98" s="19" t="str">
        <x:f>IF(COUNTIFS('51_版本配置事实'!$B$6:$B$127,"PC-N70-BASE-CAND",'51_版本配置事实'!$C$6:$C$127,$A98,'51_版本配置事实'!$T$6:$T$127,"&lt;&gt;NONE")&gt;0,"CONFLICTED",IF(COUNTIFS('51_版本配置事实'!$B$6:$B$127,"PC-N70-BASE-CAND",'51_版本配置事实'!$C$6:$C$127,$A98,'51_版本配置事实'!$I$6:$I$127,"STANDARD_AT_RELEASE")&gt;0,"STANDARD_AT_RELEASE",IF(COUNTIFS('51_版本配置事实'!$B$6:$B$127,"PC-N70-BASE-CAND",'51_版本配置事实'!$C$6:$C$127,$A98,'51_版本配置事实'!$I$6:$I$127,"OPTIONAL_AT_RELEASE")&gt;0,"OPTIONAL_AT_RELEASE",IF(COUNTIFS('51_版本配置事实'!$B$6:$B$127,"PC-N70-BASE-CAND",'51_版本配置事实'!$C$6:$C$127,$A98,'51_版本配置事实'!$I$6:$I$127,"SEPARATE_PURCHASE")&gt;0,"SEPARATE_PURCHASE",IF(COUNTIFS('51_版本配置事实'!$B$6:$B$127,"PC-N70-BASE-CAND",'51_版本配置事实'!$C$6:$C$127,$A98,'51_版本配置事实'!$I$6:$I$127,"EQUIPPED_STANDARD_UNCONFIRMED")&gt;0,"EQUIPPED_STANDARD_UNCONFIRMED",IF(COUNTIFS('51_版本配置事实'!$B$6:$B$127,"PC-N70-BASE-CAND",'51_版本配置事实'!$C$6:$C$127,$A98,'51_版本配置事实'!$I$6:$I$127,"SERIES_CAPABILITY")&gt;0,"SERIES_CAPABILITY",IF(COUNTIFS('51_版本配置事实'!$B$6:$B$127,"PC-N70-BASE-CAND",'51_版本配置事实'!$C$6:$C$127,$A98,'51_版本配置事实'!$I$6:$I$127,"NOT_DISCLOSED")&gt;0,"NOT_DISCLOSED","NOT_DISCLOSED")))))))</x:f>
        <x:v>NOT_DISCLOSED</x:v>
      </x:c>
      <x:c r="D98" s="19" t="str">
        <x:f>IF(COUNTIFS('51_版本配置事实'!$B$6:$B$127,"PC-N70-BASE-CAND",'51_版本配置事实'!$C$6:$C$127,$A98,'51_版本配置事实'!$J$6:$J$127,"STANDARD_CURRENT")&gt;0,"STANDARD_CURRENT","NOT_EVIDENCED")</x:f>
        <x:v>NOT_EVIDENCED</x:v>
      </x:c>
      <x:c r="E98" s="19" t="str">
        <x:f>IF(COUNTIFS('51_版本配置事实'!$B$6:$B$127,"PC-N70-MAX-CAND",'51_版本配置事实'!$C$6:$C$127,$A98,'51_版本配置事实'!$T$6:$T$127,"&lt;&gt;NONE")&gt;0,"CONFLICTED",IF(COUNTIFS('51_版本配置事实'!$B$6:$B$127,"PC-N70-MAX-CAND",'51_版本配置事实'!$C$6:$C$127,$A98,'51_版本配置事实'!$I$6:$I$127,"STANDARD_AT_RELEASE")&gt;0,"STANDARD_AT_RELEASE",IF(COUNTIFS('51_版本配置事实'!$B$6:$B$127,"PC-N70-MAX-CAND",'51_版本配置事实'!$C$6:$C$127,$A98,'51_版本配置事实'!$I$6:$I$127,"OPTIONAL_AT_RELEASE")&gt;0,"OPTIONAL_AT_RELEASE",IF(COUNTIFS('51_版本配置事实'!$B$6:$B$127,"PC-N70-MAX-CAND",'51_版本配置事实'!$C$6:$C$127,$A98,'51_版本配置事实'!$I$6:$I$127,"SEPARATE_PURCHASE")&gt;0,"SEPARATE_PURCHASE",IF(COUNTIFS('51_版本配置事实'!$B$6:$B$127,"PC-N70-MAX-CAND",'51_版本配置事实'!$C$6:$C$127,$A98,'51_版本配置事实'!$I$6:$I$127,"EQUIPPED_STANDARD_UNCONFIRMED")&gt;0,"EQUIPPED_STANDARD_UNCONFIRMED",IF(COUNTIFS('51_版本配置事实'!$B$6:$B$127,"PC-N70-MAX-CAND",'51_版本配置事实'!$C$6:$C$127,$A98,'51_版本配置事实'!$I$6:$I$127,"SERIES_CAPABILITY")&gt;0,"SERIES_CAPABILITY",IF(COUNTIFS('51_版本配置事实'!$B$6:$B$127,"PC-N70-MAX-CAND",'51_版本配置事实'!$C$6:$C$127,$A98,'51_版本配置事实'!$I$6:$I$127,"NOT_DISCLOSED")&gt;0,"NOT_DISCLOSED","NOT_DISCLOSED")))))))</x:f>
        <x:v>NOT_DISCLOSED</x:v>
      </x:c>
      <x:c r="F98" s="19" t="str">
        <x:f>IF(COUNTIFS('51_版本配置事实'!$B$6:$B$127,"PC-N70-MAX-CAND",'51_版本配置事实'!$C$6:$C$127,$A98,'51_版本配置事实'!$J$6:$J$127,"STANDARD_CURRENT")&gt;0,"STANDARD_CURRENT","NOT_EVIDENCED")</x:f>
        <x:v>NOT_EVIDENCED</x:v>
      </x:c>
      <x:c r="G98" s="19" t="str">
        <x:f>IF(COUNTIFS('51_版本配置事实'!$B$6:$B$127,"PC-N90-MAX-CAND",'51_版本配置事实'!$C$6:$C$127,$A98,'51_版本配置事实'!$T$6:$T$127,"&lt;&gt;NONE")&gt;0,"CONFLICTED",IF(COUNTIFS('51_版本配置事实'!$B$6:$B$127,"PC-N90-MAX-CAND",'51_版本配置事实'!$C$6:$C$127,$A98,'51_版本配置事实'!$I$6:$I$127,"STANDARD_AT_RELEASE")&gt;0,"STANDARD_AT_RELEASE",IF(COUNTIFS('51_版本配置事实'!$B$6:$B$127,"PC-N90-MAX-CAND",'51_版本配置事实'!$C$6:$C$127,$A98,'51_版本配置事实'!$I$6:$I$127,"OPTIONAL_AT_RELEASE")&gt;0,"OPTIONAL_AT_RELEASE",IF(COUNTIFS('51_版本配置事实'!$B$6:$B$127,"PC-N90-MAX-CAND",'51_版本配置事实'!$C$6:$C$127,$A98,'51_版本配置事实'!$I$6:$I$127,"SEPARATE_PURCHASE")&gt;0,"SEPARATE_PURCHASE",IF(COUNTIFS('51_版本配置事实'!$B$6:$B$127,"PC-N90-MAX-CAND",'51_版本配置事实'!$C$6:$C$127,$A98,'51_版本配置事实'!$I$6:$I$127,"EQUIPPED_STANDARD_UNCONFIRMED")&gt;0,"EQUIPPED_STANDARD_UNCONFIRMED",IF(COUNTIFS('51_版本配置事实'!$B$6:$B$127,"PC-N90-MAX-CAND",'51_版本配置事实'!$C$6:$C$127,$A98,'51_版本配置事实'!$I$6:$I$127,"SERIES_CAPABILITY")&gt;0,"SERIES_CAPABILITY",IF(COUNTIFS('51_版本配置事实'!$B$6:$B$127,"PC-N90-MAX-CAND",'51_版本配置事实'!$C$6:$C$127,$A98,'51_版本配置事实'!$I$6:$I$127,"NOT_DISCLOSED")&gt;0,"NOT_DISCLOSED","NOT_DISCLOSED")))))))</x:f>
        <x:v>EQUIPPED_STANDARD_UNCONFIRMED</x:v>
      </x:c>
      <x:c r="H98" s="19" t="str">
        <x:f>IF(COUNTIFS('51_版本配置事实'!$B$6:$B$127,"PC-N90-MAX-CAND",'51_版本配置事实'!$C$6:$C$127,$A98,'51_版本配置事实'!$J$6:$J$127,"STANDARD_CURRENT")&gt;0,"STANDARD_CURRENT","NOT_EVIDENCED")</x:f>
        <x:v>NOT_EVIDENCED</x:v>
      </x:c>
      <x:c r="I98" s="19" t="str">
        <x:f>IF(COUNTIFS('51_版本配置事实'!$B$6:$B$127,"PC-N90-ROOF-CAND",'51_版本配置事实'!$C$6:$C$127,$A98,'51_版本配置事实'!$T$6:$T$127,"&lt;&gt;NONE")&gt;0,"CONFLICTED",IF(COUNTIFS('51_版本配置事实'!$B$6:$B$127,"PC-N90-ROOF-CAND",'51_版本配置事实'!$C$6:$C$127,$A98,'51_版本配置事实'!$I$6:$I$127,"STANDARD_AT_RELEASE")&gt;0,"STANDARD_AT_RELEASE",IF(COUNTIFS('51_版本配置事实'!$B$6:$B$127,"PC-N90-ROOF-CAND",'51_版本配置事实'!$C$6:$C$127,$A98,'51_版本配置事实'!$I$6:$I$127,"OPTIONAL_AT_RELEASE")&gt;0,"OPTIONAL_AT_RELEASE",IF(COUNTIFS('51_版本配置事实'!$B$6:$B$127,"PC-N90-ROOF-CAND",'51_版本配置事实'!$C$6:$C$127,$A98,'51_版本配置事实'!$I$6:$I$127,"SEPARATE_PURCHASE")&gt;0,"SEPARATE_PURCHASE",IF(COUNTIFS('51_版本配置事实'!$B$6:$B$127,"PC-N90-ROOF-CAND",'51_版本配置事实'!$C$6:$C$127,$A98,'51_版本配置事实'!$I$6:$I$127,"EQUIPPED_STANDARD_UNCONFIRMED")&gt;0,"EQUIPPED_STANDARD_UNCONFIRMED",IF(COUNTIFS('51_版本配置事实'!$B$6:$B$127,"PC-N90-ROOF-CAND",'51_版本配置事实'!$C$6:$C$127,$A98,'51_版本配置事实'!$I$6:$I$127,"SERIES_CAPABILITY")&gt;0,"SERIES_CAPABILITY",IF(COUNTIFS('51_版本配置事实'!$B$6:$B$127,"PC-N90-ROOF-CAND",'51_版本配置事实'!$C$6:$C$127,$A98,'51_版本配置事实'!$I$6:$I$127,"NOT_DISCLOSED")&gt;0,"NOT_DISCLOSED","NOT_DISCLOSED")))))))</x:f>
        <x:v>NOT_DISCLOSED</x:v>
      </x:c>
      <x:c r="J98" s="19" t="str">
        <x:f>IF(COUNTIFS('51_版本配置事实'!$B$6:$B$127,"PC-N90-ROOF-CAND",'51_版本配置事实'!$C$6:$C$127,$A98,'51_版本配置事实'!$J$6:$J$127,"STANDARD_CURRENT")&gt;0,"STANDARD_CURRENT","NOT_EVIDENCED")</x:f>
        <x:v>NOT_EVIDENCED</x:v>
      </x:c>
      <x:c r="K98" s="19" t="str">
        <x:f>IF(AND(E98=G98,E98&lt;&gt;"NOT_DISCLOSED",E98&lt;&gt;"CONFLICTED"),IF(COUNTIFS('50_发布会逐项主张'!$H$6:$H$137,$A98,'50_发布会逐项主张'!$O$6:$O$137,"ALL_PENGCHENG")&gt;0,"EXPLICIT_COMMON_ANNOUNCED_MAX","MATCHED_NOT_PROVED_COMMON"),"NOT_PROVED_COMMON")</x:f>
        <x:v>NOT_PROVED_COMMON</x:v>
      </x:c>
      <x:c r="L98" s="19" t="str">
        <x:f>IF(OR(C98="NOT_DISCLOSED",E98="NOT_DISCLOSED",C98="CONFLICTED",E98="CONFLICTED"),"UNRESOLVED",IF(C98=E98,"NO_CHANGE",IF(AND(C98="STANDARD_AT_RELEASE",E98="OPTIONAL_AT_RELEASE"),"STANDARD_TO_OPTIONAL",IF(AND(C98="OPTIONAL_AT_RELEASE",E98="STANDARD_AT_RELEASE"),"OPTIONAL_TO_STANDARD",IF(E98="STANDARD_AT_RELEASE","ADDED_STANDARD","REVIEW_CHANGE")))))</x:f>
        <x:v>UNRESOLVED</x:v>
      </x:c>
      <x:c r="M98" s="19" t="str">
        <x:f>IF(OR(E98="NOT_DISCLOSED",G98="NOT_DISCLOSED",E98="CONFLICTED",G98="CONFLICTED"),"UNRESOLVED",IF(E98=G98,"NO_CHANGE",IF(AND(E98="STANDARD_AT_RELEASE",G98="OPTIONAL_AT_RELEASE"),"STANDARD_TO_OPTIONAL",IF(AND(E98="OPTIONAL_AT_RELEASE",G98="STANDARD_AT_RELEASE"),"OPTIONAL_TO_STANDARD",IF(G98="STANDARD_AT_RELEASE","ADDED_STANDARD","REVIEW_CHANGE")))))</x:f>
        <x:v>UNRESOLVED</x:v>
      </x:c>
      <x:c r="N98" s="19" t="str">
        <x:f>IF(OR(G98="NOT_DISCLOSED",I98="NOT_DISCLOSED",G98="CONFLICTED",I98="CONFLICTED"),"UNRESOLVED",IF(G98=I98,"NO_CHANGE",IF(AND(G98="STANDARD_AT_RELEASE",I98="OPTIONAL_AT_RELEASE"),"STANDARD_TO_OPTIONAL",IF(AND(G98="OPTIONAL_AT_RELEASE",I98="STANDARD_AT_RELEASE"),"OPTIONAL_TO_STANDARD",IF(I98="STANDARD_AT_RELEASE","ADDED_STANDARD","REVIEW_CHANGE")))))</x:f>
        <x:v>UNRESOLVED</x:v>
      </x:c>
      <x:c r="O98" s="19" t="str">
        <x:v>E_DRIVE</x:v>
      </x:c>
      <x:c r="P98" s="19" t="str">
        <x:v>DC_POWERTRAIN_zero_to_100</x:v>
      </x:c>
      <x:c r="Q98" s="19" t="n">
        <x:f>COUNTIF('50_发布会逐项主张'!$H$6:$H$137,A98)</x:f>
        <x:v>2</x:v>
      </x:c>
      <x:c r="R98" s="19" t="str">
        <x:f>IF(COUNTIFS('50_发布会逐项主张'!$H$6:$H$137,A98,'50_发布会逐项主张'!$X$6:$X$137,"&lt;&gt;NONE")&gt;0,"CONFLICTED","NONE")</x:f>
        <x:v>NONE</x:v>
      </x:c>
    </x:row>
  </x:sheetData>
  <x:mergeCells>
    <x:mergeCell ref="A1:R1"/>
    <x:mergeCell ref="A2:R2"/>
    <x:mergeCell ref="A3:R3"/>
  </x:mergeCells>
  <x:conditionalFormatting sqref="C6:R98">
    <x:cfRule type="containsText" dxfId="785" priority="1" operator="containsText" text="PASS"/>
    <x:cfRule type="containsText" dxfId="786" priority="2" operator="containsText" text="READY"/>
    <x:cfRule type="containsText" dxfId="787" priority="3" operator="containsText" text="TRUE"/>
    <x:cfRule type="containsText" dxfId="788" priority="4" operator="containsText" text="MATCH"/>
    <x:cfRule type="containsText" dxfId="789" priority="5" operator="containsText" text="STANDARD"/>
    <x:cfRule type="containsText" dxfId="790" priority="6" operator="containsText" text="ACCEPTED"/>
    <x:cfRule type="containsText" dxfId="791" priority="7" operator="containsText" text="OPTIONAL"/>
    <x:cfRule type="containsText" dxfId="792" priority="8" operator="containsText" text="SEPARATE_PURCHASE"/>
    <x:cfRule type="containsText" dxfId="793" priority="9" operator="containsText" text="EQUIPPED"/>
    <x:cfRule type="containsText" dxfId="794" priority="10" operator="containsText" text="PARTIAL"/>
    <x:cfRule type="containsText" dxfId="795" priority="11" operator="containsText" text="PENDING"/>
    <x:cfRule type="containsText" dxfId="796" priority="12" operator="containsText" text="NOT_DISCLOSED"/>
    <x:cfRule type="containsText" dxfId="797" priority="13" operator="containsText" text="NOT_EVIDENCED"/>
    <x:cfRule type="containsText" dxfId="798" priority="14" operator="containsText" text="NOT_COMPARABLE"/>
    <x:cfRule type="containsText" dxfId="799" priority="15" operator="containsText" text="PROVISIONAL"/>
    <x:cfRule type="containsText" dxfId="800" priority="16" operator="containsText" text="BLOCKED"/>
    <x:cfRule type="containsText" dxfId="801" priority="17" operator="containsText" text="FAIL"/>
    <x:cfRule type="containsText" dxfId="802" priority="18" operator="containsText" text="FALSE"/>
    <x:cfRule type="containsText" dxfId="803" priority="19" operator="containsText" text="CONFLICT"/>
    <x:cfRule type="containsText" dxfId="804" priority="20" operator="containsText" text="MISMATCH_HARD"/>
    <x:cfRule type="containsText" dxfId="805" priority="21" operator="containsText" text="REJECTED"/>
  </x:conditionalFormatting>
  <x:pageMargins left="0.7" right="0.7" top="0.75" bottom="0.75" header="0.3" footer="0.3"/>
</x:worksheet>
</file>

<file path=xl/worksheets/sheet5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4" hidden="0" customWidth="1"/>
    <x:col min="3" max="3" width="28" hidden="0" customWidth="1"/>
    <x:col min="4" max="4" width="16" hidden="0" customWidth="1"/>
    <x:col min="5" max="5" width="18" hidden="0" customWidth="1"/>
    <x:col min="6" max="6" width="24" hidden="0" customWidth="1"/>
    <x:col min="7" max="7" width="32" hidden="0" customWidth="1"/>
    <x:col min="8" max="8" width="38" hidden="0" customWidth="1"/>
    <x:col min="9" max="9" width="16" hidden="0" customWidth="1"/>
    <x:col min="10" max="10" width="28" hidden="0" customWidth="1"/>
    <x:col min="11" max="11" width="14" hidden="0" customWidth="1"/>
    <x:col min="12" max="12" width="34" hidden="0" customWidth="1"/>
    <x:col min="13" max="13" width="20" hidden="0" customWidth="1"/>
    <x:col min="14" max="14" width="26" hidden="0" customWidth="1"/>
    <x:col min="15" max="15" width="18" hidden="0" customWidth="1"/>
    <x:col min="16" max="16" width="18" hidden="0" customWidth="1"/>
    <x:col min="17" max="17" width="52" hidden="0" customWidth="1"/>
  </x:cols>
  <x:sheetData>
    <x:row r="1" ht="30" customHeight="1">
      <x:c r="A1" s="356" t="str">
        <x:v>53｜发布配置 × 工信部回勾</x:v>
      </x:c>
      <x:c r="B1" s="356"/>
      <x:c r="C1" s="356"/>
      <x:c r="D1" s="356"/>
      <x:c r="E1" s="356"/>
      <x:c r="F1" s="356"/>
      <x:c r="G1" s="356"/>
      <x:c r="H1" s="356"/>
      <x:c r="I1" s="356"/>
      <x:c r="J1" s="356"/>
      <x:c r="K1" s="356"/>
      <x:c r="L1" s="356"/>
      <x:c r="M1" s="356"/>
      <x:c r="N1" s="356"/>
      <x:c r="O1" s="356"/>
      <x:c r="P1" s="356"/>
      <x:c r="Q1" s="356"/>
    </x:row>
    <x:row r="2" ht="22" customHeight="1">
      <x:c r="A2" s="359" t="str">
        <x:v>技术事实逐项匹配完整型号与受控变体｜循环、作用域与证据等级分开裁决</x:v>
      </x:c>
      <x:c r="B2" s="359"/>
      <x:c r="C2" s="359"/>
      <x:c r="D2" s="359"/>
      <x:c r="E2" s="359"/>
      <x:c r="F2" s="359"/>
      <x:c r="G2" s="359"/>
      <x:c r="H2" s="359"/>
      <x:c r="I2" s="359"/>
      <x:c r="J2" s="359"/>
      <x:c r="K2" s="359"/>
      <x:c r="L2" s="359"/>
      <x:c r="M2" s="359"/>
      <x:c r="N2" s="359"/>
      <x:c r="O2" s="359"/>
      <x:c r="P2" s="359"/>
      <x:c r="Q2" s="359"/>
    </x:row>
    <x:row r="3" ht="54" customHeight="1">
      <x:c r="A3" s="363" t="str">
        <x:v>N90 Max七座只绑定V-N90-7；工信部5座允许值不生成第二销售SKU。N70 505km与N90 464km均不直接和目录380/375/370km判冲突，因为后者循环与变体绑定尚未完整披露。</x:v>
      </x:c>
      <x:c r="B3" s="363"/>
      <x:c r="C3" s="363"/>
      <x:c r="D3" s="363"/>
      <x:c r="E3" s="363"/>
      <x:c r="F3" s="363"/>
      <x:c r="G3" s="363"/>
      <x:c r="H3" s="363"/>
      <x:c r="I3" s="363"/>
      <x:c r="J3" s="363"/>
      <x:c r="K3" s="363"/>
      <x:c r="L3" s="363"/>
      <x:c r="M3" s="363"/>
      <x:c r="N3" s="363"/>
      <x:c r="O3" s="363"/>
      <x:c r="P3" s="363"/>
      <x:c r="Q3" s="363"/>
    </x:row>
    <x:row r="5" ht="58" customHeight="1">
      <x:c r="A5" s="368" t="str">
        <x:v>recon_id</x:v>
      </x:c>
      <x:c r="B5" s="368" t="str">
        <x:v>commercial_node_id</x:v>
      </x:c>
      <x:c r="C5" s="368" t="str">
        <x:v>feature_code</x:v>
      </x:c>
      <x:c r="D5" s="368" t="str">
        <x:v>launch_claim_id</x:v>
      </x:c>
      <x:c r="E5" s="368" t="str">
        <x:v>miit_model_key</x:v>
      </x:c>
      <x:c r="F5" s="368" t="str">
        <x:v>miit_variant_id</x:v>
      </x:c>
      <x:c r="G5" s="368" t="str">
        <x:v>launch_value</x:v>
      </x:c>
      <x:c r="H5" s="368" t="str">
        <x:v>miit_value</x:v>
      </x:c>
      <x:c r="I5" s="368" t="str">
        <x:v>unit_code</x:v>
      </x:c>
      <x:c r="J5" s="368" t="str">
        <x:v>compare_method</x:v>
      </x:c>
      <x:c r="K5" s="368" t="str">
        <x:v>tolerance</x:v>
      </x:c>
      <x:c r="L5" s="368" t="str">
        <x:v>recon_status</x:v>
      </x:c>
      <x:c r="M5" s="368" t="str">
        <x:v>mismatch_severity</x:v>
      </x:c>
      <x:c r="N5" s="368" t="str">
        <x:v>mapping_impact</x:v>
      </x:c>
      <x:c r="O5" s="368" t="str">
        <x:v>evidence_launch</x:v>
      </x:c>
      <x:c r="P5" s="368" t="str">
        <x:v>evidence_miit</x:v>
      </x:c>
      <x:c r="Q5" s="368" t="str">
        <x:v>notes</x:v>
      </x:c>
    </x:row>
    <x:row r="6" ht="66" customHeight="1">
      <x:c r="A6" s="19" t="str">
        <x:v>R-N70-01</x:v>
      </x:c>
      <x:c r="B6" s="19" t="str">
        <x:v>PC-N70-MAX-CAND</x:v>
      </x:c>
      <x:c r="C6" s="19" t="str">
        <x:v>seat_count</x:v>
      </x:c>
      <x:c r="D6" s="19" t="str"/>
      <x:c r="E6" s="19" t="str">
        <x:v>MIIT409-A1</x:v>
      </x:c>
      <x:c r="F6" s="19" t="str">
        <x:v>V-A1-M1 / V-A1-M2</x:v>
      </x:c>
      <x:c r="G6" s="19" t="str">
        <x:v>大五座</x:v>
      </x:c>
      <x:c r="H6" s="19" t="str">
        <x:v>5</x:v>
      </x:c>
      <x:c r="I6" s="19" t="str">
        <x:v>count</x:v>
      </x:c>
      <x:c r="J6" s="19" t="str">
        <x:v>EXACT_CATEGORY</x:v>
      </x:c>
      <x:c r="K6" s="19" t="str"/>
      <x:c r="L6" s="19" t="str">
        <x:v>MATCH</x:v>
      </x:c>
      <x:c r="M6" s="19" t="str">
        <x:v>NONE</x:v>
      </x:c>
      <x:c r="N6" s="19" t="str">
        <x:v>SUPPORTS_MAPPING</x:v>
      </x:c>
      <x:c r="O6" s="19" t="str">
        <x:v>E1-X_WEB</x:v>
      </x:c>
      <x:c r="P6" s="19" t="str">
        <x:v>E1-G_PUBLIC</x:v>
      </x:c>
      <x:c r="Q6" s="19" t="str">
        <x:v>官网定位与监管额定载客闭环</x:v>
      </x:c>
    </x:row>
    <x:row r="7" ht="66" customHeight="1">
      <x:c r="A7" s="369" t="str">
        <x:v>R-N70-02</x:v>
      </x:c>
      <x:c r="B7" s="369" t="str">
        <x:v>PC-N70-MAX-CAND</x:v>
      </x:c>
      <x:c r="C7" s="369" t="str">
        <x:v>drive_layout</x:v>
      </x:c>
      <x:c r="D7" s="369" t="str">
        <x:v>B31-C014</x:v>
      </x:c>
      <x:c r="E7" s="369" t="str">
        <x:v>MIIT409-A1</x:v>
      </x:c>
      <x:c r="F7" s="369" t="str">
        <x:v>V-A1-M1 / V-A1-M2</x:v>
      </x:c>
      <x:c r="G7" s="369" t="str">
        <x:v>双电机四驱</x:v>
      </x:c>
      <x:c r="H7" s="369" t="str">
        <x:v>AWD；210+100kW</x:v>
      </x:c>
      <x:c r="I7" s="369" t="str"/>
      <x:c r="J7" s="369" t="str">
        <x:v>UNORDERED_VECTOR</x:v>
      </x:c>
      <x:c r="K7" s="369" t="str"/>
      <x:c r="L7" s="369" t="str">
        <x:v>MATCH</x:v>
      </x:c>
      <x:c r="M7" s="369" t="str">
        <x:v>NONE</x:v>
      </x:c>
      <x:c r="N7" s="369" t="str">
        <x:v>SUPPORTS_MAPPING</x:v>
      </x:c>
      <x:c r="O7" s="369" t="str">
        <x:v>E1-X_TRACE</x:v>
      </x:c>
      <x:c r="P7" s="369" t="str">
        <x:v>E1-G_PUBLIC</x:v>
      </x:c>
      <x:c r="Q7" s="369" t="str">
        <x:v>不固化前后轴次序</x:v>
      </x:c>
    </x:row>
    <x:row r="8" ht="66" customHeight="1">
      <x:c r="A8" s="19" t="str">
        <x:v>R-N70-03</x:v>
      </x:c>
      <x:c r="B8" s="19" t="str">
        <x:v>PC-N70-MAX-CAND</x:v>
      </x:c>
      <x:c r="C8" s="19" t="str">
        <x:v>peak_power_total</x:v>
      </x:c>
      <x:c r="D8" s="19" t="str">
        <x:v>B31-C015</x:v>
      </x:c>
      <x:c r="E8" s="19" t="str">
        <x:v>MIIT409-A1</x:v>
      </x:c>
      <x:c r="F8" s="19" t="str">
        <x:v>V-A1-M1 / V-A1-M2</x:v>
      </x:c>
      <x:c r="G8" s="19" t="str">
        <x:v>310</x:v>
      </x:c>
      <x:c r="H8" s="19" t="str">
        <x:v>210 + 100</x:v>
      </x:c>
      <x:c r="I8" s="19" t="str">
        <x:v>kW</x:v>
      </x:c>
      <x:c r="J8" s="19" t="str">
        <x:v>UNORDERED_VECTOR_SUM</x:v>
      </x:c>
      <x:c r="K8" s="19" t="n">
        <x:v>0</x:v>
      </x:c>
      <x:c r="L8" s="19" t="str">
        <x:v>MATCH</x:v>
      </x:c>
      <x:c r="M8" s="19" t="str">
        <x:v>NONE</x:v>
      </x:c>
      <x:c r="N8" s="19" t="str">
        <x:v>SUPPORTS_MAPPING</x:v>
      </x:c>
      <x:c r="O8" s="19" t="str">
        <x:v>E1-X_TRACE</x:v>
      </x:c>
      <x:c r="P8" s="19" t="str">
        <x:v>E1-G_PUBLIC</x:v>
      </x:c>
      <x:c r="Q8" s="19" t="str">
        <x:v>总功率与监管电机向量一致</x:v>
      </x:c>
    </x:row>
    <x:row r="9" ht="66" customHeight="1">
      <x:c r="A9" s="369" t="str">
        <x:v>R-N70-04</x:v>
      </x:c>
      <x:c r="B9" s="369" t="str">
        <x:v>PC-N70-MAX-CAND</x:v>
      </x:c>
      <x:c r="C9" s="369" t="str">
        <x:v>top_speed</x:v>
      </x:c>
      <x:c r="D9" s="369" t="str">
        <x:v>B31-C016</x:v>
      </x:c>
      <x:c r="E9" s="369" t="str">
        <x:v>MIIT409-A1</x:v>
      </x:c>
      <x:c r="F9" s="369" t="str">
        <x:v>V-A1-M1 / V-A1-M2</x:v>
      </x:c>
      <x:c r="G9" s="369" t="str">
        <x:v>190</x:v>
      </x:c>
      <x:c r="H9" s="369" t="str">
        <x:v>190</x:v>
      </x:c>
      <x:c r="I9" s="369" t="str">
        <x:v>km/h</x:v>
      </x:c>
      <x:c r="J9" s="369" t="str">
        <x:v>EXACT_NUMERIC</x:v>
      </x:c>
      <x:c r="K9" s="369" t="n">
        <x:v>0</x:v>
      </x:c>
      <x:c r="L9" s="369" t="str">
        <x:v>MATCH</x:v>
      </x:c>
      <x:c r="M9" s="369" t="str">
        <x:v>NONE</x:v>
      </x:c>
      <x:c r="N9" s="369" t="str">
        <x:v>SUPPORTS_MAPPING</x:v>
      </x:c>
      <x:c r="O9" s="369" t="str">
        <x:v>E1-X_TRACE</x:v>
      </x:c>
      <x:c r="P9" s="369" t="str">
        <x:v>E1-G_PUBLIC</x:v>
      </x:c>
      <x:c r="Q9" s="369" t="str">
        <x:v>同值</x:v>
      </x:c>
    </x:row>
    <x:row r="10" ht="66" customHeight="1">
      <x:c r="A10" s="19" t="str">
        <x:v>R-N70-05</x:v>
      </x:c>
      <x:c r="B10" s="19" t="str">
        <x:v>PC-N70-MAX-CAND</x:v>
      </x:c>
      <x:c r="C10" s="19" t="str">
        <x:v>battery_capacity</x:v>
      </x:c>
      <x:c r="D10" s="19" t="str"/>
      <x:c r="E10" s="19" t="str">
        <x:v>MIIT409-A1</x:v>
      </x:c>
      <x:c r="F10" s="19" t="str">
        <x:v>V-A1-M1 / V-A1-M2</x:v>
      </x:c>
      <x:c r="G10" s="19" t="str">
        <x:v>系列最大76，N70单车未直接绑定</x:v>
      </x:c>
      <x:c r="H10" s="19" t="str">
        <x:v>76（E3转录）</x:v>
      </x:c>
      <x:c r="I10" s="19" t="str">
        <x:v>kWh</x:v>
      </x:c>
      <x:c r="J10" s="19" t="str">
        <x:v>SCOPE_BINDING_REQUIRED</x:v>
      </x:c>
      <x:c r="K10" s="19" t="str"/>
      <x:c r="L10" s="19" t="str">
        <x:v>LAUNCH_NOT_DIRECTLY_BOUND</x:v>
      </x:c>
      <x:c r="M10" s="19" t="str">
        <x:v>NONE</x:v>
      </x:c>
      <x:c r="N10" s="19" t="str">
        <x:v>NO_UPGRADE</x:v>
      </x:c>
      <x:c r="O10" s="19" t="str">
        <x:v>E1-X_TRACE</x:v>
      </x:c>
      <x:c r="P10" s="19" t="str">
        <x:v>E3_TRACE</x:v>
      </x:c>
      <x:c r="Q10" s="19" t="str">
        <x:v>不能把系列最大值升格为N70单车标配</x:v>
      </x:c>
    </x:row>
    <x:row r="11" ht="66" customHeight="1">
      <x:c r="A11" s="369" t="str">
        <x:v>R-N70-06</x:v>
      </x:c>
      <x:c r="B11" s="369" t="str">
        <x:v>PC-N70-MAX-CAND</x:v>
      </x:c>
      <x:c r="C11" s="369" t="str">
        <x:v>cltc_ev_range</x:v>
      </x:c>
      <x:c r="D11" s="369" t="str">
        <x:v>B31-C017</x:v>
      </x:c>
      <x:c r="E11" s="369" t="str">
        <x:v>MIIT409-A1</x:v>
      </x:c>
      <x:c r="F11" s="369" t="str">
        <x:v>V-A1-M1 / V-A1-M2</x:v>
      </x:c>
      <x:c r="G11" s="369" t="str">
        <x:v>505 CLTC</x:v>
      </x:c>
      <x:c r="H11" s="369" t="str">
        <x:v>380 / 375；循环/变体绑定未完整披露</x:v>
      </x:c>
      <x:c r="I11" s="369" t="str">
        <x:v>km</x:v>
      </x:c>
      <x:c r="J11" s="369" t="str">
        <x:v>CYCLE_DEPENDENT</x:v>
      </x:c>
      <x:c r="K11" s="369" t="str"/>
      <x:c r="L11" s="369" t="str">
        <x:v>NOT_COMPARABLE_CYCLE_UNKNOWN</x:v>
      </x:c>
      <x:c r="M11" s="369" t="str">
        <x:v>NONE</x:v>
      </x:c>
      <x:c r="N11" s="369" t="str">
        <x:v>NEUTRAL</x:v>
      </x:c>
      <x:c r="O11" s="369" t="str">
        <x:v>E1-X_TRACE</x:v>
      </x:c>
      <x:c r="P11" s="369" t="str">
        <x:v>E3_TRACE</x:v>
      </x:c>
      <x:c r="Q11" s="369" t="str">
        <x:v>数值不同不直接判冲突</x:v>
      </x:c>
    </x:row>
    <x:row r="12" ht="66" customHeight="1">
      <x:c r="A12" s="19" t="str">
        <x:v>R-N70-07</x:v>
      </x:c>
      <x:c r="B12" s="19" t="str">
        <x:v>PC-N70-MAX-CAND</x:v>
      </x:c>
      <x:c r="C12" s="19" t="str">
        <x:v>charge_sustaining_fuel</x:v>
      </x:c>
      <x:c r="D12" s="19" t="str">
        <x:v>B31-C019</x:v>
      </x:c>
      <x:c r="E12" s="19" t="str">
        <x:v>MIIT409-A1</x:v>
      </x:c>
      <x:c r="F12" s="19" t="str">
        <x:v>V-A1-M1 / V-A1-M2</x:v>
      </x:c>
      <x:c r="G12" s="19" t="str">
        <x:v>6.1；循环未标</x:v>
      </x:c>
      <x:c r="H12" s="19" t="str">
        <x:v>6.10 / 6.20；变体未绑定</x:v>
      </x:c>
      <x:c r="I12" s="19" t="str">
        <x:v>L/100km</x:v>
      </x:c>
      <x:c r="J12" s="19" t="str">
        <x:v>SET_MEMBERSHIP</x:v>
      </x:c>
      <x:c r="K12" s="19" t="str"/>
      <x:c r="L12" s="19" t="str">
        <x:v>COMPATIBLE_RANGE_NOT_LOCKED</x:v>
      </x:c>
      <x:c r="M12" s="19" t="str">
        <x:v>NONE</x:v>
      </x:c>
      <x:c r="N12" s="19" t="str">
        <x:v>NEUTRAL</x:v>
      </x:c>
      <x:c r="O12" s="19" t="str">
        <x:v>E1-X_TRACE</x:v>
      </x:c>
      <x:c r="P12" s="19" t="str">
        <x:v>E3_TRACE</x:v>
      </x:c>
      <x:c r="Q12" s="19" t="str">
        <x:v>包含于监管转录集合但不能锁定整备变体</x:v>
      </x:c>
    </x:row>
    <x:row r="13" ht="66" customHeight="1">
      <x:c r="A13" s="369" t="str">
        <x:v>R-N70-08</x:v>
      </x:c>
      <x:c r="B13" s="369" t="str">
        <x:v>PC-N70-MAX-CAND</x:v>
      </x:c>
      <x:c r="C13" s="369" t="str">
        <x:v>air_suspension</x:v>
      </x:c>
      <x:c r="D13" s="369" t="str">
        <x:v>B31-C021</x:v>
      </x:c>
      <x:c r="E13" s="369" t="str">
        <x:v>MIIT409-A1</x:v>
      </x:c>
      <x:c r="F13" s="369" t="str"/>
      <x:c r="G13" s="369" t="str">
        <x:v>标配空气弹簧</x:v>
      </x:c>
      <x:c r="H13" s="369" t="str">
        <x:v>监管页不定义商品标配</x:v>
      </x:c>
      <x:c r="I13" s="369" t="str"/>
      <x:c r="J13" s="369" t="str">
        <x:v>MIIT_OUT_OF_SCOPE</x:v>
      </x:c>
      <x:c r="K13" s="369" t="str"/>
      <x:c r="L13" s="369" t="str">
        <x:v>MIIT_OUT_OF_SCOPE</x:v>
      </x:c>
      <x:c r="M13" s="369" t="str">
        <x:v>NONE</x:v>
      </x:c>
      <x:c r="N13" s="369" t="str">
        <x:v>NEUTRAL</x:v>
      </x:c>
      <x:c r="O13" s="369" t="str">
        <x:v>E1-X_TRACE</x:v>
      </x:c>
      <x:c r="P13" s="369" t="str">
        <x:v>E1-G_PUBLIC</x:v>
      </x:c>
      <x:c r="Q13" s="369" t="str">
        <x:v>不记mismatch</x:v>
      </x:c>
    </x:row>
    <x:row r="14" ht="66" customHeight="1">
      <x:c r="A14" s="19" t="str">
        <x:v>R-N70-09</x:v>
      </x:c>
      <x:c r="B14" s="19" t="str">
        <x:v>PC-N70-MAX-CAND</x:v>
      </x:c>
      <x:c r="C14" s="19" t="str">
        <x:v>adaptive_damper</x:v>
      </x:c>
      <x:c r="D14" s="19" t="str">
        <x:v>B31-C022</x:v>
      </x:c>
      <x:c r="E14" s="19" t="str">
        <x:v>MIIT409-A1</x:v>
      </x:c>
      <x:c r="F14" s="19" t="str"/>
      <x:c r="G14" s="19" t="str">
        <x:v>标配连续阻尼减振器</x:v>
      </x:c>
      <x:c r="H14" s="19" t="str">
        <x:v>监管页不定义商品标配</x:v>
      </x:c>
      <x:c r="I14" s="19" t="str"/>
      <x:c r="J14" s="19" t="str">
        <x:v>MIIT_OUT_OF_SCOPE</x:v>
      </x:c>
      <x:c r="K14" s="19" t="str"/>
      <x:c r="L14" s="19" t="str">
        <x:v>MIIT_OUT_OF_SCOPE</x:v>
      </x:c>
      <x:c r="M14" s="19" t="str">
        <x:v>NONE</x:v>
      </x:c>
      <x:c r="N14" s="19" t="str">
        <x:v>NEUTRAL</x:v>
      </x:c>
      <x:c r="O14" s="19" t="str">
        <x:v>E1-X_TRACE</x:v>
      </x:c>
      <x:c r="P14" s="19" t="str">
        <x:v>E1-G_PUBLIC</x:v>
      </x:c>
      <x:c r="Q14" s="19" t="str">
        <x:v>不记mismatch</x:v>
      </x:c>
    </x:row>
    <x:row r="15" ht="66" customHeight="1">
      <x:c r="A15" s="369" t="str">
        <x:v>R-N90-01</x:v>
      </x:c>
      <x:c r="B15" s="369" t="str">
        <x:v>PC-N90-MAX-CAND</x:v>
      </x:c>
      <x:c r="C15" s="369" t="str">
        <x:v>seat_count</x:v>
      </x:c>
      <x:c r="D15" s="369" t="str">
        <x:v>B31-C036</x:v>
      </x:c>
      <x:c r="E15" s="369" t="str">
        <x:v>MIIT409-N90</x:v>
      </x:c>
      <x:c r="F15" s="369" t="str">
        <x:v>V-N90-7</x:v>
      </x:c>
      <x:c r="G15" s="369" t="str">
        <x:v>7；2+2+3</x:v>
      </x:c>
      <x:c r="H15" s="369" t="str">
        <x:v>5 / 7允许集；V-N90-7=7</x:v>
      </x:c>
      <x:c r="I15" s="369" t="str">
        <x:v>count</x:v>
      </x:c>
      <x:c r="J15" s="369" t="str">
        <x:v>SET_MEMBERSHIP</x:v>
      </x:c>
      <x:c r="K15" s="369" t="str"/>
      <x:c r="L15" s="369" t="str">
        <x:v>MATCH</x:v>
      </x:c>
      <x:c r="M15" s="369" t="str">
        <x:v>NONE</x:v>
      </x:c>
      <x:c r="N15" s="369" t="str">
        <x:v>LOCKS_7_SEAT_VARIANT_ONLY</x:v>
      </x:c>
      <x:c r="O15" s="369" t="str">
        <x:v>E1-X_WEB</x:v>
      </x:c>
      <x:c r="P15" s="369" t="str">
        <x:v>E1-G_PUBLIC</x:v>
      </x:c>
      <x:c r="Q15" s="369" t="str">
        <x:v>V-N90-5不生成商业SKU</x:v>
      </x:c>
    </x:row>
    <x:row r="16" ht="66" customHeight="1">
      <x:c r="A16" s="19" t="str">
        <x:v>R-N90-02</x:v>
      </x:c>
      <x:c r="B16" s="19" t="str">
        <x:v>PC-N90-MAX-CAND</x:v>
      </x:c>
      <x:c r="C16" s="19" t="str">
        <x:v>drive_layout</x:v>
      </x:c>
      <x:c r="D16" s="19" t="str">
        <x:v>B31-C063</x:v>
      </x:c>
      <x:c r="E16" s="19" t="str">
        <x:v>MIIT409-N90</x:v>
      </x:c>
      <x:c r="F16" s="19" t="str">
        <x:v>V-N90-7</x:v>
      </x:c>
      <x:c r="G16" s="19" t="str">
        <x:v>双电机四驱</x:v>
      </x:c>
      <x:c r="H16" s="19" t="str">
        <x:v>AWD；210+100kW</x:v>
      </x:c>
      <x:c r="I16" s="19" t="str"/>
      <x:c r="J16" s="19" t="str">
        <x:v>UNORDERED_VECTOR</x:v>
      </x:c>
      <x:c r="K16" s="19" t="str"/>
      <x:c r="L16" s="19" t="str">
        <x:v>MATCH</x:v>
      </x:c>
      <x:c r="M16" s="19" t="str">
        <x:v>NONE</x:v>
      </x:c>
      <x:c r="N16" s="19" t="str">
        <x:v>SUPPORTS_MAPPING</x:v>
      </x:c>
      <x:c r="O16" s="19" t="str">
        <x:v>E1-X_WEB</x:v>
      </x:c>
      <x:c r="P16" s="19" t="str">
        <x:v>E1-G_PUBLIC</x:v>
      </x:c>
      <x:c r="Q16" s="19" t="str">
        <x:v>同技术指纹</x:v>
      </x:c>
    </x:row>
    <x:row r="17" ht="66" customHeight="1">
      <x:c r="A17" s="369" t="str">
        <x:v>R-N90-03</x:v>
      </x:c>
      <x:c r="B17" s="369" t="str">
        <x:v>PC-N90-MAX-CAND</x:v>
      </x:c>
      <x:c r="C17" s="369" t="str">
        <x:v>peak_power_total</x:v>
      </x:c>
      <x:c r="D17" s="369" t="str">
        <x:v>B31-C064</x:v>
      </x:c>
      <x:c r="E17" s="369" t="str">
        <x:v>MIIT409-N90</x:v>
      </x:c>
      <x:c r="F17" s="369" t="str">
        <x:v>V-N90-7</x:v>
      </x:c>
      <x:c r="G17" s="369" t="str">
        <x:v>310</x:v>
      </x:c>
      <x:c r="H17" s="369" t="str">
        <x:v>210 + 100</x:v>
      </x:c>
      <x:c r="I17" s="369" t="str">
        <x:v>kW</x:v>
      </x:c>
      <x:c r="J17" s="369" t="str">
        <x:v>UNORDERED_VECTOR_SUM</x:v>
      </x:c>
      <x:c r="K17" s="369" t="n">
        <x:v>0</x:v>
      </x:c>
      <x:c r="L17" s="369" t="str">
        <x:v>MATCH</x:v>
      </x:c>
      <x:c r="M17" s="369" t="str">
        <x:v>NONE</x:v>
      </x:c>
      <x:c r="N17" s="369" t="str">
        <x:v>SUPPORTS_MAPPING</x:v>
      </x:c>
      <x:c r="O17" s="369" t="str">
        <x:v>E1-X_WEB</x:v>
      </x:c>
      <x:c r="P17" s="369" t="str">
        <x:v>E1-G_PUBLIC</x:v>
      </x:c>
      <x:c r="Q17" s="369" t="str">
        <x:v>同值</x:v>
      </x:c>
    </x:row>
    <x:row r="18" ht="66" customHeight="1">
      <x:c r="A18" s="19" t="str">
        <x:v>R-N90-04</x:v>
      </x:c>
      <x:c r="B18" s="19" t="str">
        <x:v>PC-N90-MAX-CAND</x:v>
      </x:c>
      <x:c r="C18" s="19" t="str">
        <x:v>top_speed</x:v>
      </x:c>
      <x:c r="D18" s="19" t="str">
        <x:v>B31-C066</x:v>
      </x:c>
      <x:c r="E18" s="19" t="str">
        <x:v>MIIT409-N90</x:v>
      </x:c>
      <x:c r="F18" s="19" t="str">
        <x:v>V-N90-7</x:v>
      </x:c>
      <x:c r="G18" s="19" t="str">
        <x:v>190</x:v>
      </x:c>
      <x:c r="H18" s="19" t="str">
        <x:v>190</x:v>
      </x:c>
      <x:c r="I18" s="19" t="str">
        <x:v>km/h</x:v>
      </x:c>
      <x:c r="J18" s="19" t="str">
        <x:v>EXACT_NUMERIC</x:v>
      </x:c>
      <x:c r="K18" s="19" t="n">
        <x:v>0</x:v>
      </x:c>
      <x:c r="L18" s="19" t="str">
        <x:v>MATCH</x:v>
      </x:c>
      <x:c r="M18" s="19" t="str">
        <x:v>NONE</x:v>
      </x:c>
      <x:c r="N18" s="19" t="str">
        <x:v>SUPPORTS_MAPPING</x:v>
      </x:c>
      <x:c r="O18" s="19" t="str">
        <x:v>E1-X_WEB</x:v>
      </x:c>
      <x:c r="P18" s="19" t="str">
        <x:v>E1-G_PUBLIC</x:v>
      </x:c>
      <x:c r="Q18" s="19" t="str">
        <x:v>同值</x:v>
      </x:c>
    </x:row>
    <x:row r="19" ht="66" customHeight="1">
      <x:c r="A19" s="369" t="str">
        <x:v>R-N90-05</x:v>
      </x:c>
      <x:c r="B19" s="369" t="str">
        <x:v>PC-N90-MAX-CAND</x:v>
      </x:c>
      <x:c r="C19" s="369" t="str">
        <x:v>battery_capacity</x:v>
      </x:c>
      <x:c r="D19" s="369" t="str">
        <x:v>B31-C067</x:v>
      </x:c>
      <x:c r="E19" s="369" t="str">
        <x:v>MIIT409-N90</x:v>
      </x:c>
      <x:c r="F19" s="369" t="str">
        <x:v>V-N90-7</x:v>
      </x:c>
      <x:c r="G19" s="369" t="str">
        <x:v>76</x:v>
      </x:c>
      <x:c r="H19" s="369" t="str">
        <x:v>76（E3转录）</x:v>
      </x:c>
      <x:c r="I19" s="369" t="str">
        <x:v>kWh</x:v>
      </x:c>
      <x:c r="J19" s="369" t="str">
        <x:v>EXACT_NUMERIC</x:v>
      </x:c>
      <x:c r="K19" s="369" t="n">
        <x:v>0</x:v>
      </x:c>
      <x:c r="L19" s="369" t="str">
        <x:v>MATCH_E3_ONLY</x:v>
      </x:c>
      <x:c r="M19" s="369" t="str">
        <x:v>NONE</x:v>
      </x:c>
      <x:c r="N19" s="369" t="str">
        <x:v>NO_EVIDENCE_UPGRADE</x:v>
      </x:c>
      <x:c r="O19" s="369" t="str">
        <x:v>E1-X_WEB</x:v>
      </x:c>
      <x:c r="P19" s="369" t="str">
        <x:v>E3_TRACE</x:v>
      </x:c>
      <x:c r="Q19" s="369" t="str">
        <x:v>官网单车页已锁值；监管侧证据等级仍是E3</x:v>
      </x:c>
    </x:row>
    <x:row r="20" ht="66" customHeight="1">
      <x:c r="A20" s="19" t="str">
        <x:v>R-N90-06</x:v>
      </x:c>
      <x:c r="B20" s="19" t="str">
        <x:v>PC-N90-MAX-CAND</x:v>
      </x:c>
      <x:c r="C20" s="19" t="str">
        <x:v>battery_chemistry</x:v>
      </x:c>
      <x:c r="D20" s="19" t="str">
        <x:v>B31-C068</x:v>
      </x:c>
      <x:c r="E20" s="19" t="str">
        <x:v>MIIT409-N90</x:v>
      </x:c>
      <x:c r="F20" s="19" t="str">
        <x:v>V-N90-7</x:v>
      </x:c>
      <x:c r="G20" s="19" t="str">
        <x:v>三元锂</x:v>
      </x:c>
      <x:c r="H20" s="19" t="str">
        <x:v>NCM / 中创新航</x:v>
      </x:c>
      <x:c r="I20" s="19" t="str"/>
      <x:c r="J20" s="19" t="str">
        <x:v>EXACT_CATEGORY</x:v>
      </x:c>
      <x:c r="K20" s="19" t="str"/>
      <x:c r="L20" s="19" t="str">
        <x:v>MATCH</x:v>
      </x:c>
      <x:c r="M20" s="19" t="str">
        <x:v>NONE</x:v>
      </x:c>
      <x:c r="N20" s="19" t="str">
        <x:v>SUPPORTS_MAPPING</x:v>
      </x:c>
      <x:c r="O20" s="19" t="str">
        <x:v>E1-X_WEB</x:v>
      </x:c>
      <x:c r="P20" s="19" t="str">
        <x:v>E1-G_PUBLIC</x:v>
      </x:c>
      <x:c r="Q20" s="19" t="str">
        <x:v>化学体系一致</x:v>
      </x:c>
    </x:row>
    <x:row r="21" ht="66" customHeight="1">
      <x:c r="A21" s="369" t="str">
        <x:v>R-N90-07</x:v>
      </x:c>
      <x:c r="B21" s="369" t="str">
        <x:v>PC-N90-MAX-CAND</x:v>
      </x:c>
      <x:c r="C21" s="369" t="str">
        <x:v>cltc_ev_range</x:v>
      </x:c>
      <x:c r="D21" s="369" t="str">
        <x:v>B31-C069</x:v>
      </x:c>
      <x:c r="E21" s="369" t="str">
        <x:v>MIIT409-N90</x:v>
      </x:c>
      <x:c r="F21" s="369" t="str">
        <x:v>V-N90-7</x:v>
      </x:c>
      <x:c r="G21" s="369" t="str">
        <x:v>464 CLTC</x:v>
      </x:c>
      <x:c r="H21" s="369" t="str">
        <x:v>370；目录循环未完整披露</x:v>
      </x:c>
      <x:c r="I21" s="369" t="str">
        <x:v>km</x:v>
      </x:c>
      <x:c r="J21" s="369" t="str">
        <x:v>CYCLE_DEPENDENT</x:v>
      </x:c>
      <x:c r="K21" s="369" t="str"/>
      <x:c r="L21" s="369" t="str">
        <x:v>NOT_COMPARABLE_CYCLE_UNKNOWN</x:v>
      </x:c>
      <x:c r="M21" s="369" t="str">
        <x:v>NONE</x:v>
      </x:c>
      <x:c r="N21" s="369" t="str">
        <x:v>NEUTRAL</x:v>
      </x:c>
      <x:c r="O21" s="369" t="str">
        <x:v>E1-X_WEB</x:v>
      </x:c>
      <x:c r="P21" s="369" t="str">
        <x:v>E3_TRACE</x:v>
      </x:c>
      <x:c r="Q21" s="369" t="str">
        <x:v>不得用系列505覆盖N90单车464</x:v>
      </x:c>
    </x:row>
    <x:row r="22" ht="66" customHeight="1">
      <x:c r="A22" s="19" t="str">
        <x:v>R-N90-08</x:v>
      </x:c>
      <x:c r="B22" s="19" t="str">
        <x:v>PC-N90-MAX-CAND</x:v>
      </x:c>
      <x:c r="C22" s="19" t="str">
        <x:v>charge_sustaining_fuel</x:v>
      </x:c>
      <x:c r="D22" s="19" t="str">
        <x:v>B31-C072</x:v>
      </x:c>
      <x:c r="E22" s="19" t="str">
        <x:v>MIIT409-N90</x:v>
      </x:c>
      <x:c r="F22" s="19" t="str">
        <x:v>V-N90-7</x:v>
      </x:c>
      <x:c r="G22" s="19" t="str">
        <x:v>6.26</x:v>
      </x:c>
      <x:c r="H22" s="19" t="str">
        <x:v>6.26</x:v>
      </x:c>
      <x:c r="I22" s="19" t="str">
        <x:v>L/100km</x:v>
      </x:c>
      <x:c r="J22" s="19" t="str">
        <x:v>EXACT_NUMERIC_VALUE_CYCLE_REVIEW</x:v>
      </x:c>
      <x:c r="K22" s="19" t="n">
        <x:v>0</x:v>
      </x:c>
      <x:c r="L22" s="19" t="str">
        <x:v>MATCH_VALUE_CYCLE_REVIEW</x:v>
      </x:c>
      <x:c r="M22" s="19" t="str">
        <x:v>NONE</x:v>
      </x:c>
      <x:c r="N22" s="19" t="str">
        <x:v>NEUTRAL</x:v>
      </x:c>
      <x:c r="O22" s="19" t="str">
        <x:v>E1-X_WEB</x:v>
      </x:c>
      <x:c r="P22" s="19" t="str">
        <x:v>E3_TRACE</x:v>
      </x:c>
      <x:c r="Q22" s="19" t="str">
        <x:v>值一致；循环标签仍按原页/脚注补证</x:v>
      </x:c>
    </x:row>
    <x:row r="23" ht="66" customHeight="1">
      <x:c r="A23" s="369" t="str">
        <x:v>R-N90-09</x:v>
      </x:c>
      <x:c r="B23" s="369" t="str">
        <x:v>PC-N90-MAX-CAND</x:v>
      </x:c>
      <x:c r="C23" s="369" t="str">
        <x:v>tire_width_front_rear</x:v>
      </x:c>
      <x:c r="D23" s="369" t="str">
        <x:v>B31-C081</x:v>
      </x:c>
      <x:c r="E23" s="369" t="str">
        <x:v>MIIT409-N90</x:v>
      </x:c>
      <x:c r="F23" s="369" t="str">
        <x:v>V-N90-7</x:v>
      </x:c>
      <x:c r="G23" s="369" t="str">
        <x:v>前255 / 后265</x:v>
      </x:c>
      <x:c r="H23" s="369" t="str">
        <x:v>前255/45R21；后265/45R21</x:v>
      </x:c>
      <x:c r="I23" s="369" t="str">
        <x:v>mm</x:v>
      </x:c>
      <x:c r="J23" s="369" t="str">
        <x:v>SET_MEMBERSHIP</x:v>
      </x:c>
      <x:c r="K23" s="369" t="str"/>
      <x:c r="L23" s="369" t="str">
        <x:v>MATCH</x:v>
      </x:c>
      <x:c r="M23" s="369" t="str">
        <x:v>NONE</x:v>
      </x:c>
      <x:c r="N23" s="369" t="str">
        <x:v>SUPPORTS_MAPPING</x:v>
      </x:c>
      <x:c r="O23" s="369" t="str">
        <x:v>E1-X_WEB</x:v>
      </x:c>
      <x:c r="P23" s="369" t="str">
        <x:v>E1-G_PUBLIC</x:v>
      </x:c>
      <x:c r="Q23" s="369" t="str">
        <x:v>宽度一致</x:v>
      </x:c>
    </x:row>
    <x:row r="24" ht="66" customHeight="1">
      <x:c r="A24" s="19" t="str">
        <x:v>R-N90-10</x:v>
      </x:c>
      <x:c r="B24" s="19" t="str">
        <x:v>PC-N90-MAX-CAND</x:v>
      </x:c>
      <x:c r="C24" s="19" t="str">
        <x:v>seat_layout</x:v>
      </x:c>
      <x:c r="D24" s="19" t="str">
        <x:v>B31-C037</x:v>
      </x:c>
      <x:c r="E24" s="19" t="str">
        <x:v>MIIT409-N90</x:v>
      </x:c>
      <x:c r="F24" s="19" t="str">
        <x:v>V-N90-7</x:v>
      </x:c>
      <x:c r="G24" s="19" t="str">
        <x:v>2+2+3</x:v>
      </x:c>
      <x:c r="H24" s="19" t="str">
        <x:v>仅额定载客7</x:v>
      </x:c>
      <x:c r="I24" s="19" t="str"/>
      <x:c r="J24" s="19" t="str">
        <x:v>MIIT_OUT_OF_SCOPE</x:v>
      </x:c>
      <x:c r="K24" s="19" t="str"/>
      <x:c r="L24" s="19" t="str">
        <x:v>MIIT_OUT_OF_SCOPE</x:v>
      </x:c>
      <x:c r="M24" s="19" t="str">
        <x:v>NONE</x:v>
      </x:c>
      <x:c r="N24" s="19" t="str">
        <x:v>NEUTRAL</x:v>
      </x:c>
      <x:c r="O24" s="19" t="str">
        <x:v>E1-X_WEB</x:v>
      </x:c>
      <x:c r="P24" s="19" t="str">
        <x:v>E1-G_PUBLIC</x:v>
      </x:c>
      <x:c r="Q24" s="19" t="str">
        <x:v>布局由商品页证明</x:v>
      </x:c>
    </x:row>
    <x:row r="25" ht="66" customHeight="1">
      <x:c r="A25" s="369" t="str">
        <x:v>R-N90-11</x:v>
      </x:c>
      <x:c r="B25" s="369" t="str">
        <x:v>PC-N90-MAX-CAND</x:v>
      </x:c>
      <x:c r="C25" s="369" t="str">
        <x:v>smart_power_doors</x:v>
      </x:c>
      <x:c r="D25" s="369" t="str">
        <x:v>B31-C105</x:v>
      </x:c>
      <x:c r="E25" s="369" t="str">
        <x:v>MIIT409-N90</x:v>
      </x:c>
      <x:c r="F25" s="369" t="str">
        <x:v>V-N90-7</x:v>
      </x:c>
      <x:c r="G25" s="369" t="str">
        <x:v>可选</x:v>
      </x:c>
      <x:c r="H25" s="369" t="str">
        <x:v>监管外观/选装集合不证明商品定价</x:v>
      </x:c>
      <x:c r="I25" s="369" t="str"/>
      <x:c r="J25" s="369" t="str">
        <x:v>MIIT_OUT_OF_SCOPE</x:v>
      </x:c>
      <x:c r="K25" s="369" t="str"/>
      <x:c r="L25" s="369" t="str">
        <x:v>MIIT_OUT_OF_SCOPE</x:v>
      </x:c>
      <x:c r="M25" s="369" t="str">
        <x:v>NONE</x:v>
      </x:c>
      <x:c r="N25" s="369" t="str">
        <x:v>NEUTRAL</x:v>
      </x:c>
      <x:c r="O25" s="369" t="str">
        <x:v>E1-X_WEB</x:v>
      </x:c>
      <x:c r="P25" s="369" t="str">
        <x:v>E1-G_PUBLIC</x:v>
      </x:c>
      <x:c r="Q25" s="369" t="str">
        <x:v>商品选装边界由官网证明</x:v>
      </x:c>
    </x:row>
    <x:row r="26" ht="66" customHeight="1">
      <x:c r="A26" s="19" t="str">
        <x:v>R-N90-12</x:v>
      </x:c>
      <x:c r="B26" s="19" t="str">
        <x:v>PC-N90-MAX-CAND</x:v>
      </x:c>
      <x:c r="C26" s="19" t="str">
        <x:v>max_wading_depth</x:v>
      </x:c>
      <x:c r="D26" s="19" t="str">
        <x:v>B31-C092</x:v>
      </x:c>
      <x:c r="E26" s="19" t="str">
        <x:v>MIIT409-N90</x:v>
      </x:c>
      <x:c r="F26" s="19" t="str">
        <x:v>V-N90-7</x:v>
      </x:c>
      <x:c r="G26" s="19" t="str">
        <x:v>750</x:v>
      </x:c>
      <x:c r="H26" s="19" t="str">
        <x:v>未披露</x:v>
      </x:c>
      <x:c r="I26" s="19" t="str">
        <x:v>mm</x:v>
      </x:c>
      <x:c r="J26" s="19" t="str">
        <x:v>MIIT_OUT_OF_SCOPE</x:v>
      </x:c>
      <x:c r="K26" s="19" t="str"/>
      <x:c r="L26" s="19" t="str">
        <x:v>MIIT_OUT_OF_SCOPE</x:v>
      </x:c>
      <x:c r="M26" s="19" t="str">
        <x:v>NONE</x:v>
      </x:c>
      <x:c r="N26" s="19" t="str">
        <x:v>NEUTRAL</x:v>
      </x:c>
      <x:c r="O26" s="19" t="str">
        <x:v>E1-X_WEB</x:v>
      </x:c>
      <x:c r="P26" s="19" t="str">
        <x:v>E1-G_PUBLIC</x:v>
      </x:c>
      <x:c r="Q26" s="19" t="str">
        <x:v>不记mismatch</x:v>
      </x:c>
    </x:row>
    <x:row r="27" ht="66" customHeight="1">
      <x:c r="A27" s="369" t="str">
        <x:v>R-N90-13</x:v>
      </x:c>
      <x:c r="B27" s="369" t="str">
        <x:v>PC-N90-MAX-CAND</x:v>
      </x:c>
      <x:c r="C27" s="369" t="str">
        <x:v>rear_solid_state_lidar</x:v>
      </x:c>
      <x:c r="D27" s="369" t="str">
        <x:v>B31-C103</x:v>
      </x:c>
      <x:c r="E27" s="369" t="str">
        <x:v>MIIT409-N90</x:v>
      </x:c>
      <x:c r="F27" s="369" t="str">
        <x:v>V-N90-7</x:v>
      </x:c>
      <x:c r="G27" s="369" t="str">
        <x:v>后向固态激光雷达</x:v>
      </x:c>
      <x:c r="H27" s="369" t="str">
        <x:v>未披露商品标配</x:v>
      </x:c>
      <x:c r="I27" s="369" t="str"/>
      <x:c r="J27" s="369" t="str">
        <x:v>MIIT_OUT_OF_SCOPE</x:v>
      </x:c>
      <x:c r="K27" s="369" t="str"/>
      <x:c r="L27" s="369" t="str">
        <x:v>MIIT_OUT_OF_SCOPE</x:v>
      </x:c>
      <x:c r="M27" s="369" t="str">
        <x:v>NONE</x:v>
      </x:c>
      <x:c r="N27" s="369" t="str">
        <x:v>NEUTRAL</x:v>
      </x:c>
      <x:c r="O27" s="369" t="str">
        <x:v>E1-X_WEB</x:v>
      </x:c>
      <x:c r="P27" s="369" t="str">
        <x:v>E1-G_PUBLIC</x:v>
      </x:c>
      <x:c r="Q27" s="369" t="str">
        <x:v>仅N90单车官网明确，不下放N70</x:v>
      </x:c>
    </x:row>
  </x:sheetData>
  <x:mergeCells>
    <x:mergeCell ref="A1:Q1"/>
    <x:mergeCell ref="A2:Q2"/>
    <x:mergeCell ref="A3:Q3"/>
  </x:mergeCells>
  <x:conditionalFormatting sqref="J6:P27">
    <x:cfRule type="containsText" dxfId="806" priority="1" operator="containsText" text="PASS"/>
    <x:cfRule type="containsText" dxfId="807" priority="2" operator="containsText" text="READY"/>
    <x:cfRule type="containsText" dxfId="808" priority="3" operator="containsText" text="TRUE"/>
    <x:cfRule type="containsText" dxfId="809" priority="4" operator="containsText" text="MATCH"/>
    <x:cfRule type="containsText" dxfId="810" priority="5" operator="containsText" text="STANDARD"/>
    <x:cfRule type="containsText" dxfId="811" priority="6" operator="containsText" text="ACCEPTED"/>
    <x:cfRule type="containsText" dxfId="812" priority="7" operator="containsText" text="OPTIONAL"/>
    <x:cfRule type="containsText" dxfId="813" priority="8" operator="containsText" text="SEPARATE_PURCHASE"/>
    <x:cfRule type="containsText" dxfId="814" priority="9" operator="containsText" text="EQUIPPED"/>
    <x:cfRule type="containsText" dxfId="815" priority="10" operator="containsText" text="PARTIAL"/>
    <x:cfRule type="containsText" dxfId="816" priority="11" operator="containsText" text="PENDING"/>
    <x:cfRule type="containsText" dxfId="817" priority="12" operator="containsText" text="NOT_DISCLOSED"/>
    <x:cfRule type="containsText" dxfId="818" priority="13" operator="containsText" text="NOT_EVIDENCED"/>
    <x:cfRule type="containsText" dxfId="819" priority="14" operator="containsText" text="NOT_COMPARABLE"/>
    <x:cfRule type="containsText" dxfId="820" priority="15" operator="containsText" text="PROVISIONAL"/>
    <x:cfRule type="containsText" dxfId="821" priority="16" operator="containsText" text="BLOCKED"/>
    <x:cfRule type="containsText" dxfId="822" priority="17" operator="containsText" text="FAIL"/>
    <x:cfRule type="containsText" dxfId="823" priority="18" operator="containsText" text="FALSE"/>
    <x:cfRule type="containsText" dxfId="824" priority="19" operator="containsText" text="CONFLICT"/>
    <x:cfRule type="containsText" dxfId="825" priority="20" operator="containsText" text="MISMATCH_HARD"/>
    <x:cfRule type="containsText" dxfId="826" priority="21" operator="containsText" text="REJECTED"/>
  </x:conditionalFormatting>
  <x:pageMargins left="0.7" right="0.7" top="0.75" bottom="0.75" header="0.3" footer="0.3"/>
</x:worksheet>
</file>

<file path=xl/worksheets/sheet5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3" hidden="0" customWidth="1"/>
    <x:col min="3" max="3" width="18" hidden="0" customWidth="1"/>
    <x:col min="4" max="4" width="24" hidden="0" customWidth="1"/>
    <x:col min="5" max="5" width="25" hidden="0" customWidth="1"/>
    <x:col min="6" max="6" width="28" hidden="0" customWidth="1"/>
    <x:col min="7" max="7" width="15" hidden="0" customWidth="1"/>
    <x:col min="8" max="8" width="15" hidden="0" customWidth="1"/>
    <x:col min="9" max="9" width="15" hidden="0" customWidth="1"/>
    <x:col min="10" max="10" width="18" hidden="0" customWidth="1"/>
    <x:col min="11" max="11" width="16" hidden="0" customWidth="1"/>
    <x:col min="12" max="12" width="32" hidden="0" customWidth="1"/>
    <x:col min="13" max="13" width="24" hidden="0" customWidth="1"/>
    <x:col min="14" max="14" width="18" hidden="0" customWidth="1"/>
    <x:col min="15" max="15" width="18" hidden="0" customWidth="1"/>
    <x:col min="16" max="16" width="30" hidden="0" customWidth="1"/>
    <x:col min="17" max="17" width="28" hidden="0" customWidth="1"/>
    <x:col min="18" max="18" width="26" hidden="0" customWidth="1"/>
    <x:col min="19" max="19" width="20" hidden="0" customWidth="1"/>
    <x:col min="20" max="20" width="20" hidden="0" customWidth="1"/>
    <x:col min="21" max="21" width="18" hidden="0" customWidth="1"/>
    <x:col min="22" max="22" width="32" hidden="0" customWidth="1"/>
    <x:col min="23" max="23" width="28" hidden="0" customWidth="1"/>
    <x:col min="24" max="24" width="24" hidden="0" customWidth="1"/>
    <x:col min="25" max="25" width="30" hidden="0" customWidth="1"/>
    <x:col min="26" max="26" width="24" hidden="0" customWidth="1"/>
  </x:cols>
  <x:sheetData>
    <x:row r="1" ht="30" customHeight="1">
      <x:c r="A1" s="356" t="str">
        <x:v>54｜App小订身份与车辆SKU隔离</x:v>
      </x:c>
      <x:c r="B1" s="356"/>
      <x:c r="C1" s="356"/>
      <x:c r="D1" s="356"/>
      <x:c r="E1" s="356"/>
      <x:c r="F1" s="356"/>
      <x:c r="G1" s="356"/>
      <x:c r="H1" s="356"/>
      <x:c r="I1" s="356"/>
      <x:c r="J1" s="356"/>
      <x:c r="K1" s="356"/>
      <x:c r="L1" s="356"/>
      <x:c r="M1" s="356"/>
      <x:c r="N1" s="356"/>
      <x:c r="O1" s="356"/>
      <x:c r="P1" s="356"/>
      <x:c r="Q1" s="356"/>
      <x:c r="R1" s="356"/>
      <x:c r="S1" s="356"/>
      <x:c r="T1" s="356"/>
      <x:c r="U1" s="356"/>
      <x:c r="V1" s="356"/>
      <x:c r="W1" s="356"/>
      <x:c r="X1" s="356"/>
      <x:c r="Y1" s="356"/>
      <x:c r="Z1" s="356"/>
    </x:row>
    <x:row r="2" ht="22" customHeight="1">
      <x:c r="A2" s="359" t="str">
        <x:v>商业节点 ≠ 小订意向金商品 ≠ 最终车辆SKU</x:v>
      </x:c>
      <x:c r="B2" s="359"/>
      <x:c r="C2" s="359"/>
      <x:c r="D2" s="359"/>
      <x:c r="E2" s="359"/>
      <x:c r="F2" s="359"/>
      <x:c r="G2" s="359"/>
      <x:c r="H2" s="359"/>
      <x:c r="I2" s="359"/>
      <x:c r="J2" s="359"/>
      <x:c r="K2" s="359"/>
      <x:c r="L2" s="359"/>
      <x:c r="M2" s="359"/>
      <x:c r="N2" s="359"/>
      <x:c r="O2" s="359"/>
      <x:c r="P2" s="359"/>
      <x:c r="Q2" s="359"/>
      <x:c r="R2" s="359"/>
      <x:c r="S2" s="359"/>
      <x:c r="T2" s="359"/>
      <x:c r="U2" s="359"/>
      <x:c r="V2" s="359"/>
      <x:c r="W2" s="359"/>
      <x:c r="X2" s="359"/>
      <x:c r="Y2" s="359"/>
      <x:c r="Z2" s="359"/>
    </x:row>
    <x:row r="3" ht="54" customHeight="1">
      <x:c r="A3" s="363" t="str">
        <x:v>小订内容可证明商业节点和活动价格，但不提供goods_id/version_id/order_item_id/config_revision。官网“预约咨询”与App/活动“小订”是不同漏斗入口，可并存；两者都不能锁定当前车辆SKU。</x:v>
      </x:c>
      <x:c r="B3" s="363"/>
      <x:c r="C3" s="363"/>
      <x:c r="D3" s="363"/>
      <x:c r="E3" s="363"/>
      <x:c r="F3" s="363"/>
      <x:c r="G3" s="363"/>
      <x:c r="H3" s="363"/>
      <x:c r="I3" s="363"/>
      <x:c r="J3" s="363"/>
      <x:c r="K3" s="363"/>
      <x:c r="L3" s="363"/>
      <x:c r="M3" s="363"/>
      <x:c r="N3" s="363"/>
      <x:c r="O3" s="363"/>
      <x:c r="P3" s="363"/>
      <x:c r="Q3" s="363"/>
      <x:c r="R3" s="363"/>
      <x:c r="S3" s="363"/>
      <x:c r="T3" s="363"/>
      <x:c r="U3" s="363"/>
      <x:c r="V3" s="363"/>
      <x:c r="W3" s="363"/>
      <x:c r="X3" s="363"/>
      <x:c r="Y3" s="363"/>
      <x:c r="Z3" s="363"/>
    </x:row>
    <x:row r="5" ht="66" customHeight="1">
      <x:c r="A5" s="368" t="str">
        <x:v>app_observation_id</x:v>
      </x:c>
      <x:c r="B5" s="368" t="str">
        <x:v>source_id</x:v>
      </x:c>
      <x:c r="C5" s="368" t="str">
        <x:v>captured_at</x:v>
      </x:c>
      <x:c r="D5" s="368" t="str">
        <x:v>entry_surface</x:v>
      </x:c>
      <x:c r="E5" s="368" t="str">
        <x:v>funnel_stage</x:v>
      </x:c>
      <x:c r="F5" s="368" t="str">
        <x:v>commercial_object_type</x:v>
      </x:c>
      <x:c r="G5" s="368" t="str">
        <x:v>goods_id</x:v>
      </x:c>
      <x:c r="H5" s="368" t="str">
        <x:v>spu_id</x:v>
      </x:c>
      <x:c r="I5" s="368" t="str">
        <x:v>version_id</x:v>
      </x:c>
      <x:c r="J5" s="368" t="str">
        <x:v>order_item_id</x:v>
      </x:c>
      <x:c r="K5" s="368" t="str">
        <x:v>activity_id</x:v>
      </x:c>
      <x:c r="L5" s="368" t="str">
        <x:v>display_name</x:v>
      </x:c>
      <x:c r="M5" s="368" t="str">
        <x:v>linked_commercial_node_id</x:v>
      </x:c>
      <x:c r="N5" s="368" t="str">
        <x:v>presale_amount_cny</x:v>
      </x:c>
      <x:c r="O5" s="368" t="str">
        <x:v>deposit_amount_cny</x:v>
      </x:c>
      <x:c r="P5" s="368" t="str">
        <x:v>deposit_refundability</x:v>
      </x:c>
      <x:c r="Q5" s="368" t="str">
        <x:v>price_basis</x:v>
      </x:c>
      <x:c r="R5" s="368" t="str">
        <x:v>orderable_status</x:v>
      </x:c>
      <x:c r="S5" s="368" t="str">
        <x:v>configurator_accessible</x:v>
      </x:c>
      <x:c r="T5" s="368" t="str">
        <x:v>base_config_visible</x:v>
      </x:c>
      <x:c r="U5" s="368" t="str">
        <x:v>config_revision</x:v>
      </x:c>
      <x:c r="V5" s="368" t="str">
        <x:v>source_completeness_status</x:v>
      </x:c>
      <x:c r="W5" s="368" t="str">
        <x:v>commercial_node_binding_status</x:v>
      </x:c>
      <x:c r="X5" s="368" t="str">
        <x:v>vehicle_sku_lock_status</x:v>
      </x:c>
      <x:c r="Y5" s="368" t="str">
        <x:v>current_config_authority_status</x:v>
      </x:c>
      <x:c r="Z5" s="368" t="str">
        <x:v>price_bridge_eligible</x:v>
      </x:c>
    </x:row>
    <x:row r="6" ht="68" customHeight="1">
      <x:c r="A6" s="19" t="str">
        <x:v>APP-B31-N70-WEB</x:v>
      </x:c>
      <x:c r="B6" s="19" t="str">
        <x:v>B31_SRC_HOME</x:v>
      </x:c>
      <x:c r="C6" s="19" t="str">
        <x:v>2026-08-04</x:v>
      </x:c>
      <x:c r="D6" s="19" t="str">
        <x:v>OFFICIAL_WEBSITE</x:v>
      </x:c>
      <x:c r="E6" s="19" t="str">
        <x:v>RESERVATION_CONSULTATION</x:v>
      </x:c>
      <x:c r="F6" s="19" t="str">
        <x:v>CAMPAIGN_ENTRY</x:v>
      </x:c>
      <x:c r="G6" s="19" t="str"/>
      <x:c r="H6" s="19" t="str"/>
      <x:c r="I6" s="19" t="str"/>
      <x:c r="J6" s="19" t="str"/>
      <x:c r="K6" s="19" t="str"/>
      <x:c r="L6" s="19" t="str">
        <x:v>小米澎程 N70 Max</x:v>
      </x:c>
      <x:c r="M6" s="19" t="str">
        <x:v>PC-N70-MAX-CAND</x:v>
      </x:c>
      <x:c r="N6" s="222" t="n">
        <x:v>259900</x:v>
      </x:c>
      <x:c r="O6" s="222" t="str"/>
      <x:c r="P6" s="19" t="str">
        <x:v>NOT_APPLICABLE</x:v>
      </x:c>
      <x:c r="Q6" s="19" t="str">
        <x:v>OFFICIAL_PRESALE</x:v>
      </x:c>
      <x:c r="R6" s="19" t="str">
        <x:v>CONSULTATION_ONLY</x:v>
      </x:c>
      <x:c r="S6" s="19" t="str">
        <x:v>FALSE</x:v>
      </x:c>
      <x:c r="T6" s="19" t="str">
        <x:v>FALSE</x:v>
      </x:c>
      <x:c r="U6" s="19" t="str"/>
      <x:c r="V6" s="19" t="str">
        <x:v>LIVE_PAGE_NO_APP_IDS</x:v>
      </x:c>
      <x:c r="W6" s="19" t="str">
        <x:v>ACCEPTED</x:v>
      </x:c>
      <x:c r="X6" s="19" t="str">
        <x:v>FALSE</x:v>
      </x:c>
      <x:c r="Y6" s="19" t="str">
        <x:v>FALSE</x:v>
      </x:c>
      <x:c r="Z6" s="19" t="str">
        <x:v>FALSE</x:v>
      </x:c>
    </x:row>
    <x:row r="7" ht="68" customHeight="1">
      <x:c r="A7" s="369" t="str">
        <x:v>APP-B31-N70-SO</x:v>
      </x:c>
      <x:c r="B7" s="369" t="str">
        <x:v>B31_SRC_SMALL_ORDER</x:v>
      </x:c>
      <x:c r="C7" s="369" t="str">
        <x:v>2026-07-30</x:v>
      </x:c>
      <x:c r="D7" s="369" t="str">
        <x:v>OFFICIAL_SOCIAL_TO_APP</x:v>
      </x:c>
      <x:c r="E7" s="369" t="str">
        <x:v>SMALL_ORDER_INTENT</x:v>
      </x:c>
      <x:c r="F7" s="369" t="str">
        <x:v>INTENT_DEPOSIT_PRODUCT</x:v>
      </x:c>
      <x:c r="G7" s="369" t="str"/>
      <x:c r="H7" s="369" t="str"/>
      <x:c r="I7" s="369" t="str"/>
      <x:c r="J7" s="369" t="str"/>
      <x:c r="K7" s="369" t="str"/>
      <x:c r="L7" s="369" t="str">
        <x:v>小米澎程 N70 Max 小订</x:v>
      </x:c>
      <x:c r="M7" s="369" t="str">
        <x:v>PC-N70-MAX-CAND</x:v>
      </x:c>
      <x:c r="N7" s="374" t="n">
        <x:v>259900</x:v>
      </x:c>
      <x:c r="O7" s="374" t="n">
        <x:v>1000</x:v>
      </x:c>
      <x:c r="P7" s="369" t="str">
        <x:v>发布后随时可退（活动原文）</x:v>
      </x:c>
      <x:c r="Q7" s="369" t="str">
        <x:v>PRESALE_PLUS_INTENT_DEPOSIT</x:v>
      </x:c>
      <x:c r="R7" s="369" t="str">
        <x:v>SMALL_ORDER_OPEN_TRACE</x:v>
      </x:c>
      <x:c r="S7" s="369" t="str">
        <x:v>FALSE</x:v>
      </x:c>
      <x:c r="T7" s="369" t="str">
        <x:v>FALSE</x:v>
      </x:c>
      <x:c r="U7" s="369" t="str"/>
      <x:c r="V7" s="369" t="str">
        <x:v>OFFICIAL_CONTENT_TRACE</x:v>
      </x:c>
      <x:c r="W7" s="369" t="str">
        <x:v>ACCEPTED</x:v>
      </x:c>
      <x:c r="X7" s="369" t="str">
        <x:v>FALSE</x:v>
      </x:c>
      <x:c r="Y7" s="369" t="str">
        <x:v>FALSE</x:v>
      </x:c>
      <x:c r="Z7" s="369" t="str">
        <x:v>FALSE</x:v>
      </x:c>
    </x:row>
    <x:row r="8" ht="68" customHeight="1">
      <x:c r="A8" s="19" t="str">
        <x:v>APP-B31-N90-WEB</x:v>
      </x:c>
      <x:c r="B8" s="19" t="str">
        <x:v>B31_SRC_N90_WEB</x:v>
      </x:c>
      <x:c r="C8" s="19" t="str">
        <x:v>2026-08-04</x:v>
      </x:c>
      <x:c r="D8" s="19" t="str">
        <x:v>OFFICIAL_PRODUCT_PAGE</x:v>
      </x:c>
      <x:c r="E8" s="19" t="str">
        <x:v>RESERVATION_CONSULTATION</x:v>
      </x:c>
      <x:c r="F8" s="19" t="str">
        <x:v>CAMPAIGN_ENTRY</x:v>
      </x:c>
      <x:c r="G8" s="19" t="str"/>
      <x:c r="H8" s="19" t="str"/>
      <x:c r="I8" s="19" t="str"/>
      <x:c r="J8" s="19" t="str"/>
      <x:c r="K8" s="19" t="str"/>
      <x:c r="L8" s="19" t="str">
        <x:v>小米澎程 N90 Max</x:v>
      </x:c>
      <x:c r="M8" s="19" t="str">
        <x:v>PC-N90-MAX-CAND</x:v>
      </x:c>
      <x:c r="N8" s="222" t="n">
        <x:v>299900</x:v>
      </x:c>
      <x:c r="O8" s="222" t="str"/>
      <x:c r="P8" s="19" t="str">
        <x:v>NOT_APPLICABLE</x:v>
      </x:c>
      <x:c r="Q8" s="19" t="str">
        <x:v>OFFICIAL_PRESALE</x:v>
      </x:c>
      <x:c r="R8" s="19" t="str">
        <x:v>CONSULTATION_ONLY</x:v>
      </x:c>
      <x:c r="S8" s="19" t="str">
        <x:v>FALSE</x:v>
      </x:c>
      <x:c r="T8" s="19" t="str">
        <x:v>FALSE</x:v>
      </x:c>
      <x:c r="U8" s="19" t="str"/>
      <x:c r="V8" s="19" t="str">
        <x:v>CURRENT_OFFICIAL_PAGE_READABLE</x:v>
      </x:c>
      <x:c r="W8" s="19" t="str">
        <x:v>ACCEPTED</x:v>
      </x:c>
      <x:c r="X8" s="19" t="str">
        <x:v>FALSE</x:v>
      </x:c>
      <x:c r="Y8" s="19" t="str">
        <x:v>FALSE</x:v>
      </x:c>
      <x:c r="Z8" s="19" t="str">
        <x:v>FALSE</x:v>
      </x:c>
    </x:row>
    <x:row r="9" ht="68" customHeight="1">
      <x:c r="A9" s="369" t="str">
        <x:v>APP-B31-N90-SO</x:v>
      </x:c>
      <x:c r="B9" s="369" t="str">
        <x:v>B31_SRC_SMALL_ORDER</x:v>
      </x:c>
      <x:c r="C9" s="369" t="str">
        <x:v>2026-07-30</x:v>
      </x:c>
      <x:c r="D9" s="369" t="str">
        <x:v>OFFICIAL_SOCIAL_TO_APP</x:v>
      </x:c>
      <x:c r="E9" s="369" t="str">
        <x:v>SMALL_ORDER_INTENT</x:v>
      </x:c>
      <x:c r="F9" s="369" t="str">
        <x:v>INTENT_DEPOSIT_PRODUCT</x:v>
      </x:c>
      <x:c r="G9" s="369" t="str"/>
      <x:c r="H9" s="369" t="str"/>
      <x:c r="I9" s="369" t="str"/>
      <x:c r="J9" s="369" t="str"/>
      <x:c r="K9" s="369" t="str"/>
      <x:c r="L9" s="369" t="str">
        <x:v>小米澎程 N90 Max 小订</x:v>
      </x:c>
      <x:c r="M9" s="369" t="str">
        <x:v>PC-N90-MAX-CAND</x:v>
      </x:c>
      <x:c r="N9" s="374" t="n">
        <x:v>299900</x:v>
      </x:c>
      <x:c r="O9" s="374" t="n">
        <x:v>1000</x:v>
      </x:c>
      <x:c r="P9" s="369" t="str">
        <x:v>发布后随时可退（活动原文）</x:v>
      </x:c>
      <x:c r="Q9" s="369" t="str">
        <x:v>PRESALE_PLUS_INTENT_DEPOSIT</x:v>
      </x:c>
      <x:c r="R9" s="369" t="str">
        <x:v>SMALL_ORDER_OPEN_TRACE</x:v>
      </x:c>
      <x:c r="S9" s="369" t="str">
        <x:v>FALSE</x:v>
      </x:c>
      <x:c r="T9" s="369" t="str">
        <x:v>FALSE</x:v>
      </x:c>
      <x:c r="U9" s="369" t="str"/>
      <x:c r="V9" s="369" t="str">
        <x:v>OFFICIAL_CONTENT_TRACE</x:v>
      </x:c>
      <x:c r="W9" s="369" t="str">
        <x:v>ACCEPTED</x:v>
      </x:c>
      <x:c r="X9" s="369" t="str">
        <x:v>FALSE</x:v>
      </x:c>
      <x:c r="Y9" s="369" t="str">
        <x:v>FALSE</x:v>
      </x:c>
      <x:c r="Z9" s="369" t="str">
        <x:v>FALSE</x:v>
      </x:c>
    </x:row>
    <x:row r="10" ht="68" customHeight="1">
      <x:c r="A10" s="19" t="str">
        <x:v>APP-B31-N70BASE</x:v>
      </x:c>
      <x:c r="B10" s="19" t="str"/>
      <x:c r="C10" s="19" t="str">
        <x:v>2026-08-04</x:v>
      </x:c>
      <x:c r="D10" s="19" t="str">
        <x:v>NONE</x:v>
      </x:c>
      <x:c r="E10" s="19" t="str">
        <x:v>NO_OBSERVATION</x:v>
      </x:c>
      <x:c r="F10" s="19" t="str">
        <x:v>UNKNOWN</x:v>
      </x:c>
      <x:c r="G10" s="19" t="str"/>
      <x:c r="H10" s="19" t="str"/>
      <x:c r="I10" s="19" t="str"/>
      <x:c r="J10" s="19" t="str"/>
      <x:c r="K10" s="19" t="str"/>
      <x:c r="L10" s="19" t="str">
        <x:v>N70低阶候选</x:v>
      </x:c>
      <x:c r="M10" s="19" t="str">
        <x:v>PC-N70-BASE-CAND</x:v>
      </x:c>
      <x:c r="N10" s="222" t="str"/>
      <x:c r="O10" s="222" t="str"/>
      <x:c r="P10" s="19" t="str">
        <x:v>NOT_DISCLOSED</x:v>
      </x:c>
      <x:c r="Q10" s="19" t="str">
        <x:v>NOT_DISCLOSED</x:v>
      </x:c>
      <x:c r="R10" s="19" t="str">
        <x:v>NOT_EVIDENCED</x:v>
      </x:c>
      <x:c r="S10" s="19" t="str">
        <x:v>FALSE</x:v>
      </x:c>
      <x:c r="T10" s="19" t="str">
        <x:v>FALSE</x:v>
      </x:c>
      <x:c r="U10" s="19" t="str"/>
      <x:c r="V10" s="19" t="str">
        <x:v>NO_SOURCE</x:v>
      </x:c>
      <x:c r="W10" s="19" t="str">
        <x:v>NOT_BOUND</x:v>
      </x:c>
      <x:c r="X10" s="19" t="str">
        <x:v>FALSE</x:v>
      </x:c>
      <x:c r="Y10" s="19" t="str">
        <x:v>FALSE</x:v>
      </x:c>
      <x:c r="Z10" s="19" t="str">
        <x:v>FALSE</x:v>
      </x:c>
    </x:row>
    <x:row r="11" ht="68" customHeight="1">
      <x:c r="A11" s="369" t="str">
        <x:v>APP-B31-ROOF</x:v>
      </x:c>
      <x:c r="B11" s="369" t="str"/>
      <x:c r="C11" s="369" t="str">
        <x:v>2026-08-04</x:v>
      </x:c>
      <x:c r="D11" s="369" t="str">
        <x:v>NONE</x:v>
      </x:c>
      <x:c r="E11" s="369" t="str">
        <x:v>NO_OBSERVATION</x:v>
      </x:c>
      <x:c r="F11" s="369" t="str">
        <x:v>UNKNOWN</x:v>
      </x:c>
      <x:c r="G11" s="369" t="str"/>
      <x:c r="H11" s="369" t="str"/>
      <x:c r="I11" s="369" t="str"/>
      <x:c r="J11" s="369" t="str"/>
      <x:c r="K11" s="369" t="str"/>
      <x:c r="L11" s="369" t="str">
        <x:v>N90升顶候选</x:v>
      </x:c>
      <x:c r="M11" s="369" t="str">
        <x:v>PC-N90-ROOF-CAND</x:v>
      </x:c>
      <x:c r="N11" s="374" t="str"/>
      <x:c r="O11" s="374" t="str"/>
      <x:c r="P11" s="369" t="str">
        <x:v>NOT_DISCLOSED</x:v>
      </x:c>
      <x:c r="Q11" s="369" t="str">
        <x:v>NOT_DISCLOSED</x:v>
      </x:c>
      <x:c r="R11" s="369" t="str">
        <x:v>NOT_EVIDENCED</x:v>
      </x:c>
      <x:c r="S11" s="369" t="str">
        <x:v>FALSE</x:v>
      </x:c>
      <x:c r="T11" s="369" t="str">
        <x:v>FALSE</x:v>
      </x:c>
      <x:c r="U11" s="369" t="str"/>
      <x:c r="V11" s="369" t="str">
        <x:v>NO_SOURCE</x:v>
      </x:c>
      <x:c r="W11" s="369" t="str">
        <x:v>NOT_BOUND</x:v>
      </x:c>
      <x:c r="X11" s="369" t="str">
        <x:v>FALSE</x:v>
      </x:c>
      <x:c r="Y11" s="369" t="str">
        <x:v>FALSE</x:v>
      </x:c>
      <x:c r="Z11" s="369" t="str">
        <x:v>FALSE</x:v>
      </x:c>
    </x:row>
  </x:sheetData>
  <x:mergeCells>
    <x:mergeCell ref="A1:Z1"/>
    <x:mergeCell ref="A2:Z2"/>
    <x:mergeCell ref="A3:Z3"/>
  </x:mergeCells>
  <x:conditionalFormatting sqref="E6:Z11">
    <x:cfRule type="containsText" dxfId="827" priority="1" operator="containsText" text="PASS"/>
    <x:cfRule type="containsText" dxfId="828" priority="2" operator="containsText" text="READY"/>
    <x:cfRule type="containsText" dxfId="829" priority="3" operator="containsText" text="TRUE"/>
    <x:cfRule type="containsText" dxfId="830" priority="4" operator="containsText" text="MATCH"/>
    <x:cfRule type="containsText" dxfId="831" priority="5" operator="containsText" text="STANDARD"/>
    <x:cfRule type="containsText" dxfId="832" priority="6" operator="containsText" text="ACCEPTED"/>
    <x:cfRule type="containsText" dxfId="833" priority="7" operator="containsText" text="OPTIONAL"/>
    <x:cfRule type="containsText" dxfId="834" priority="8" operator="containsText" text="SEPARATE_PURCHASE"/>
    <x:cfRule type="containsText" dxfId="835" priority="9" operator="containsText" text="EQUIPPED"/>
    <x:cfRule type="containsText" dxfId="836" priority="10" operator="containsText" text="PARTIAL"/>
    <x:cfRule type="containsText" dxfId="837" priority="11" operator="containsText" text="PENDING"/>
    <x:cfRule type="containsText" dxfId="838" priority="12" operator="containsText" text="NOT_DISCLOSED"/>
    <x:cfRule type="containsText" dxfId="839" priority="13" operator="containsText" text="NOT_EVIDENCED"/>
    <x:cfRule type="containsText" dxfId="840" priority="14" operator="containsText" text="NOT_COMPARABLE"/>
    <x:cfRule type="containsText" dxfId="841" priority="15" operator="containsText" text="PROVISIONAL"/>
    <x:cfRule type="containsText" dxfId="842" priority="16" operator="containsText" text="BLOCKED"/>
    <x:cfRule type="containsText" dxfId="843" priority="17" operator="containsText" text="FAIL"/>
    <x:cfRule type="containsText" dxfId="844" priority="18" operator="containsText" text="FALSE"/>
    <x:cfRule type="containsText" dxfId="845" priority="19" operator="containsText" text="CONFLICT"/>
    <x:cfRule type="containsText" dxfId="846" priority="20" operator="containsText" text="MISMATCH_HARD"/>
    <x:cfRule type="containsText" dxfId="847" priority="21" operator="containsText" text="REJECTED"/>
  </x:conditionalFormatting>
  <x:pageMargins left="0.7" right="0.7" top="0.75" bottom="0.75" header="0.3" footer="0.3"/>
</x:worksheet>
</file>

<file path=xl/worksheets/sheet5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32" hidden="0" customWidth="1"/>
    <x:col min="3" max="3" width="34" hidden="0" customWidth="1"/>
    <x:col min="4" max="4" width="16" hidden="0" customWidth="1"/>
    <x:col min="5" max="5" width="17" hidden="0" customWidth="1"/>
    <x:col min="6" max="6" width="18" hidden="0" customWidth="1"/>
    <x:col min="7" max="7" width="22" hidden="0" customWidth="1"/>
    <x:col min="8" max="8" width="15" hidden="0" customWidth="1"/>
    <x:col min="9" max="9" width="20" hidden="0" customWidth="1"/>
    <x:col min="10" max="10" width="18" hidden="0" customWidth="1"/>
    <x:col min="11" max="11" width="15" hidden="0" customWidth="1"/>
    <x:col min="12" max="12" width="18" hidden="0" customWidth="1"/>
    <x:col min="13" max="13" width="28" hidden="0" customWidth="1"/>
    <x:col min="14" max="14" width="20" hidden="0" customWidth="1"/>
    <x:col min="15" max="15" width="23" hidden="0" customWidth="1"/>
    <x:col min="16" max="16" width="20" hidden="0" customWidth="1"/>
    <x:col min="17" max="17" width="38" hidden="0" customWidth="1"/>
    <x:col min="18" max="18" width="25" hidden="0" customWidth="1"/>
    <x:col min="19" max="19" width="22" hidden="0" customWidth="1"/>
    <x:col min="20" max="20" width="34" hidden="0" customWidth="1"/>
    <x:col min="21" max="21" width="24" hidden="0" customWidth="1"/>
  </x:cols>
  <x:sheetData>
    <x:row r="1" ht="30" customHeight="1">
      <x:c r="A1" s="356" t="str">
        <x:v>55｜Phase 3.1B 版本签核</x:v>
      </x:c>
      <x:c r="B1" s="356"/>
      <x:c r="C1" s="356"/>
      <x:c r="D1" s="356"/>
      <x:c r="E1" s="356"/>
      <x:c r="F1" s="356"/>
      <x:c r="G1" s="356"/>
      <x:c r="H1" s="356"/>
      <x:c r="I1" s="356"/>
      <x:c r="J1" s="356"/>
      <x:c r="K1" s="356"/>
      <x:c r="L1" s="356"/>
      <x:c r="M1" s="356"/>
      <x:c r="N1" s="356"/>
      <x:c r="O1" s="356"/>
      <x:c r="P1" s="356"/>
      <x:c r="Q1" s="356"/>
      <x:c r="R1" s="356"/>
      <x:c r="S1" s="356"/>
      <x:c r="T1" s="356"/>
      <x:c r="U1" s="356"/>
    </x:row>
    <x:row r="2" ht="22" customHeight="1">
      <x:c r="A2" s="359" t="str">
        <x:v>发布级配置、工信部回勾、App身份与成本可用性四轴同时签核</x:v>
      </x:c>
      <x:c r="B2" s="359"/>
      <x:c r="C2" s="359"/>
      <x:c r="D2" s="359"/>
      <x:c r="E2" s="359"/>
      <x:c r="F2" s="359"/>
      <x:c r="G2" s="359"/>
      <x:c r="H2" s="359"/>
      <x:c r="I2" s="359"/>
      <x:c r="J2" s="359"/>
      <x:c r="K2" s="359"/>
      <x:c r="L2" s="359"/>
      <x:c r="M2" s="359"/>
      <x:c r="N2" s="359"/>
      <x:c r="O2" s="359"/>
      <x:c r="P2" s="359"/>
      <x:c r="Q2" s="359"/>
      <x:c r="R2" s="359"/>
      <x:c r="S2" s="359"/>
      <x:c r="T2" s="359"/>
      <x:c r="U2" s="359"/>
    </x:row>
    <x:row r="3" ht="54" customHeight="1">
      <x:c r="A3" s="363" t="str">
        <x:v>通过3.1B不等于可以直接定价：N90 Max具备高覆盖产品页，N70 Max具备关键技术发布事实；两者App当前配置均未锁，低阶与升顶仍是监管候选。</x:v>
      </x:c>
      <x:c r="B3" s="363"/>
      <x:c r="C3" s="363"/>
      <x:c r="D3" s="363"/>
      <x:c r="E3" s="363"/>
      <x:c r="F3" s="363"/>
      <x:c r="G3" s="363"/>
      <x:c r="H3" s="363"/>
      <x:c r="I3" s="363"/>
      <x:c r="J3" s="363"/>
      <x:c r="K3" s="363"/>
      <x:c r="L3" s="363"/>
      <x:c r="M3" s="363"/>
      <x:c r="N3" s="363"/>
      <x:c r="O3" s="363"/>
      <x:c r="P3" s="363"/>
      <x:c r="Q3" s="363"/>
      <x:c r="R3" s="363"/>
      <x:c r="S3" s="363"/>
      <x:c r="T3" s="363"/>
      <x:c r="U3" s="363"/>
    </x:row>
    <x:row r="5" ht="64" customHeight="1">
      <x:c r="A5" s="368" t="str">
        <x:v>commercial_node_id</x:v>
      </x:c>
      <x:c r="B5" s="368" t="str">
        <x:v>official_launch_name</x:v>
      </x:c>
      <x:c r="C5" s="368" t="str">
        <x:v>launch_commercial_status</x:v>
      </x:c>
      <x:c r="D5" s="368" t="str">
        <x:v>atomic_claim_count</x:v>
      </x:c>
      <x:c r="E5" s="368" t="str">
        <x:v>direct_feature_count</x:v>
      </x:c>
      <x:c r="F5" s="368" t="str">
        <x:v>explicit_standard_count</x:v>
      </x:c>
      <x:c r="G5" s="368" t="str">
        <x:v>equipped_unconfirmed_count</x:v>
      </x:c>
      <x:c r="H5" s="368" t="str">
        <x:v>optional_count</x:v>
      </x:c>
      <x:c r="I5" s="368" t="str">
        <x:v>separate_purchase_count</x:v>
      </x:c>
      <x:c r="J5" s="368" t="str">
        <x:v>not_disclosed_count</x:v>
      </x:c>
      <x:c r="K5" s="368" t="str">
        <x:v>conflict_count</x:v>
      </x:c>
      <x:c r="L5" s="368" t="str">
        <x:v>miit_model_key</x:v>
      </x:c>
      <x:c r="M5" s="368" t="str">
        <x:v>miit_variant_binding</x:v>
      </x:c>
      <x:c r="N5" s="368" t="str">
        <x:v>miit_hard_mismatch_count</x:v>
      </x:c>
      <x:c r="O5" s="368" t="str">
        <x:v>app_commercial_binding</x:v>
      </x:c>
      <x:c r="P5" s="368" t="str">
        <x:v>app_vehicle_sku_lock</x:v>
      </x:c>
      <x:c r="Q5" s="368" t="str">
        <x:v>release_config_status</x:v>
      </x:c>
      <x:c r="R5" s="368" t="str">
        <x:v>current_app_config_status</x:v>
      </x:c>
      <x:c r="S5" s="368" t="str">
        <x:v>ready_for_phase_3_1c</x:v>
      </x:c>
      <x:c r="T5" s="368" t="str">
        <x:v>preliminary_bom_status</x:v>
      </x:c>
      <x:c r="U5" s="368" t="str">
        <x:v>price_bridge_eligible</x:v>
      </x:c>
    </x:row>
    <x:row r="6" ht="72" customHeight="1">
      <x:c r="A6" s="19" t="str">
        <x:v>PC-N70-BASE-CAND</x:v>
      </x:c>
      <x:c r="B6" s="19" t="str">
        <x:v>N70低阶候选（后缀待核）</x:v>
      </x:c>
      <x:c r="C6" s="19" t="str">
        <x:v>REGULATORY_ONLY_CANDIDATE</x:v>
      </x:c>
      <x:c r="D6" s="19" t="n">
        <x:f>COUNTIF('50_发布会逐项主张'!$G$6:$G$137,A6)</x:f>
        <x:v>0</x:v>
      </x:c>
      <x:c r="E6" s="19" t="n">
        <x:f>COUNTIF('51_版本配置事实'!$B$6:$B$127,A6)</x:f>
        <x:v>0</x:v>
      </x:c>
      <x:c r="F6" s="19" t="n">
        <x:f>COUNTIFS('51_版本配置事实'!$B$6:$B$127,A6,'51_版本配置事实'!$I$6:$I$127,"STANDARD_AT_RELEASE")</x:f>
        <x:v>0</x:v>
      </x:c>
      <x:c r="G6" s="19" t="n">
        <x:f>COUNTIFS('51_版本配置事实'!$B$6:$B$127,A6,'51_版本配置事实'!$I$6:$I$127,"EQUIPPED_STANDARD_UNCONFIRMED")</x:f>
        <x:v>0</x:v>
      </x:c>
      <x:c r="H6" s="19" t="n">
        <x:f>COUNTIFS('51_版本配置事实'!$B$6:$B$127,A6,'51_版本配置事实'!$I$6:$I$127,"OPTIONAL_AT_RELEASE")</x:f>
        <x:v>0</x:v>
      </x:c>
      <x:c r="I6" s="19" t="n">
        <x:f>COUNTIFS('51_版本配置事实'!$B$6:$B$127,A6,'51_版本配置事实'!$I$6:$I$127,"SEPARATE_PURCHASE")</x:f>
        <x:v>0</x:v>
      </x:c>
      <x:c r="J6" s="19" t="n">
        <x:f>COUNTIFS('51_版本配置事实'!$B$6:$B$127,A6,'51_版本配置事实'!$I$6:$I$127,"NOT_DISCLOSED")</x:f>
        <x:v>0</x:v>
      </x:c>
      <x:c r="K6" s="19" t="n">
        <x:f>COUNTIFS('51_版本配置事实'!$B$6:$B$127,A6,'51_版本配置事实'!$T$6:$T$127,"&lt;&gt;NONE")</x:f>
        <x:v>0</x:v>
      </x:c>
      <x:c r="L6" s="19" t="str">
        <x:v>MIIT409-F3</x:v>
      </x:c>
      <x:c r="M6" s="19" t="str">
        <x:v>V-F3-M1 / V-F3-M2</x:v>
      </x:c>
      <x:c r="N6" s="19" t="n">
        <x:f>COUNTIFS('53_MIIT配置回勾'!$B$6:$B$27,A6,'53_MIIT配置回勾'!$M$6:$M$27,"HARD")</x:f>
        <x:v>0</x:v>
      </x:c>
      <x:c r="O6" s="19" t="str">
        <x:v>NOT_BOUND</x:v>
      </x:c>
      <x:c r="P6" s="19" t="str">
        <x:f>IF(COUNTIFS('54_App小订身份'!$M$6:$M$11,A6,'54_App小订身份'!$X$6:$X$11,"TRUE")&gt;0,"TRUE","FALSE")</x:f>
        <x:v>FALSE</x:v>
      </x:c>
      <x:c r="Q6" s="19" t="str">
        <x:v>REGULATORY_ONLY_CANDIDATE</x:v>
      </x:c>
      <x:c r="R6" s="19" t="str">
        <x:f>IF(P6="TRUE","LOCKED","NOT_EVIDENCED")</x:f>
        <x:v>NOT_EVIDENCED</x:v>
      </x:c>
      <x:c r="S6" s="19" t="str">
        <x:v>FALSE</x:v>
      </x:c>
      <x:c r="T6" s="19" t="str">
        <x:v>FALSE</x:v>
      </x:c>
      <x:c r="U6" s="19" t="str">
        <x:v>FALSE</x:v>
      </x:c>
    </x:row>
    <x:row r="7" ht="72" customHeight="1">
      <x:c r="A7" s="369" t="str">
        <x:v>PC-N70-MAX-CAND</x:v>
      </x:c>
      <x:c r="B7" s="369" t="str">
        <x:v>小米澎程 N70 Max</x:v>
      </x:c>
      <x:c r="C7" s="369" t="str">
        <x:v>OFFICIAL_PRESALE_SMALL_ORDER</x:v>
      </x:c>
      <x:c r="D7" s="369" t="n">
        <x:f>COUNTIF('50_发布会逐项主张'!$G$6:$G$137,A7)</x:f>
        <x:v>37</x:v>
      </x:c>
      <x:c r="E7" s="369" t="n">
        <x:f>COUNTIF('51_版本配置事实'!$B$6:$B$127,A7)</x:f>
        <x:v>36</x:v>
      </x:c>
      <x:c r="F7" s="369" t="n">
        <x:f>COUNTIFS('51_版本配置事实'!$B$6:$B$127,A7,'51_版本配置事实'!$I$6:$I$127,"STANDARD_AT_RELEASE")</x:f>
        <x:v>9</x:v>
      </x:c>
      <x:c r="G7" s="369" t="n">
        <x:f>COUNTIFS('51_版本配置事实'!$B$6:$B$127,A7,'51_版本配置事实'!$I$6:$I$127,"EQUIPPED_STANDARD_UNCONFIRMED")</x:f>
        <x:v>9</x:v>
      </x:c>
      <x:c r="H7" s="369" t="n">
        <x:f>COUNTIFS('51_版本配置事实'!$B$6:$B$127,A7,'51_版本配置事实'!$I$6:$I$127,"OPTIONAL_AT_RELEASE")</x:f>
        <x:v>0</x:v>
      </x:c>
      <x:c r="I7" s="369" t="n">
        <x:f>COUNTIFS('51_版本配置事实'!$B$6:$B$127,A7,'51_版本配置事实'!$I$6:$I$127,"SEPARATE_PURCHASE")</x:f>
        <x:v>0</x:v>
      </x:c>
      <x:c r="J7" s="369" t="n">
        <x:f>COUNTIFS('51_版本配置事实'!$B$6:$B$127,A7,'51_版本配置事实'!$I$6:$I$127,"NOT_DISCLOSED")</x:f>
        <x:v>16</x:v>
      </x:c>
      <x:c r="K7" s="369" t="n">
        <x:f>COUNTIFS('51_版本配置事实'!$B$6:$B$127,A7,'51_版本配置事实'!$T$6:$T$127,"&lt;&gt;NONE")</x:f>
        <x:v>0</x:v>
      </x:c>
      <x:c r="L7" s="369" t="str">
        <x:v>MIIT409-A1</x:v>
      </x:c>
      <x:c r="M7" s="369" t="str">
        <x:v>V-A1-M1 / V-A1-M2</x:v>
      </x:c>
      <x:c r="N7" s="369" t="n">
        <x:f>COUNTIFS('53_MIIT配置回勾'!$B$6:$B$27,A7,'53_MIIT配置回勾'!$M$6:$M$27,"HARD")</x:f>
        <x:v>0</x:v>
      </x:c>
      <x:c r="O7" s="369" t="str">
        <x:v>ACCEPTED</x:v>
      </x:c>
      <x:c r="P7" s="369" t="str">
        <x:f>IF(COUNTIFS('54_App小订身份'!$M$6:$M$11,A7,'54_App小订身份'!$X$6:$X$11,"TRUE")&gt;0,"TRUE","FALSE")</x:f>
        <x:v>FALSE</x:v>
      </x:c>
      <x:c r="Q7" s="369" t="str">
        <x:v>PARTIAL_RELEASE_MAPPING</x:v>
      </x:c>
      <x:c r="R7" s="369" t="str">
        <x:f>IF(P7="TRUE","LOCKED","NOT_EVIDENCED")</x:f>
        <x:v>NOT_EVIDENCED</x:v>
      </x:c>
      <x:c r="S7" s="369" t="str">
        <x:v>TRUE</x:v>
      </x:c>
      <x:c r="T7" s="369" t="str">
        <x:v>PARTIAL_TEMP_BOM_STANDARD_ONLY</x:v>
      </x:c>
      <x:c r="U7" s="369" t="str">
        <x:v>FALSE</x:v>
      </x:c>
    </x:row>
    <x:row r="8" ht="72" customHeight="1">
      <x:c r="A8" s="19" t="str">
        <x:v>PC-N90-MAX-CAND</x:v>
      </x:c>
      <x:c r="B8" s="19" t="str">
        <x:v>小米澎程 N90 Max</x:v>
      </x:c>
      <x:c r="C8" s="19" t="str">
        <x:v>OFFICIAL_PRESALE_SMALL_ORDER</x:v>
      </x:c>
      <x:c r="D8" s="19" t="n">
        <x:f>COUNTIF('50_发布会逐项主张'!$G$6:$G$137,A8)</x:f>
        <x:v>88</x:v>
      </x:c>
      <x:c r="E8" s="19" t="n">
        <x:f>COUNTIF('51_版本配置事实'!$B$6:$B$127,A8)</x:f>
        <x:v>86</x:v>
      </x:c>
      <x:c r="F8" s="19" t="n">
        <x:f>COUNTIFS('51_版本配置事实'!$B$6:$B$127,A8,'51_版本配置事实'!$I$6:$I$127,"STANDARD_AT_RELEASE")</x:f>
        <x:v>8</x:v>
      </x:c>
      <x:c r="G8" s="19" t="n">
        <x:f>COUNTIFS('51_版本配置事实'!$B$6:$B$127,A8,'51_版本配置事实'!$I$6:$I$127,"EQUIPPED_STANDARD_UNCONFIRMED")</x:f>
        <x:v>62</x:v>
      </x:c>
      <x:c r="H8" s="19" t="n">
        <x:f>COUNTIFS('51_版本配置事实'!$B$6:$B$127,A8,'51_版本配置事实'!$I$6:$I$127,"OPTIONAL_AT_RELEASE")</x:f>
        <x:v>6</x:v>
      </x:c>
      <x:c r="I8" s="19" t="n">
        <x:f>COUNTIFS('51_版本配置事实'!$B$6:$B$127,A8,'51_版本配置事实'!$I$6:$I$127,"SEPARATE_PURCHASE")</x:f>
        <x:v>6</x:v>
      </x:c>
      <x:c r="J8" s="19" t="n">
        <x:f>COUNTIFS('51_版本配置事实'!$B$6:$B$127,A8,'51_版本配置事实'!$I$6:$I$127,"NOT_DISCLOSED")</x:f>
        <x:v>0</x:v>
      </x:c>
      <x:c r="K8" s="19" t="n">
        <x:f>COUNTIFS('51_版本配置事实'!$B$6:$B$127,A8,'51_版本配置事实'!$T$6:$T$127,"&lt;&gt;NONE")</x:f>
        <x:v>0</x:v>
      </x:c>
      <x:c r="L8" s="19" t="str">
        <x:v>MIIT409-N90</x:v>
      </x:c>
      <x:c r="M8" s="19" t="str">
        <x:v>V-N90-7 ONLY</x:v>
      </x:c>
      <x:c r="N8" s="19" t="n">
        <x:f>COUNTIFS('53_MIIT配置回勾'!$B$6:$B$27,A8,'53_MIIT配置回勾'!$M$6:$M$27,"HARD")</x:f>
        <x:v>0</x:v>
      </x:c>
      <x:c r="O8" s="19" t="str">
        <x:v>ACCEPTED</x:v>
      </x:c>
      <x:c r="P8" s="19" t="str">
        <x:f>IF(COUNTIFS('54_App小订身份'!$M$6:$M$11,A8,'54_App小订身份'!$X$6:$X$11,"TRUE")&gt;0,"TRUE","FALSE")</x:f>
        <x:v>FALSE</x:v>
      </x:c>
      <x:c r="Q8" s="19" t="str">
        <x:v>READY_FOR_3.1C_WITH_RELEASE_BOUNDARY</x:v>
      </x:c>
      <x:c r="R8" s="19" t="str">
        <x:f>IF(P8="TRUE","LOCKED","NOT_EVIDENCED")</x:f>
        <x:v>NOT_EVIDENCED</x:v>
      </x:c>
      <x:c r="S8" s="19" t="str">
        <x:v>TRUE</x:v>
      </x:c>
      <x:c r="T8" s="19" t="str">
        <x:v>PARTIAL_TEMP_BOM_STANDARD_ONLY</x:v>
      </x:c>
      <x:c r="U8" s="19" t="str">
        <x:v>FALSE</x:v>
      </x:c>
    </x:row>
    <x:row r="9" ht="72" customHeight="1">
      <x:c r="A9" s="369" t="str">
        <x:v>PC-N90-ROOF-CAND</x:v>
      </x:c>
      <x:c r="B9" s="369" t="str">
        <x:v>N90升顶版（候选）</x:v>
      </x:c>
      <x:c r="C9" s="369" t="str">
        <x:v>HOMOLOGATED_NOT_COMMERCIALIZED</x:v>
      </x:c>
      <x:c r="D9" s="369" t="n">
        <x:f>COUNTIF('50_发布会逐项主张'!$G$6:$G$137,A9)</x:f>
        <x:v>0</x:v>
      </x:c>
      <x:c r="E9" s="369" t="n">
        <x:f>COUNTIF('51_版本配置事实'!$B$6:$B$127,A9)</x:f>
        <x:v>0</x:v>
      </x:c>
      <x:c r="F9" s="369" t="n">
        <x:f>COUNTIFS('51_版本配置事实'!$B$6:$B$127,A9,'51_版本配置事实'!$I$6:$I$127,"STANDARD_AT_RELEASE")</x:f>
        <x:v>0</x:v>
      </x:c>
      <x:c r="G9" s="369" t="n">
        <x:f>COUNTIFS('51_版本配置事实'!$B$6:$B$127,A9,'51_版本配置事实'!$I$6:$I$127,"EQUIPPED_STANDARD_UNCONFIRMED")</x:f>
        <x:v>0</x:v>
      </x:c>
      <x:c r="H9" s="369" t="n">
        <x:f>COUNTIFS('51_版本配置事实'!$B$6:$B$127,A9,'51_版本配置事实'!$I$6:$I$127,"OPTIONAL_AT_RELEASE")</x:f>
        <x:v>0</x:v>
      </x:c>
      <x:c r="I9" s="369" t="n">
        <x:f>COUNTIFS('51_版本配置事实'!$B$6:$B$127,A9,'51_版本配置事实'!$I$6:$I$127,"SEPARATE_PURCHASE")</x:f>
        <x:v>0</x:v>
      </x:c>
      <x:c r="J9" s="369" t="n">
        <x:f>COUNTIFS('51_版本配置事实'!$B$6:$B$127,A9,'51_版本配置事实'!$I$6:$I$127,"NOT_DISCLOSED")</x:f>
        <x:v>0</x:v>
      </x:c>
      <x:c r="K9" s="369" t="n">
        <x:f>COUNTIFS('51_版本配置事实'!$B$6:$B$127,A9,'51_版本配置事实'!$T$6:$T$127,"&lt;&gt;NONE")</x:f>
        <x:v>0</x:v>
      </x:c>
      <x:c r="L9" s="369" t="str">
        <x:v>MIIT409-ROOF</x:v>
      </x:c>
      <x:c r="M9" s="369" t="str">
        <x:v>V-ROOF-5</x:v>
      </x:c>
      <x:c r="N9" s="369" t="n">
        <x:f>COUNTIFS('53_MIIT配置回勾'!$B$6:$B$27,A9,'53_MIIT配置回勾'!$M$6:$M$27,"HARD")</x:f>
        <x:v>0</x:v>
      </x:c>
      <x:c r="O9" s="369" t="str">
        <x:v>NOT_BOUND</x:v>
      </x:c>
      <x:c r="P9" s="369" t="str">
        <x:f>IF(COUNTIFS('54_App小订身份'!$M$6:$M$11,A9,'54_App小订身份'!$X$6:$X$11,"TRUE")&gt;0,"TRUE","FALSE")</x:f>
        <x:v>FALSE</x:v>
      </x:c>
      <x:c r="Q9" s="369" t="str">
        <x:v>HOMOLOGATED_NOT_COMMERCIALIZED</x:v>
      </x:c>
      <x:c r="R9" s="369" t="str">
        <x:f>IF(P9="TRUE","LOCKED","NOT_EVIDENCED")</x:f>
        <x:v>NOT_EVIDENCED</x:v>
      </x:c>
      <x:c r="S9" s="369" t="str">
        <x:v>FALSE</x:v>
      </x:c>
      <x:c r="T9" s="369" t="str">
        <x:v>FALSE</x:v>
      </x:c>
      <x:c r="U9" s="369" t="str">
        <x:v>FALSE</x:v>
      </x:c>
    </x:row>
    <x:row r="11" ht="24" customHeight="1">
      <x:c r="A11" s="372" t="str">
        <x:v>阶段出口</x:v>
      </x:c>
      <x:c r="B11" s="372"/>
      <x:c r="C11" s="372"/>
      <x:c r="D11" s="372"/>
      <x:c r="E11" s="372"/>
      <x:c r="F11" s="372"/>
      <x:c r="G11" s="372"/>
      <x:c r="H11" s="372"/>
      <x:c r="I11" s="372"/>
      <x:c r="J11" s="372"/>
      <x:c r="K11" s="372"/>
      <x:c r="L11" s="372"/>
      <x:c r="M11" s="372"/>
      <x:c r="N11" s="372"/>
      <x:c r="O11" s="372"/>
      <x:c r="P11" s="372"/>
      <x:c r="Q11" s="372"/>
      <x:c r="R11" s="372"/>
      <x:c r="S11" s="372"/>
      <x:c r="T11" s="372"/>
      <x:c r="U11" s="372"/>
    </x:row>
    <x:row r="12" ht="46" customHeight="1">
      <x:c r="A12" s="19" t="str">
        <x:v>RELEASE_CLAIM_LEDGER_STATUS</x:v>
      </x:c>
      <x:c r="B12" s="19" t="str">
        <x:v>READY_WITH_SCOPE_BOUNDARY</x:v>
      </x:c>
      <x:c r="C12" s="19" t="str">
        <x:v>N70发布主张中覆盖、N90产品页高覆盖；0硬冲突</x:v>
      </x:c>
      <x:c r="D12" s="19" t="str"/>
      <x:c r="E12" s="19" t="str"/>
      <x:c r="F12" s="19" t="str"/>
      <x:c r="G12" s="19" t="str"/>
      <x:c r="H12" s="19" t="str"/>
      <x:c r="I12" s="19" t="str"/>
      <x:c r="J12" s="19" t="str"/>
      <x:c r="K12" s="19" t="str"/>
      <x:c r="L12" s="19" t="str"/>
      <x:c r="M12" s="19" t="str"/>
      <x:c r="N12" s="19" t="str"/>
      <x:c r="O12" s="19" t="str"/>
      <x:c r="P12" s="19" t="str"/>
      <x:c r="Q12" s="19" t="str"/>
      <x:c r="R12" s="19" t="str"/>
      <x:c r="S12" s="19" t="str"/>
      <x:c r="T12" s="19" t="str"/>
      <x:c r="U12" s="19" t="str"/>
    </x:row>
    <x:row r="13" ht="46" customHeight="1">
      <x:c r="A13" s="369" t="str">
        <x:v>LAUNCH_VERSION_MATRIX_STATUS</x:v>
      </x:c>
      <x:c r="B13" s="369" t="str">
        <x:v>READY_FOR_PHASE_3.1C_WITH_RELEASE_BOUNDARY</x:v>
      </x:c>
      <x:c r="C13" s="369" t="str">
        <x:v>只允许两个已发布Max进入矩阵；低阶/升顶保持候选</x:v>
      </x:c>
      <x:c r="D13" s="369" t="str"/>
      <x:c r="E13" s="369" t="str"/>
      <x:c r="F13" s="369" t="str"/>
      <x:c r="G13" s="369" t="str"/>
      <x:c r="H13" s="369" t="str"/>
      <x:c r="I13" s="369" t="str"/>
      <x:c r="J13" s="369" t="str"/>
      <x:c r="K13" s="369" t="str"/>
      <x:c r="L13" s="369" t="str"/>
      <x:c r="M13" s="369" t="str"/>
      <x:c r="N13" s="369" t="str"/>
      <x:c r="O13" s="369" t="str"/>
      <x:c r="P13" s="369" t="str"/>
      <x:c r="Q13" s="369" t="str"/>
      <x:c r="R13" s="369" t="str"/>
      <x:c r="S13" s="369" t="str"/>
      <x:c r="T13" s="369" t="str"/>
      <x:c r="U13" s="369" t="str"/>
    </x:row>
    <x:row r="14" ht="46" customHeight="1">
      <x:c r="A14" s="19" t="str">
        <x:v>APP_CURRENT_CONFIG_STATUS</x:v>
      </x:c>
      <x:c r="B14" s="19" t="str">
        <x:v>BLOCKED_APP_VEHICLE_SKU</x:v>
      </x:c>
      <x:c r="C14" s="19" t="str">
        <x:v>0个车辆SKU、0个当前配置修订原件</x:v>
      </x:c>
      <x:c r="D14" s="19" t="str"/>
      <x:c r="E14" s="19" t="str"/>
      <x:c r="F14" s="19" t="str"/>
      <x:c r="G14" s="19" t="str"/>
      <x:c r="H14" s="19" t="str"/>
      <x:c r="I14" s="19" t="str"/>
      <x:c r="J14" s="19" t="str"/>
      <x:c r="K14" s="19" t="str"/>
      <x:c r="L14" s="19" t="str"/>
      <x:c r="M14" s="19" t="str"/>
      <x:c r="N14" s="19" t="str"/>
      <x:c r="O14" s="19" t="str"/>
      <x:c r="P14" s="19" t="str"/>
      <x:c r="Q14" s="19" t="str"/>
      <x:c r="R14" s="19" t="str"/>
      <x:c r="S14" s="19" t="str"/>
      <x:c r="T14" s="19" t="str"/>
      <x:c r="U14" s="19" t="str"/>
    </x:row>
    <x:row r="15" ht="46" customHeight="1">
      <x:c r="A15" s="369" t="str">
        <x:v>PRICE_BRIDGE_STATUS</x:v>
      </x:c>
      <x:c r="B15" s="369" t="str">
        <x:v>BLOCKED_APP_SKU_AND_PRICE_BASIS</x:v>
      </x:c>
      <x:c r="C15" s="369" t="str">
        <x:v>0/3价格桥启用；预售价不是正式指导价</x:v>
      </x:c>
      <x:c r="D15" s="369" t="str"/>
      <x:c r="E15" s="369" t="str"/>
      <x:c r="F15" s="369" t="str"/>
      <x:c r="G15" s="369" t="str"/>
      <x:c r="H15" s="369" t="str"/>
      <x:c r="I15" s="369" t="str"/>
      <x:c r="J15" s="369" t="str"/>
      <x:c r="K15" s="369" t="str"/>
      <x:c r="L15" s="369" t="str"/>
      <x:c r="M15" s="369" t="str"/>
      <x:c r="N15" s="369" t="str"/>
      <x:c r="O15" s="369" t="str"/>
      <x:c r="P15" s="369" t="str"/>
      <x:c r="Q15" s="369" t="str"/>
      <x:c r="R15" s="369" t="str"/>
      <x:c r="S15" s="369" t="str"/>
      <x:c r="T15" s="369" t="str"/>
      <x:c r="U15" s="369" t="str"/>
    </x:row>
  </x:sheetData>
  <x:mergeCells>
    <x:mergeCell ref="A1:U1"/>
    <x:mergeCell ref="A2:U2"/>
    <x:mergeCell ref="A3:U3"/>
    <x:mergeCell ref="A11:U11"/>
  </x:mergeCells>
  <x:conditionalFormatting sqref="C6:U9">
    <x:cfRule type="containsText" dxfId="848" priority="1" operator="containsText" text="PASS"/>
    <x:cfRule type="containsText" dxfId="849" priority="2" operator="containsText" text="READY"/>
    <x:cfRule type="containsText" dxfId="850" priority="3" operator="containsText" text="TRUE"/>
    <x:cfRule type="containsText" dxfId="851" priority="4" operator="containsText" text="MATCH"/>
    <x:cfRule type="containsText" dxfId="852" priority="5" operator="containsText" text="STANDARD"/>
    <x:cfRule type="containsText" dxfId="853" priority="6" operator="containsText" text="ACCEPTED"/>
    <x:cfRule type="containsText" dxfId="854" priority="7" operator="containsText" text="OPTIONAL"/>
    <x:cfRule type="containsText" dxfId="855" priority="8" operator="containsText" text="SEPARATE_PURCHASE"/>
    <x:cfRule type="containsText" dxfId="856" priority="9" operator="containsText" text="EQUIPPED"/>
    <x:cfRule type="containsText" dxfId="857" priority="10" operator="containsText" text="PARTIAL"/>
    <x:cfRule type="containsText" dxfId="858" priority="11" operator="containsText" text="PENDING"/>
    <x:cfRule type="containsText" dxfId="859" priority="12" operator="containsText" text="NOT_DISCLOSED"/>
    <x:cfRule type="containsText" dxfId="860" priority="13" operator="containsText" text="NOT_EVIDENCED"/>
    <x:cfRule type="containsText" dxfId="861" priority="14" operator="containsText" text="NOT_COMPARABLE"/>
    <x:cfRule type="containsText" dxfId="862" priority="15" operator="containsText" text="PROVISIONAL"/>
    <x:cfRule type="containsText" dxfId="863" priority="16" operator="containsText" text="BLOCKED"/>
    <x:cfRule type="containsText" dxfId="864" priority="17" operator="containsText" text="FAIL"/>
    <x:cfRule type="containsText" dxfId="865" priority="18" operator="containsText" text="FALSE"/>
    <x:cfRule type="containsText" dxfId="866" priority="19" operator="containsText" text="CONFLICT"/>
    <x:cfRule type="containsText" dxfId="867" priority="20" operator="containsText" text="MISMATCH_HARD"/>
    <x:cfRule type="containsText" dxfId="868" priority="21" operator="containsText" text="REJECTED"/>
  </x:conditionalFormatting>
  <x:conditionalFormatting sqref="B12:B15">
    <x:cfRule type="containsText" dxfId="869" priority="22" operator="containsText" text="PASS"/>
    <x:cfRule type="containsText" dxfId="870" priority="23" operator="containsText" text="READY"/>
    <x:cfRule type="containsText" dxfId="871" priority="24" operator="containsText" text="TRUE"/>
    <x:cfRule type="containsText" dxfId="872" priority="25" operator="containsText" text="MATCH"/>
    <x:cfRule type="containsText" dxfId="873" priority="26" operator="containsText" text="STANDARD"/>
    <x:cfRule type="containsText" dxfId="874" priority="27" operator="containsText" text="ACCEPTED"/>
    <x:cfRule type="containsText" dxfId="875" priority="28" operator="containsText" text="OPTIONAL"/>
    <x:cfRule type="containsText" dxfId="876" priority="29" operator="containsText" text="SEPARATE_PURCHASE"/>
    <x:cfRule type="containsText" dxfId="877" priority="30" operator="containsText" text="EQUIPPED"/>
    <x:cfRule type="containsText" dxfId="878" priority="31" operator="containsText" text="PARTIAL"/>
    <x:cfRule type="containsText" dxfId="879" priority="32" operator="containsText" text="PENDING"/>
    <x:cfRule type="containsText" dxfId="880" priority="33" operator="containsText" text="NOT_DISCLOSED"/>
    <x:cfRule type="containsText" dxfId="881" priority="34" operator="containsText" text="NOT_EVIDENCED"/>
    <x:cfRule type="containsText" dxfId="882" priority="35" operator="containsText" text="NOT_COMPARABLE"/>
    <x:cfRule type="containsText" dxfId="883" priority="36" operator="containsText" text="PROVISIONAL"/>
    <x:cfRule type="containsText" dxfId="884" priority="37" operator="containsText" text="BLOCKED"/>
    <x:cfRule type="containsText" dxfId="885" priority="38" operator="containsText" text="FAIL"/>
    <x:cfRule type="containsText" dxfId="886" priority="39" operator="containsText" text="FALSE"/>
    <x:cfRule type="containsText" dxfId="887" priority="40" operator="containsText" text="CONFLICT"/>
    <x:cfRule type="containsText" dxfId="888" priority="41" operator="containsText" text="MISMATCH_HARD"/>
    <x:cfRule type="containsText" dxfId="889" priority="42" operator="containsText" text="REJECTED"/>
  </x:conditionalFormatting>
  <x:pageMargins left="0.7" right="0.7" top="0.75" bottom="0.75" header="0.3" footer="0.3"/>
</x:worksheet>
</file>

<file path=xl/worksheets/sheet5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" hidden="0" customWidth="1"/>
    <x:col min="2" max="2" width="18" hidden="0" customWidth="1"/>
    <x:col min="3" max="3" width="48" hidden="0" customWidth="1"/>
    <x:col min="4" max="4" width="18" hidden="0" customWidth="1"/>
    <x:col min="5" max="5" width="22" hidden="0" customWidth="1"/>
    <x:col min="6" max="6" width="14" hidden="0" customWidth="1"/>
    <x:col min="7" max="7" width="52" hidden="0" customWidth="1"/>
  </x:cols>
  <x:sheetData>
    <x:row r="1" ht="30" customHeight="1">
      <x:c r="A1" s="356" t="str">
        <x:v>56｜Phase 3.1B 机器校验</x:v>
      </x:c>
      <x:c r="B1" s="356"/>
      <x:c r="C1" s="356"/>
      <x:c r="D1" s="356"/>
      <x:c r="E1" s="356"/>
      <x:c r="F1" s="356"/>
      <x:c r="G1" s="356"/>
    </x:row>
    <x:row r="2" ht="22" customHeight="1">
      <x:c r="A2" s="359" t="str">
        <x:v>来源、原子主张、双状态轴、矩阵、MIIT、App身份与阶段出口</x:v>
      </x:c>
      <x:c r="B2" s="359"/>
      <x:c r="C2" s="359"/>
      <x:c r="D2" s="359"/>
      <x:c r="E2" s="359"/>
      <x:c r="F2" s="359"/>
      <x:c r="G2" s="359"/>
    </x:row>
    <x:row r="3" ht="54" customHeight="1">
      <x:c r="A3" s="363" t="str">
        <x:v>所有检查均由公式计算；预期与实际一致才PASS。特别防止：505km下放N90、5座准入生成N90第二SKU、发布会事实写入App当前标配、意向金商品开启价格桥。</x:v>
      </x:c>
      <x:c r="B3" s="363"/>
      <x:c r="C3" s="363"/>
      <x:c r="D3" s="363"/>
      <x:c r="E3" s="363"/>
      <x:c r="F3" s="363"/>
      <x:c r="G3" s="363"/>
    </x:row>
    <x:row r="5" ht="50" customHeight="1">
      <x:c r="A5" s="368" t="str">
        <x:v>check_id</x:v>
      </x:c>
      <x:c r="B5" s="368" t="str">
        <x:v>area</x:v>
      </x:c>
      <x:c r="C5" s="368" t="str">
        <x:v>assertion</x:v>
      </x:c>
      <x:c r="D5" s="368" t="str">
        <x:v>expected</x:v>
      </x:c>
      <x:c r="E5" s="368" t="str">
        <x:v>actual</x:v>
      </x:c>
      <x:c r="F5" s="368" t="str">
        <x:v>status</x:v>
      </x:c>
      <x:c r="G5" s="368" t="str">
        <x:v>notes</x:v>
      </x:c>
    </x:row>
    <x:row r="6" ht="36" customHeight="1">
      <x:c r="A6" s="19" t="str">
        <x:v>C01</x:v>
      </x:c>
      <x:c r="B6" s="19" t="str">
        <x:v>SOURCE</x:v>
      </x:c>
      <x:c r="C6" s="19" t="str">
        <x:v>3.1B新增来源行数固定</x:v>
      </x:c>
      <x:c r="D6" s="19" t="n">
        <x:v>14</x:v>
      </x:c>
      <x:c r="E6" s="19" t="n">
        <x:f>COUNTA('49_3.1B来源'!A6:A19)</x:f>
        <x:v>14</x:v>
      </x:c>
      <x:c r="F6" s="19" t="str">
        <x:f>IF(D6=E6,"PASS","FAIL")</x:f>
        <x:v>PASS</x:v>
      </x:c>
      <x:c r="G6" s="19" t="str"/>
    </x:row>
    <x:row r="7" ht="36" customHeight="1">
      <x:c r="A7" s="369" t="str">
        <x:v>C02</x:v>
      </x:c>
      <x:c r="B7" s="369" t="str">
        <x:v>SOURCE</x:v>
      </x:c>
      <x:c r="C7" s="369" t="str">
        <x:v>source_id空白数为0</x:v>
      </x:c>
      <x:c r="D7" s="369" t="n">
        <x:v>0</x:v>
      </x:c>
      <x:c r="E7" s="369" t="n">
        <x:f>COUNTBLANK('49_3.1B来源'!A6:A19)</x:f>
        <x:v>0</x:v>
      </x:c>
      <x:c r="F7" s="369" t="str">
        <x:f>IF(D7=E7,"PASS","FAIL")</x:f>
        <x:v>PASS</x:v>
      </x:c>
      <x:c r="G7" s="369" t="str"/>
    </x:row>
    <x:row r="8" ht="36" customHeight="1">
      <x:c r="A8" s="19" t="str">
        <x:v>C03</x:v>
      </x:c>
      <x:c r="B8" s="19" t="str">
        <x:v>SOURCE</x:v>
      </x:c>
      <x:c r="C8" s="19" t="str">
        <x:v>官方产品/网页来源3条</x:v>
      </x:c>
      <x:c r="D8" s="19" t="n">
        <x:v>3</x:v>
      </x:c>
      <x:c r="E8" s="19" t="n">
        <x:f>COUNTIF('49_3.1B来源'!D6:D19,"E1-X_WEB")</x:f>
        <x:v>3</x:v>
      </x:c>
      <x:c r="F8" s="19" t="str">
        <x:f>IF(D8=E8,"PASS","FAIL")</x:f>
        <x:v>PASS</x:v>
      </x:c>
      <x:c r="G8" s="19" t="str"/>
    </x:row>
    <x:row r="9" ht="36" customHeight="1">
      <x:c r="A9" s="369" t="str">
        <x:v>C04</x:v>
      </x:c>
      <x:c r="B9" s="369" t="str">
        <x:v>SOURCE</x:v>
      </x:c>
      <x:c r="C9" s="369" t="str">
        <x:v>监管父来源2条</x:v>
      </x:c>
      <x:c r="D9" s="369" t="n">
        <x:v>2</x:v>
      </x:c>
      <x:c r="E9" s="369" t="n">
        <x:f>COUNTIF('49_3.1B来源'!D6:D19,"E1-G_PUBLIC")</x:f>
        <x:v>2</x:v>
      </x:c>
      <x:c r="F9" s="369" t="str">
        <x:f>IF(D9=E9,"PASS","FAIL")</x:f>
        <x:v>PASS</x:v>
      </x:c>
      <x:c r="G9" s="369" t="str"/>
    </x:row>
    <x:row r="10" ht="36" customHeight="1">
      <x:c r="A10" s="19" t="str">
        <x:v>C05</x:v>
      </x:c>
      <x:c r="B10" s="19" t="str">
        <x:v>SOURCE</x:v>
      </x:c>
      <x:c r="C10" s="19" t="str">
        <x:v>没有网页被误标为App完整配置原件</x:v>
      </x:c>
      <x:c r="D10" s="19" t="n">
        <x:v>0</x:v>
      </x:c>
      <x:c r="E10" s="19" t="n">
        <x:f>COUNTIF('49_3.1B来源'!M6:M19,"COMPLETE_APP_CONFIG")</x:f>
        <x:v>0</x:v>
      </x:c>
      <x:c r="F10" s="19" t="str">
        <x:f>IF(D10=E10,"PASS","FAIL")</x:f>
        <x:v>PASS</x:v>
      </x:c>
      <x:c r="G10" s="19" t="str"/>
    </x:row>
    <x:row r="11" ht="36" customHeight="1">
      <x:c r="A11" s="369" t="str">
        <x:v>C06</x:v>
      </x:c>
      <x:c r="B11" s="369" t="str">
        <x:v>SOURCE</x:v>
      </x:c>
      <x:c r="C11" s="369" t="str">
        <x:v>N90独立产品页恰有1条</x:v>
      </x:c>
      <x:c r="D11" s="369" t="n">
        <x:v>1</x:v>
      </x:c>
      <x:c r="E11" s="369" t="n">
        <x:f>COUNTIF('49_3.1B来源'!A6:A19,"B31_SRC_N90_WEB")</x:f>
        <x:v>1</x:v>
      </x:c>
      <x:c r="F11" s="369" t="str">
        <x:f>IF(D11=E11,"PASS","FAIL")</x:f>
        <x:v>PASS</x:v>
      </x:c>
      <x:c r="G11" s="369" t="str"/>
    </x:row>
    <x:row r="12" ht="36" customHeight="1">
      <x:c r="A12" s="19" t="str">
        <x:v>C07</x:v>
      </x:c>
      <x:c r="B12" s="19" t="str">
        <x:v>SOURCE</x:v>
      </x:c>
      <x:c r="C12" s="19" t="str">
        <x:v>N70监管原页恰有1条</x:v>
      </x:c>
      <x:c r="D12" s="19" t="n">
        <x:v>1</x:v>
      </x:c>
      <x:c r="E12" s="19" t="n">
        <x:f>COUNTIF('49_3.1B来源'!A6:A19,"B31_SRC_MIIT_N70")</x:f>
        <x:v>1</x:v>
      </x:c>
      <x:c r="F12" s="19" t="str">
        <x:f>IF(D12=E12,"PASS","FAIL")</x:f>
        <x:v>PASS</x:v>
      </x:c>
      <x:c r="G12" s="19" t="str"/>
    </x:row>
    <x:row r="13" ht="36" customHeight="1">
      <x:c r="A13" s="369" t="str">
        <x:v>C08</x:v>
      </x:c>
      <x:c r="B13" s="369" t="str">
        <x:v>SOURCE</x:v>
      </x:c>
      <x:c r="C13" s="369" t="str">
        <x:v>N90监管原页恰有1条</x:v>
      </x:c>
      <x:c r="D13" s="369" t="n">
        <x:v>1</x:v>
      </x:c>
      <x:c r="E13" s="369" t="n">
        <x:f>COUNTIF('49_3.1B来源'!A6:A19,"B31_SRC_MIIT_N90")</x:f>
        <x:v>1</x:v>
      </x:c>
      <x:c r="F13" s="369" t="str">
        <x:f>IF(D13=E13,"PASS","FAIL")</x:f>
        <x:v>PASS</x:v>
      </x:c>
      <x:c r="G13" s="369" t="str"/>
    </x:row>
    <x:row r="14" ht="36" customHeight="1">
      <x:c r="A14" s="19" t="str">
        <x:v>C09</x:v>
      </x:c>
      <x:c r="B14" s="19" t="str">
        <x:v>SOURCE</x:v>
      </x:c>
      <x:c r="C14" s="19" t="str">
        <x:v>全部来源有读取时点</x:v>
      </x:c>
      <x:c r="D14" s="19" t="n">
        <x:v>0</x:v>
      </x:c>
      <x:c r="E14" s="19" t="n">
        <x:f>COUNTBLANK('49_3.1B来源'!H6:H19)</x:f>
        <x:v>0</x:v>
      </x:c>
      <x:c r="F14" s="19" t="str">
        <x:f>IF(D14=E14,"PASS","FAIL")</x:f>
        <x:v>PASS</x:v>
      </x:c>
      <x:c r="G14" s="19" t="str"/>
    </x:row>
    <x:row r="15" ht="36" customHeight="1">
      <x:c r="A15" s="369" t="str">
        <x:v>C10</x:v>
      </x:c>
      <x:c r="B15" s="369" t="str">
        <x:v>SOURCE</x:v>
      </x:c>
      <x:c r="C15" s="369" t="str">
        <x:v>全部来源有URL/路径</x:v>
      </x:c>
      <x:c r="D15" s="369" t="n">
        <x:v>0</x:v>
      </x:c>
      <x:c r="E15" s="369" t="n">
        <x:f>COUNTBLANK('49_3.1B来源'!I6:I19)</x:f>
        <x:v>0</x:v>
      </x:c>
      <x:c r="F15" s="369" t="str">
        <x:f>IF(D15=E15,"PASS","FAIL")</x:f>
        <x:v>PASS</x:v>
      </x:c>
      <x:c r="G15" s="369" t="str"/>
    </x:row>
    <x:row r="16" ht="36" customHeight="1">
      <x:c r="A16" s="19" t="str">
        <x:v>C11</x:v>
      </x:c>
      <x:c r="B16" s="19" t="str">
        <x:v>CLAIM</x:v>
      </x:c>
      <x:c r="C16" s="19" t="str">
        <x:v>原子主张总数固定</x:v>
      </x:c>
      <x:c r="D16" s="19" t="n">
        <x:v>132</x:v>
      </x:c>
      <x:c r="E16" s="19" t="n">
        <x:f>COUNTA('50_发布会逐项主张'!A6:A137)</x:f>
        <x:v>132</x:v>
      </x:c>
      <x:c r="F16" s="19" t="str">
        <x:f>IF(D16=E16,"PASS","FAIL")</x:f>
        <x:v>PASS</x:v>
      </x:c>
      <x:c r="G16" s="19" t="str"/>
    </x:row>
    <x:row r="17" ht="36" customHeight="1">
      <x:c r="A17" s="369" t="str">
        <x:v>C12</x:v>
      </x:c>
      <x:c r="B17" s="369" t="str">
        <x:v>CLAIM</x:v>
      </x:c>
      <x:c r="C17" s="369" t="str">
        <x:v>claim_id空白数为0</x:v>
      </x:c>
      <x:c r="D17" s="369" t="n">
        <x:v>0</x:v>
      </x:c>
      <x:c r="E17" s="369" t="n">
        <x:f>COUNTBLANK('50_发布会逐项主张'!A6:A137)</x:f>
        <x:v>0</x:v>
      </x:c>
      <x:c r="F17" s="369" t="str">
        <x:f>IF(D17=E17,"PASS","FAIL")</x:f>
        <x:v>PASS</x:v>
      </x:c>
      <x:c r="G17" s="369" t="str"/>
    </x:row>
    <x:row r="18" ht="36" customHeight="1">
      <x:c r="A18" s="19" t="str">
        <x:v>C13</x:v>
      </x:c>
      <x:c r="B18" s="19" t="str">
        <x:v>CLAIM</x:v>
      </x:c>
      <x:c r="C18" s="19" t="str">
        <x:v>每条claim均有source_id</x:v>
      </x:c>
      <x:c r="D18" s="19" t="n">
        <x:v>0</x:v>
      </x:c>
      <x:c r="E18" s="19" t="n">
        <x:f>COUNTBLANK('50_发布会逐项主张'!B6:B137)</x:f>
        <x:v>0</x:v>
      </x:c>
      <x:c r="F18" s="19" t="str">
        <x:f>IF(D18=E18,"PASS","FAIL")</x:f>
        <x:v>PASS</x:v>
      </x:c>
      <x:c r="G18" s="19" t="str"/>
    </x:row>
    <x:row r="19" ht="36" customHeight="1">
      <x:c r="A19" s="369" t="str">
        <x:v>C14</x:v>
      </x:c>
      <x:c r="B19" s="369" t="str">
        <x:v>CLAIM</x:v>
      </x:c>
      <x:c r="C19" s="369" t="str">
        <x:v>每条claim均有feature_code</x:v>
      </x:c>
      <x:c r="D19" s="369" t="n">
        <x:v>0</x:v>
      </x:c>
      <x:c r="E19" s="369" t="n">
        <x:f>COUNTBLANK('50_发布会逐项主张'!H6:H137)</x:f>
        <x:v>0</x:v>
      </x:c>
      <x:c r="F19" s="369" t="str">
        <x:f>IF(D19=E19,"PASS","FAIL")</x:f>
        <x:v>PASS</x:v>
      </x:c>
      <x:c r="G19" s="369" t="str"/>
    </x:row>
    <x:row r="20" ht="36" customHeight="1">
      <x:c r="A20" s="19" t="str">
        <x:v>C15</x:v>
      </x:c>
      <x:c r="B20" s="19" t="str">
        <x:v>CLAIM</x:v>
      </x:c>
      <x:c r="C20" s="19" t="str">
        <x:v>每条claim均有target_scope</x:v>
      </x:c>
      <x:c r="D20" s="19" t="n">
        <x:v>0</x:v>
      </x:c>
      <x:c r="E20" s="19" t="n">
        <x:f>COUNTBLANK('50_发布会逐项主张'!O6:O137)</x:f>
        <x:v>0</x:v>
      </x:c>
      <x:c r="F20" s="19" t="str">
        <x:f>IF(D20=E20,"PASS","FAIL")</x:f>
        <x:v>PASS</x:v>
      </x:c>
      <x:c r="G20" s="19" t="str"/>
    </x:row>
    <x:row r="21" ht="36" customHeight="1">
      <x:c r="A21" s="369" t="str">
        <x:v>C16</x:v>
      </x:c>
      <x:c r="B21" s="369" t="str">
        <x:v>CLAIM</x:v>
      </x:c>
      <x:c r="C21" s="369" t="str">
        <x:v>每条claim均有release_availability</x:v>
      </x:c>
      <x:c r="D21" s="369" t="n">
        <x:v>0</x:v>
      </x:c>
      <x:c r="E21" s="369" t="n">
        <x:f>COUNTBLANK('50_发布会逐项主张'!R6:R137)</x:f>
        <x:v>0</x:v>
      </x:c>
      <x:c r="F21" s="369" t="str">
        <x:f>IF(D21=E21,"PASS","FAIL")</x:f>
        <x:v>PASS</x:v>
      </x:c>
      <x:c r="G21" s="369" t="str"/>
    </x:row>
    <x:row r="22" ht="36" customHeight="1">
      <x:c r="A22" s="19" t="str">
        <x:v>C17</x:v>
      </x:c>
      <x:c r="B22" s="19" t="str">
        <x:v>CLAIM</x:v>
      </x:c>
      <x:c r="C22" s="19" t="str">
        <x:v>开放冲突数为0</x:v>
      </x:c>
      <x:c r="D22" s="19" t="n">
        <x:v>0</x:v>
      </x:c>
      <x:c r="E22" s="19" t="n">
        <x:f>COUNTIF('50_发布会逐项主张'!X6:X137,"OPEN")</x:f>
        <x:v>0</x:v>
      </x:c>
      <x:c r="F22" s="19" t="str">
        <x:f>IF(D22=E22,"PASS","FAIL")</x:f>
        <x:v>PASS</x:v>
      </x:c>
      <x:c r="G22" s="19" t="str"/>
    </x:row>
    <x:row r="23" ht="36" customHeight="1">
      <x:c r="A23" s="369" t="str">
        <x:v>C18</x:v>
      </x:c>
      <x:c r="B23" s="369" t="str">
        <x:v>CLAIM</x:v>
      </x:c>
      <x:c r="C23" s="369" t="str">
        <x:v>明确标准均映射STANDARD_AT_RELEASE</x:v>
      </x:c>
      <x:c r="D23" s="369" t="n">
        <x:v>0</x:v>
      </x:c>
      <x:c r="E23" s="369" t="n">
        <x:f>COUNTIFS('50_发布会逐项主张'!P6:P137,"EXPLICIT_STANDARD",'50_发布会逐项主张'!R6:R137,"&lt;&gt;STANDARD_AT_RELEASE")</x:f>
        <x:v>0</x:v>
      </x:c>
      <x:c r="F23" s="369" t="str">
        <x:f>IF(D23=E23,"PASS","FAIL")</x:f>
        <x:v>PASS</x:v>
      </x:c>
      <x:c r="G23" s="369" t="str"/>
    </x:row>
    <x:row r="24" ht="36" customHeight="1">
      <x:c r="A24" s="19" t="str">
        <x:v>C19</x:v>
      </x:c>
      <x:c r="B24" s="19" t="str">
        <x:v>CLAIM</x:v>
      </x:c>
      <x:c r="C24" s="19" t="str">
        <x:v>明确选装均映射OPTIONAL_AT_RELEASE</x:v>
      </x:c>
      <x:c r="D24" s="19" t="n">
        <x:v>0</x:v>
      </x:c>
      <x:c r="E24" s="19" t="n">
        <x:f>COUNTIFS('50_发布会逐项主张'!P6:P137,"EXPLICIT_OPTIONAL",'50_发布会逐项主张'!R6:R137,"&lt;&gt;OPTIONAL_AT_RELEASE")</x:f>
        <x:v>0</x:v>
      </x:c>
      <x:c r="F24" s="19" t="str">
        <x:f>IF(D24=E24,"PASS","FAIL")</x:f>
        <x:v>PASS</x:v>
      </x:c>
      <x:c r="G24" s="19" t="str"/>
    </x:row>
    <x:row r="25" ht="36" customHeight="1">
      <x:c r="A25" s="369" t="str">
        <x:v>C20</x:v>
      </x:c>
      <x:c r="B25" s="369" t="str">
        <x:v>CLAIM</x:v>
      </x:c>
      <x:c r="C25" s="369" t="str">
        <x:v>另购均映射SEPARATE_PURCHASE</x:v>
      </x:c>
      <x:c r="D25" s="369" t="n">
        <x:v>0</x:v>
      </x:c>
      <x:c r="E25" s="369" t="n">
        <x:f>COUNTIFS('50_发布会逐项主张'!P6:P137,"EXPLICIT_SEPARATE_PURCHASE",'50_发布会逐项主张'!R6:R137,"&lt;&gt;SEPARATE_PURCHASE")</x:f>
        <x:v>0</x:v>
      </x:c>
      <x:c r="F25" s="369" t="str">
        <x:f>IF(D25=E25,"PASS","FAIL")</x:f>
        <x:v>PASS</x:v>
      </x:c>
      <x:c r="G25" s="369" t="str"/>
    </x:row>
    <x:row r="26" ht="36" customHeight="1">
      <x:c r="A26" s="19" t="str">
        <x:v>C21</x:v>
      </x:c>
      <x:c r="B26" s="19" t="str">
        <x:v>CLAIM</x:v>
      </x:c>
      <x:c r="C26" s="19" t="str">
        <x:v>N70 Max 505km单车主张恰1条</x:v>
      </x:c>
      <x:c r="D26" s="19" t="n">
        <x:v>1</x:v>
      </x:c>
      <x:c r="E26" s="19" t="n">
        <x:f>COUNTIFS('50_发布会逐项主张'!G6:G137,"PC-N70-MAX-CAND",'50_发布会逐项主张'!H6:H137,"cltc_ev_range",'50_发布会逐项主张'!L6:L137,505)</x:f>
        <x:v>1</x:v>
      </x:c>
      <x:c r="F26" s="19" t="str">
        <x:f>IF(D26=E26,"PASS","FAIL")</x:f>
        <x:v>PASS</x:v>
      </x:c>
      <x:c r="G26" s="19" t="str"/>
    </x:row>
    <x:row r="27" ht="36" customHeight="1">
      <x:c r="A27" s="369" t="str">
        <x:v>C22</x:v>
      </x:c>
      <x:c r="B27" s="369" t="str">
        <x:v>CLAIM</x:v>
      </x:c>
      <x:c r="C27" s="369" t="str">
        <x:v>N90 Max 464km单车主张恰1条</x:v>
      </x:c>
      <x:c r="D27" s="369" t="n">
        <x:v>1</x:v>
      </x:c>
      <x:c r="E27" s="369" t="n">
        <x:f>COUNTIFS('50_发布会逐项主张'!G6:G137,"PC-N90-MAX-CAND",'50_发布会逐项主张'!H6:H137,"cltc_ev_range",'50_发布会逐项主张'!L6:L137,464)</x:f>
        <x:v>1</x:v>
      </x:c>
      <x:c r="F27" s="369" t="str">
        <x:f>IF(D27=E27,"PASS","FAIL")</x:f>
        <x:v>PASS</x:v>
      </x:c>
      <x:c r="G27" s="369" t="str"/>
    </x:row>
    <x:row r="28" ht="36" customHeight="1">
      <x:c r="A28" s="19" t="str">
        <x:v>C23</x:v>
      </x:c>
      <x:c r="B28" s="19" t="str">
        <x:v>CLAIM</x:v>
      </x:c>
      <x:c r="C28" s="19" t="str">
        <x:v>N90单车505km错误主张为0</x:v>
      </x:c>
      <x:c r="D28" s="19" t="n">
        <x:v>0</x:v>
      </x:c>
      <x:c r="E28" s="19" t="n">
        <x:f>COUNTIFS('50_发布会逐项主张'!G6:G137,"PC-N90-MAX-CAND",'50_发布会逐项主张'!H6:H137,"cltc_ev_range",'50_发布会逐项主张'!L6:L137,505)</x:f>
        <x:v>0</x:v>
      </x:c>
      <x:c r="F28" s="19" t="str">
        <x:f>IF(D28=E28,"PASS","FAIL")</x:f>
        <x:v>PASS</x:v>
      </x:c>
      <x:c r="G28" s="19" t="str"/>
    </x:row>
    <x:row r="29" ht="36" customHeight="1">
      <x:c r="A29" s="369" t="str">
        <x:v>C24</x:v>
      </x:c>
      <x:c r="B29" s="369" t="str">
        <x:v>CLAIM</x:v>
      </x:c>
      <x:c r="C29" s="369" t="str">
        <x:v>N70电池76kWh未直接绑定</x:v>
      </x:c>
      <x:c r="D29" s="369" t="n">
        <x:v>1</x:v>
      </x:c>
      <x:c r="E29" s="369" t="n">
        <x:f>COUNTIFS('50_发布会逐项主张'!H6:H137,"series_battery_capacity_max",'50_发布会逐项主张'!R6:R137,"NOT_DIRECTLY_BOUND")</x:f>
        <x:v>1</x:v>
      </x:c>
      <x:c r="F29" s="369" t="str">
        <x:f>IF(D29=E29,"PASS","FAIL")</x:f>
        <x:v>PASS</x:v>
      </x:c>
      <x:c r="G29" s="369" t="str"/>
    </x:row>
    <x:row r="30" ht="36" customHeight="1">
      <x:c r="A30" s="19" t="str">
        <x:v>C25</x:v>
      </x:c>
      <x:c r="B30" s="19" t="str">
        <x:v>CLAIM</x:v>
      </x:c>
      <x:c r="C30" s="19" t="str">
        <x:v>N70后向激光雷达保持NOT_DISCLOSED</x:v>
      </x:c>
      <x:c r="D30" s="19" t="n">
        <x:v>1</x:v>
      </x:c>
      <x:c r="E30" s="19" t="n">
        <x:f>COUNTIFS('50_发布会逐项主张'!G6:G137,"PC-N70-MAX-CAND",'50_发布会逐项主张'!H6:H137,"rear_solid_state_lidar",'50_发布会逐项主张'!R6:R137,"NOT_DISCLOSED")</x:f>
        <x:v>1</x:v>
      </x:c>
      <x:c r="F30" s="19" t="str">
        <x:f>IF(D30=E30,"PASS","FAIL")</x:f>
        <x:v>PASS</x:v>
      </x:c>
      <x:c r="G30" s="19" t="str"/>
    </x:row>
    <x:row r="31" ht="36" customHeight="1">
      <x:c r="A31" s="369" t="str">
        <x:v>C26</x:v>
      </x:c>
      <x:c r="B31" s="369" t="str">
        <x:v>CLAIM</x:v>
      </x:c>
      <x:c r="C31" s="369" t="str">
        <x:v>N90明确选装数量为6</x:v>
      </x:c>
      <x:c r="D31" s="369" t="n">
        <x:v>6</x:v>
      </x:c>
      <x:c r="E31" s="369" t="n">
        <x:f>COUNTIFS('50_发布会逐项主张'!G6:G137,"PC-N90-MAX-CAND",'50_发布会逐项主张'!R6:R137,"OPTIONAL_AT_RELEASE")</x:f>
        <x:v>6</x:v>
      </x:c>
      <x:c r="F31" s="369" t="str">
        <x:f>IF(D31=E31,"PASS","FAIL")</x:f>
        <x:v>PASS</x:v>
      </x:c>
      <x:c r="G31" s="369" t="str"/>
    </x:row>
    <x:row r="32" ht="36" customHeight="1">
      <x:c r="A32" s="19" t="str">
        <x:v>C27</x:v>
      </x:c>
      <x:c r="B32" s="19" t="str">
        <x:v>CLAIM</x:v>
      </x:c>
      <x:c r="C32" s="19" t="str">
        <x:v>N90明确另购数量为6</x:v>
      </x:c>
      <x:c r="D32" s="19" t="n">
        <x:v>6</x:v>
      </x:c>
      <x:c r="E32" s="19" t="n">
        <x:f>COUNTIFS('50_发布会逐项主张'!G6:G137,"PC-N90-MAX-CAND",'50_发布会逐项主张'!R6:R137,"SEPARATE_PURCHASE")</x:f>
        <x:v>6</x:v>
      </x:c>
      <x:c r="F32" s="19" t="str">
        <x:f>IF(D32=E32,"PASS","FAIL")</x:f>
        <x:v>PASS</x:v>
      </x:c>
      <x:c r="G32" s="19" t="str"/>
    </x:row>
    <x:row r="33" ht="36" customHeight="1">
      <x:c r="A33" s="369" t="str">
        <x:v>C28</x:v>
      </x:c>
      <x:c r="B33" s="369" t="str">
        <x:v>CLAIM</x:v>
      </x:c>
      <x:c r="C33" s="369" t="str">
        <x:v>候选低阶直接claim为0</x:v>
      </x:c>
      <x:c r="D33" s="369" t="n">
        <x:v>0</x:v>
      </x:c>
      <x:c r="E33" s="369" t="n">
        <x:f>COUNTIF('50_发布会逐项主张'!G6:G137,"PC-N70-BASE-CAND")</x:f>
        <x:v>0</x:v>
      </x:c>
      <x:c r="F33" s="369" t="str">
        <x:f>IF(D33=E33,"PASS","FAIL")</x:f>
        <x:v>PASS</x:v>
      </x:c>
      <x:c r="G33" s="369" t="str"/>
    </x:row>
    <x:row r="34" ht="36" customHeight="1">
      <x:c r="A34" s="19" t="str">
        <x:v>C29</x:v>
      </x:c>
      <x:c r="B34" s="19" t="str">
        <x:v>CLAIM</x:v>
      </x:c>
      <x:c r="C34" s="19" t="str">
        <x:v>升顶候选直接claim为0</x:v>
      </x:c>
      <x:c r="D34" s="19" t="n">
        <x:v>0</x:v>
      </x:c>
      <x:c r="E34" s="19" t="n">
        <x:f>COUNTIF('50_发布会逐项主张'!G6:G137,"PC-N90-ROOF-CAND")</x:f>
        <x:v>0</x:v>
      </x:c>
      <x:c r="F34" s="19" t="str">
        <x:f>IF(D34=E34,"PASS","FAIL")</x:f>
        <x:v>PASS</x:v>
      </x:c>
      <x:c r="G34" s="19" t="str"/>
    </x:row>
    <x:row r="35" ht="36" customHeight="1">
      <x:c r="A35" s="369" t="str">
        <x:v>C30</x:v>
      </x:c>
      <x:c r="B35" s="369" t="str">
        <x:v>FACT</x:v>
      </x:c>
      <x:c r="C35" s="369" t="str">
        <x:v>配置事实总数固定</x:v>
      </x:c>
      <x:c r="D35" s="369" t="n">
        <x:v>122</x:v>
      </x:c>
      <x:c r="E35" s="369" t="n">
        <x:f>COUNTA('51_版本配置事实'!A6:A127)</x:f>
        <x:v>122</x:v>
      </x:c>
      <x:c r="F35" s="369" t="str">
        <x:f>IF(D35=E35,"PASS","FAIL")</x:f>
        <x:v>PASS</x:v>
      </x:c>
      <x:c r="G35" s="369" t="str"/>
    </x:row>
    <x:row r="36" ht="36" customHeight="1">
      <x:c r="A36" s="19" t="str">
        <x:v>C31</x:v>
      </x:c>
      <x:c r="B36" s="19" t="str">
        <x:v>FACT</x:v>
      </x:c>
      <x:c r="C36" s="19" t="str">
        <x:v>每条事实有claim_refs</x:v>
      </x:c>
      <x:c r="D36" s="19" t="n">
        <x:v>0</x:v>
      </x:c>
      <x:c r="E36" s="19" t="n">
        <x:f>COUNTBLANK('51_版本配置事实'!N6:N127)</x:f>
        <x:v>0</x:v>
      </x:c>
      <x:c r="F36" s="19" t="str">
        <x:f>IF(D36=E36,"PASS","FAIL")</x:f>
        <x:v>PASS</x:v>
      </x:c>
      <x:c r="G36" s="19" t="str"/>
    </x:row>
    <x:row r="37" ht="36" customHeight="1">
      <x:c r="A37" s="369" t="str">
        <x:v>C32</x:v>
      </x:c>
      <x:c r="B37" s="369" t="str">
        <x:v>FACT</x:v>
      </x:c>
      <x:c r="C37" s="369" t="str">
        <x:v>App状态全部NOT_EVIDENCED</x:v>
      </x:c>
      <x:c r="D37" s="369" t="n">
        <x:v>122</x:v>
      </x:c>
      <x:c r="E37" s="369" t="n">
        <x:f>COUNTIF('51_版本配置事实'!J6:J127,"NOT_EVIDENCED")</x:f>
        <x:v>122</x:v>
      </x:c>
      <x:c r="F37" s="369" t="str">
        <x:f>IF(D37=E37,"PASS","FAIL")</x:f>
        <x:v>PASS</x:v>
      </x:c>
      <x:c r="G37" s="369" t="str"/>
    </x:row>
    <x:row r="38" ht="36" customHeight="1">
      <x:c r="A38" s="19" t="str">
        <x:v>C33</x:v>
      </x:c>
      <x:c r="B38" s="19" t="str">
        <x:v>FACT</x:v>
      </x:c>
      <x:c r="C38" s="19" t="str">
        <x:v>current_app_included为TRUE的行数0</x:v>
      </x:c>
      <x:c r="D38" s="19" t="n">
        <x:v>0</x:v>
      </x:c>
      <x:c r="E38" s="19" t="n">
        <x:f>COUNTIF('51_版本配置事实'!P6:P127,"TRUE")</x:f>
        <x:v>0</x:v>
      </x:c>
      <x:c r="F38" s="19" t="str">
        <x:f>IF(D38=E38,"PASS","FAIL")</x:f>
        <x:v>PASS</x:v>
      </x:c>
      <x:c r="G38" s="19" t="str"/>
    </x:row>
    <x:row r="39" ht="36" customHeight="1">
      <x:c r="A39" s="369" t="str">
        <x:v>C34</x:v>
      </x:c>
      <x:c r="B39" s="369" t="str">
        <x:v>FACT</x:v>
      </x:c>
      <x:c r="C39" s="369" t="str">
        <x:v>release_model_included只来自明确标准</x:v>
      </x:c>
      <x:c r="D39" s="369" t="n">
        <x:v>0</x:v>
      </x:c>
      <x:c r="E39" s="369" t="n">
        <x:f>COUNTIFS('51_版本配置事实'!O6:O127,"TRUE",'51_版本配置事实'!I6:I127,"&lt;&gt;STANDARD_AT_RELEASE")</x:f>
        <x:v>0</x:v>
      </x:c>
      <x:c r="F39" s="369" t="str">
        <x:f>IF(D39=E39,"PASS","FAIL")</x:f>
        <x:v>PASS</x:v>
      </x:c>
      <x:c r="G39" s="369" t="str"/>
    </x:row>
    <x:row r="40" ht="36" customHeight="1">
      <x:c r="A40" s="19" t="str">
        <x:v>C35</x:v>
      </x:c>
      <x:c r="B40" s="19" t="str">
        <x:v>FACT</x:v>
      </x:c>
      <x:c r="C40" s="19" t="str">
        <x:v>候选低阶配置事实0条</x:v>
      </x:c>
      <x:c r="D40" s="19" t="n">
        <x:v>0</x:v>
      </x:c>
      <x:c r="E40" s="19" t="n">
        <x:f>COUNTIF('51_版本配置事实'!B6:B127,"PC-N70-BASE-CAND")</x:f>
        <x:v>0</x:v>
      </x:c>
      <x:c r="F40" s="19" t="str">
        <x:f>IF(D40=E40,"PASS","FAIL")</x:f>
        <x:v>PASS</x:v>
      </x:c>
      <x:c r="G40" s="19" t="str"/>
    </x:row>
    <x:row r="41" ht="36" customHeight="1">
      <x:c r="A41" s="369" t="str">
        <x:v>C36</x:v>
      </x:c>
      <x:c r="B41" s="369" t="str">
        <x:v>FACT</x:v>
      </x:c>
      <x:c r="C41" s="369" t="str">
        <x:v>升顶候选配置事实0条</x:v>
      </x:c>
      <x:c r="D41" s="369" t="n">
        <x:v>0</x:v>
      </x:c>
      <x:c r="E41" s="369" t="n">
        <x:f>COUNTIF('51_版本配置事实'!B6:B127,"PC-N90-ROOF-CAND")</x:f>
        <x:v>0</x:v>
      </x:c>
      <x:c r="F41" s="369" t="str">
        <x:f>IF(D41=E41,"PASS","FAIL")</x:f>
        <x:v>PASS</x:v>
      </x:c>
      <x:c r="G41" s="369" t="str"/>
    </x:row>
    <x:row r="42" ht="36" customHeight="1">
      <x:c r="A42" s="19" t="str">
        <x:v>C37</x:v>
      </x:c>
      <x:c r="B42" s="19" t="str">
        <x:v>FACT</x:v>
      </x:c>
      <x:c r="C42" s="19" t="str">
        <x:v>传播只到两个已发布Max</x:v>
      </x:c>
      <x:c r="D42" s="19" t="n">
        <x:v>0</x:v>
      </x:c>
      <x:c r="E42" s="19" t="n">
        <x:f>COUNTIFS('51_版本配置事实'!L6:L127,"PROPAGATED_SCOPE_CLAIM",'51_版本配置事实'!B6:B127,"&lt;&gt;PC-N70-MAX-CAND",'51_版本配置事实'!B6:B127,"&lt;&gt;PC-N90-MAX-CAND")</x:f>
        <x:v>0</x:v>
      </x:c>
      <x:c r="F42" s="19" t="str">
        <x:f>IF(D42=E42,"PASS","FAIL")</x:f>
        <x:v>PASS</x:v>
      </x:c>
      <x:c r="G42" s="19" t="str"/>
    </x:row>
    <x:row r="43" ht="36" customHeight="1">
      <x:c r="A43" s="369" t="str">
        <x:v>C38</x:v>
      </x:c>
      <x:c r="B43" s="369" t="str">
        <x:v>FACT</x:v>
      </x:c>
      <x:c r="C43" s="369" t="str">
        <x:v>事实冲突行数0</x:v>
      </x:c>
      <x:c r="D43" s="369" t="n">
        <x:v>0</x:v>
      </x:c>
      <x:c r="E43" s="369" t="n">
        <x:f>COUNTIF('51_版本配置事实'!T6:T127,"OPEN")</x:f>
        <x:v>0</x:v>
      </x:c>
      <x:c r="F43" s="369" t="str">
        <x:f>IF(D43=E43,"PASS","FAIL")</x:f>
        <x:v>PASS</x:v>
      </x:c>
      <x:c r="G43" s="369" t="str"/>
    </x:row>
    <x:row r="44" ht="36" customHeight="1">
      <x:c r="A44" s="19" t="str">
        <x:v>C39</x:v>
      </x:c>
      <x:c r="B44" s="19" t="str">
        <x:v>FACT</x:v>
      </x:c>
      <x:c r="C44" s="19" t="str">
        <x:v>N90 464km事实恰1条</x:v>
      </x:c>
      <x:c r="D44" s="19" t="n">
        <x:v>1</x:v>
      </x:c>
      <x:c r="E44" s="19" t="n">
        <x:f>COUNTIFS('51_版本配置事实'!B6:B127,"PC-N90-MAX-CAND",'51_版本配置事实'!C6:C127,"cltc_ev_range",'51_版本配置事实'!F6:F127,464)</x:f>
        <x:v>1</x:v>
      </x:c>
      <x:c r="F44" s="19" t="str">
        <x:f>IF(D44=E44,"PASS","FAIL")</x:f>
        <x:v>PASS</x:v>
      </x:c>
      <x:c r="G44" s="19" t="str"/>
    </x:row>
    <x:row r="45" ht="36" customHeight="1">
      <x:c r="A45" s="369" t="str">
        <x:v>C40</x:v>
      </x:c>
      <x:c r="B45" s="369" t="str">
        <x:v>FACT</x:v>
      </x:c>
      <x:c r="C45" s="369" t="str">
        <x:v>N90 505km事实0条</x:v>
      </x:c>
      <x:c r="D45" s="369" t="n">
        <x:v>0</x:v>
      </x:c>
      <x:c r="E45" s="369" t="n">
        <x:f>COUNTIFS('51_版本配置事实'!B6:B127,"PC-N90-MAX-CAND",'51_版本配置事实'!C6:C127,"cltc_ev_range",'51_版本配置事实'!F6:F127,505)</x:f>
        <x:v>0</x:v>
      </x:c>
      <x:c r="F45" s="369" t="str">
        <x:f>IF(D45=E45,"PASS","FAIL")</x:f>
        <x:v>PASS</x:v>
      </x:c>
      <x:c r="G45" s="369" t="str"/>
    </x:row>
    <x:row r="46" ht="36" customHeight="1">
      <x:c r="A46" s="19" t="str">
        <x:v>C41</x:v>
      </x:c>
      <x:c r="B46" s="19" t="str">
        <x:v>FACT</x:v>
      </x:c>
      <x:c r="C46" s="19" t="str">
        <x:v>N70 76kWh直接事实0条</x:v>
      </x:c>
      <x:c r="D46" s="19" t="n">
        <x:v>0</x:v>
      </x:c>
      <x:c r="E46" s="19" t="n">
        <x:f>COUNTIFS('51_版本配置事实'!B6:B127,"PC-N70-MAX-CAND",'51_版本配置事实'!C6:C127,"battery_capacity",'51_版本配置事实'!I6:I127,"&lt;&gt;NOT_DISCLOSED")</x:f>
        <x:v>0</x:v>
      </x:c>
      <x:c r="F46" s="19" t="str">
        <x:f>IF(D46=E46,"PASS","FAIL")</x:f>
        <x:v>PASS</x:v>
      </x:c>
      <x:c r="G46" s="19" t="str"/>
    </x:row>
    <x:row r="47" ht="36" customHeight="1">
      <x:c r="A47" s="369" t="str">
        <x:v>C42</x:v>
      </x:c>
      <x:c r="B47" s="369" t="str">
        <x:v>MATRIX</x:v>
      </x:c>
      <x:c r="C47" s="369" t="str">
        <x:v>矩阵特征数固定</x:v>
      </x:c>
      <x:c r="D47" s="369" t="n">
        <x:v>93</x:v>
      </x:c>
      <x:c r="E47" s="369" t="n">
        <x:f>COUNTA('52_共通差异矩阵'!A6:A98)</x:f>
        <x:v>93</x:v>
      </x:c>
      <x:c r="F47" s="369" t="str">
        <x:f>IF(D47=E47,"PASS","FAIL")</x:f>
        <x:v>PASS</x:v>
      </x:c>
      <x:c r="G47" s="369" t="str"/>
    </x:row>
    <x:row r="48" ht="36" customHeight="1">
      <x:c r="A48" s="19" t="str">
        <x:v>C43</x:v>
      </x:c>
      <x:c r="B48" s="19" t="str">
        <x:v>MATRIX</x:v>
      </x:c>
      <x:c r="C48" s="19" t="str">
        <x:v>矩阵发布/App八列无空白</x:v>
      </x:c>
      <x:c r="D48" s="19" t="n">
        <x:v>0</x:v>
      </x:c>
      <x:c r="E48" s="19" t="n">
        <x:f>COUNTBLANK('52_共通差异矩阵'!C6:J98)</x:f>
        <x:v>0</x:v>
      </x:c>
      <x:c r="F48" s="19" t="str">
        <x:f>IF(D48=E48,"PASS","FAIL")</x:f>
        <x:v>PASS</x:v>
      </x:c>
      <x:c r="G48" s="19" t="str"/>
    </x:row>
    <x:row r="49" ht="36" customHeight="1">
      <x:c r="A49" s="369" t="str">
        <x:v>C44</x:v>
      </x:c>
      <x:c r="B49" s="369" t="str">
        <x:v>MATRIX</x:v>
      </x:c>
      <x:c r="C49" s="369" t="str">
        <x:v>四个App列全部NOT_EVIDENCED</x:v>
      </x:c>
      <x:c r="D49" s="369" t="n">
        <x:v>372</x:v>
      </x:c>
      <x:c r="E49" s="369" t="n">
        <x:f>COUNTIF('52_共通差异矩阵'!D6:D98,"NOT_EVIDENCED")+COUNTIF('52_共通差异矩阵'!F6:F98,"NOT_EVIDENCED")+COUNTIF('52_共通差异矩阵'!H6:H98,"NOT_EVIDENCED")+COUNTIF('52_共通差异矩阵'!J6:J98,"NOT_EVIDENCED")</x:f>
        <x:v>372</x:v>
      </x:c>
      <x:c r="F49" s="369" t="str">
        <x:f>IF(D49=E49,"PASS","FAIL")</x:f>
        <x:v>PASS</x:v>
      </x:c>
      <x:c r="G49" s="369" t="str"/>
    </x:row>
    <x:row r="50" ht="36" customHeight="1">
      <x:c r="A50" s="19" t="str">
        <x:v>C45</x:v>
      </x:c>
      <x:c r="B50" s="19" t="str">
        <x:v>MATRIX</x:v>
      </x:c>
      <x:c r="C50" s="19" t="str">
        <x:v>B1全部UNRESOLVED</x:v>
      </x:c>
      <x:c r="D50" s="19" t="n">
        <x:v>93</x:v>
      </x:c>
      <x:c r="E50" s="19" t="n">
        <x:f>COUNTIF('52_共通差异矩阵'!L6:L98,"UNRESOLVED")</x:f>
        <x:v>93</x:v>
      </x:c>
      <x:c r="F50" s="19" t="str">
        <x:f>IF(D50=E50,"PASS","FAIL")</x:f>
        <x:v>PASS</x:v>
      </x:c>
      <x:c r="G50" s="19" t="str"/>
    </x:row>
    <x:row r="51" ht="36" customHeight="1">
      <x:c r="A51" s="369" t="str">
        <x:v>C46</x:v>
      </x:c>
      <x:c r="B51" s="369" t="str">
        <x:v>MATRIX</x:v>
      </x:c>
      <x:c r="C51" s="369" t="str">
        <x:v>B3全部UNRESOLVED</x:v>
      </x:c>
      <x:c r="D51" s="369" t="n">
        <x:v>93</x:v>
      </x:c>
      <x:c r="E51" s="369" t="n">
        <x:f>COUNTIF('52_共通差异矩阵'!N6:N98,"UNRESOLVED")</x:f>
        <x:v>93</x:v>
      </x:c>
      <x:c r="F51" s="369" t="str">
        <x:f>IF(D51=E51,"PASS","FAIL")</x:f>
        <x:v>PASS</x:v>
      </x:c>
      <x:c r="G51" s="369" t="str"/>
    </x:row>
    <x:row r="52" ht="36" customHeight="1">
      <x:c r="A52" s="19" t="str">
        <x:v>C47</x:v>
      </x:c>
      <x:c r="B52" s="19" t="str">
        <x:v>MATRIX</x:v>
      </x:c>
      <x:c r="C52" s="19" t="str">
        <x:v>矩阵冲突0行</x:v>
      </x:c>
      <x:c r="D52" s="19" t="n">
        <x:v>0</x:v>
      </x:c>
      <x:c r="E52" s="19" t="n">
        <x:f>COUNTIF('52_共通差异矩阵'!R6:R98,"CONFLICTED")</x:f>
        <x:v>0</x:v>
      </x:c>
      <x:c r="F52" s="19" t="str">
        <x:f>IF(D52=E52,"PASS","FAIL")</x:f>
        <x:v>PASS</x:v>
      </x:c>
      <x:c r="G52" s="19" t="str"/>
    </x:row>
    <x:row r="53" ht="36" customHeight="1">
      <x:c r="A53" s="369" t="str">
        <x:v>C48</x:v>
      </x:c>
      <x:c r="B53" s="369" t="str">
        <x:v>MATRIX</x:v>
      </x:c>
      <x:c r="C53" s="369" t="str">
        <x:v>N90的cltc_ev_range状态非空</x:v>
      </x:c>
      <x:c r="D53" s="369" t="n">
        <x:v>1</x:v>
      </x:c>
      <x:c r="E53" s="369" t="n">
        <x:f>COUNTIFS('52_共通差异矩阵'!A6:A98,"cltc_ev_range",'52_共通差异矩阵'!G6:G98,"EQUIPPED_STANDARD_UNCONFIRMED")</x:f>
        <x:v>1</x:v>
      </x:c>
      <x:c r="F53" s="369" t="str">
        <x:f>IF(D53=E53,"PASS","FAIL")</x:f>
        <x:v>PASS</x:v>
      </x:c>
      <x:c r="G53" s="369" t="str"/>
    </x:row>
    <x:row r="54" ht="36" customHeight="1">
      <x:c r="A54" s="19" t="str">
        <x:v>C49</x:v>
      </x:c>
      <x:c r="B54" s="19" t="str">
        <x:v>MATRIX</x:v>
      </x:c>
      <x:c r="C54" s="19" t="str">
        <x:v>N70后向激光雷达为NOT_DISCLOSED</x:v>
      </x:c>
      <x:c r="D54" s="19" t="n">
        <x:v>1</x:v>
      </x:c>
      <x:c r="E54" s="19" t="n">
        <x:f>COUNTIFS('52_共通差异矩阵'!A6:A98,"rear_solid_state_lidar",'52_共通差异矩阵'!E6:E98,"NOT_DISCLOSED")</x:f>
        <x:v>1</x:v>
      </x:c>
      <x:c r="F54" s="19" t="str">
        <x:f>IF(D54=E54,"PASS","FAIL")</x:f>
        <x:v>PASS</x:v>
      </x:c>
      <x:c r="G54" s="19" t="str"/>
    </x:row>
    <x:row r="55" ht="36" customHeight="1">
      <x:c r="A55" s="369" t="str">
        <x:v>C50</x:v>
      </x:c>
      <x:c r="B55" s="369" t="str">
        <x:v>MATRIX</x:v>
      </x:c>
      <x:c r="C55" s="369" t="str">
        <x:v>N90后向激光雷达已展示</x:v>
      </x:c>
      <x:c r="D55" s="369" t="n">
        <x:v>1</x:v>
      </x:c>
      <x:c r="E55" s="369" t="n">
        <x:f>COUNTIFS('52_共通差异矩阵'!A6:A98,"rear_solid_state_lidar",'52_共通差异矩阵'!G6:G98,"EQUIPPED_STANDARD_UNCONFIRMED")</x:f>
        <x:v>1</x:v>
      </x:c>
      <x:c r="F55" s="369" t="str">
        <x:f>IF(D55=E55,"PASS","FAIL")</x:f>
        <x:v>PASS</x:v>
      </x:c>
      <x:c r="G55" s="369" t="str"/>
    </x:row>
    <x:row r="56" ht="36" customHeight="1">
      <x:c r="A56" s="19" t="str">
        <x:v>C51</x:v>
      </x:c>
      <x:c r="B56" s="19" t="str">
        <x:v>MIIT</x:v>
      </x:c>
      <x:c r="C56" s="19" t="str">
        <x:v>回勾行数固定</x:v>
      </x:c>
      <x:c r="D56" s="19" t="n">
        <x:v>22</x:v>
      </x:c>
      <x:c r="E56" s="19" t="n">
        <x:f>COUNTA('53_MIIT配置回勾'!A6:A27)</x:f>
        <x:v>22</x:v>
      </x:c>
      <x:c r="F56" s="19" t="str">
        <x:f>IF(D56=E56,"PASS","FAIL")</x:f>
        <x:v>PASS</x:v>
      </x:c>
      <x:c r="G56" s="19" t="str"/>
    </x:row>
    <x:row r="57" ht="36" customHeight="1">
      <x:c r="A57" s="369" t="str">
        <x:v>C52</x:v>
      </x:c>
      <x:c r="B57" s="369" t="str">
        <x:v>MIIT</x:v>
      </x:c>
      <x:c r="C57" s="369" t="str">
        <x:v>硬冲突0条</x:v>
      </x:c>
      <x:c r="D57" s="369" t="n">
        <x:v>0</x:v>
      </x:c>
      <x:c r="E57" s="369" t="n">
        <x:f>COUNTIF('53_MIIT配置回勾'!L6:L27,"MISMATCH_HARD")</x:f>
        <x:v>0</x:v>
      </x:c>
      <x:c r="F57" s="369" t="str">
        <x:f>IF(D57=E57,"PASS","FAIL")</x:f>
        <x:v>PASS</x:v>
      </x:c>
      <x:c r="G57" s="369" t="str"/>
    </x:row>
    <x:row r="58" ht="36" customHeight="1">
      <x:c r="A58" s="19" t="str">
        <x:v>C53</x:v>
      </x:c>
      <x:c r="B58" s="19" t="str">
        <x:v>MIIT</x:v>
      </x:c>
      <x:c r="C58" s="19" t="str">
        <x:v>N70 310kW回勾MATCH</x:v>
      </x:c>
      <x:c r="D58" s="19" t="n">
        <x:v>1</x:v>
      </x:c>
      <x:c r="E58" s="19" t="n">
        <x:f>COUNTIFS('53_MIIT配置回勾'!B6:B27,"PC-N70-MAX-CAND",'53_MIIT配置回勾'!C6:C27,"peak_power_total",'53_MIIT配置回勾'!L6:L27,"MATCH")</x:f>
        <x:v>1</x:v>
      </x:c>
      <x:c r="F58" s="19" t="str">
        <x:f>IF(D58=E58,"PASS","FAIL")</x:f>
        <x:v>PASS</x:v>
      </x:c>
      <x:c r="G58" s="19" t="str"/>
    </x:row>
    <x:row r="59" ht="36" customHeight="1">
      <x:c r="A59" s="369" t="str">
        <x:v>C54</x:v>
      </x:c>
      <x:c r="B59" s="369" t="str">
        <x:v>MIIT</x:v>
      </x:c>
      <x:c r="C59" s="369" t="str">
        <x:v>N90 310kW回勾MATCH</x:v>
      </x:c>
      <x:c r="D59" s="369" t="n">
        <x:v>1</x:v>
      </x:c>
      <x:c r="E59" s="369" t="n">
        <x:f>COUNTIFS('53_MIIT配置回勾'!B6:B27,"PC-N90-MAX-CAND",'53_MIIT配置回勾'!C6:C27,"peak_power_total",'53_MIIT配置回勾'!L6:L27,"MATCH")</x:f>
        <x:v>1</x:v>
      </x:c>
      <x:c r="F59" s="369" t="str">
        <x:f>IF(D59=E59,"PASS","FAIL")</x:f>
        <x:v>PASS</x:v>
      </x:c>
      <x:c r="G59" s="369" t="str"/>
    </x:row>
    <x:row r="60" ht="36" customHeight="1">
      <x:c r="A60" s="19" t="str">
        <x:v>C55</x:v>
      </x:c>
      <x:c r="B60" s="19" t="str">
        <x:v>MIIT</x:v>
      </x:c>
      <x:c r="C60" s="19" t="str">
        <x:v>N90七座仅绑定V-N90-7</x:v>
      </x:c>
      <x:c r="D60" s="19" t="n">
        <x:v>1</x:v>
      </x:c>
      <x:c r="E60" s="19" t="n">
        <x:f>COUNTIFS('53_MIIT配置回勾'!B6:B27,"PC-N90-MAX-CAND",'53_MIIT配置回勾'!C6:C27,"seat_count",'53_MIIT配置回勾'!F6:F27,"V-N90-7")</x:f>
        <x:v>1</x:v>
      </x:c>
      <x:c r="F60" s="19" t="str">
        <x:f>IF(D60=E60,"PASS","FAIL")</x:f>
        <x:v>PASS</x:v>
      </x:c>
      <x:c r="G60" s="19" t="str"/>
    </x:row>
    <x:row r="61" ht="36" customHeight="1">
      <x:c r="A61" s="369" t="str">
        <x:v>C56</x:v>
      </x:c>
      <x:c r="B61" s="369" t="str">
        <x:v>MIIT</x:v>
      </x:c>
      <x:c r="C61" s="369" t="str">
        <x:v>V-N90-5商业绑定0条</x:v>
      </x:c>
      <x:c r="D61" s="369" t="n">
        <x:v>0</x:v>
      </x:c>
      <x:c r="E61" s="369" t="n">
        <x:f>COUNTIF('53_MIIT配置回勾'!F6:F27,"V-N90-5")</x:f>
        <x:v>0</x:v>
      </x:c>
      <x:c r="F61" s="369" t="str">
        <x:f>IF(D61=E61,"PASS","FAIL")</x:f>
        <x:v>PASS</x:v>
      </x:c>
      <x:c r="G61" s="369" t="str"/>
    </x:row>
    <x:row r="62" ht="36" customHeight="1">
      <x:c r="A62" s="19" t="str">
        <x:v>C57</x:v>
      </x:c>
      <x:c r="B62" s="19" t="str">
        <x:v>MIIT</x:v>
      </x:c>
      <x:c r="C62" s="19" t="str">
        <x:v>两条纯电续航均为不可直接比较</x:v>
      </x:c>
      <x:c r="D62" s="19" t="n">
        <x:v>2</x:v>
      </x:c>
      <x:c r="E62" s="19" t="n">
        <x:f>COUNTIFS('53_MIIT配置回勾'!C6:C27,"cltc_ev_range",'53_MIIT配置回勾'!L6:L27,"NOT_COMPARABLE_CYCLE_UNKNOWN")</x:f>
        <x:v>2</x:v>
      </x:c>
      <x:c r="F62" s="19" t="str">
        <x:f>IF(D62=E62,"PASS","FAIL")</x:f>
        <x:v>PASS</x:v>
      </x:c>
      <x:c r="G62" s="19" t="str"/>
    </x:row>
    <x:row r="63" ht="36" customHeight="1">
      <x:c r="A63" s="369" t="str">
        <x:v>C58</x:v>
      </x:c>
      <x:c r="B63" s="369" t="str">
        <x:v>MIIT</x:v>
      </x:c>
      <x:c r="C63" s="369" t="str">
        <x:v>综合续航与监管纯电续航比较0条</x:v>
      </x:c>
      <x:c r="D63" s="369" t="n">
        <x:v>0</x:v>
      </x:c>
      <x:c r="E63" s="369" t="n">
        <x:f>COUNTIF('53_MIIT配置回勾'!C6:C27,"cltc_combined_range")</x:f>
        <x:v>0</x:v>
      </x:c>
      <x:c r="F63" s="369" t="str">
        <x:f>IF(D63=E63,"PASS","FAIL")</x:f>
        <x:v>PASS</x:v>
      </x:c>
      <x:c r="G63" s="369" t="str"/>
    </x:row>
    <x:row r="64" ht="36" customHeight="1">
      <x:c r="A64" s="19" t="str">
        <x:v>C59</x:v>
      </x:c>
      <x:c r="B64" s="19" t="str">
        <x:v>MIIT</x:v>
      </x:c>
      <x:c r="C64" s="19" t="str">
        <x:v>N90电池容量回勾保留E3</x:v>
      </x:c>
      <x:c r="D64" s="19" t="n">
        <x:v>1</x:v>
      </x:c>
      <x:c r="E64" s="19" t="n">
        <x:f>COUNTIFS('53_MIIT配置回勾'!B6:B27,"PC-N90-MAX-CAND",'53_MIIT配置回勾'!C6:C27,"battery_capacity",'53_MIIT配置回勾'!P6:P27,"E3_TRACE")</x:f>
        <x:v>1</x:v>
      </x:c>
      <x:c r="F64" s="19" t="str">
        <x:f>IF(D64=E64,"PASS","FAIL")</x:f>
        <x:v>PASS</x:v>
      </x:c>
      <x:c r="G64" s="19" t="str"/>
    </x:row>
    <x:row r="65" ht="36" customHeight="1">
      <x:c r="A65" s="369" t="str">
        <x:v>C60</x:v>
      </x:c>
      <x:c r="B65" s="369" t="str">
        <x:v>MIIT</x:v>
      </x:c>
      <x:c r="C65" s="369" t="str">
        <x:v>N70容量未直接绑定</x:v>
      </x:c>
      <x:c r="D65" s="369" t="n">
        <x:v>1</x:v>
      </x:c>
      <x:c r="E65" s="369" t="n">
        <x:f>COUNTIFS('53_MIIT配置回勾'!B6:B27,"PC-N70-MAX-CAND",'53_MIIT配置回勾'!C6:C27,"battery_capacity",'53_MIIT配置回勾'!L6:L27,"LAUNCH_NOT_DIRECTLY_BOUND")</x:f>
        <x:v>1</x:v>
      </x:c>
      <x:c r="F65" s="369" t="str">
        <x:f>IF(D65=E65,"PASS","FAIL")</x:f>
        <x:v>PASS</x:v>
      </x:c>
      <x:c r="G65" s="369" t="str"/>
    </x:row>
    <x:row r="66" ht="36" customHeight="1">
      <x:c r="A66" s="19" t="str">
        <x:v>C61</x:v>
      </x:c>
      <x:c r="B66" s="19" t="str">
        <x:v>APP</x:v>
      </x:c>
      <x:c r="C66" s="19" t="str">
        <x:v>App/漏斗观察行数固定</x:v>
      </x:c>
      <x:c r="D66" s="19" t="n">
        <x:v>6</x:v>
      </x:c>
      <x:c r="E66" s="19" t="n">
        <x:f>COUNTA('54_App小订身份'!A6:A11)</x:f>
        <x:v>6</x:v>
      </x:c>
      <x:c r="F66" s="19" t="str">
        <x:f>IF(D66=E66,"PASS","FAIL")</x:f>
        <x:v>PASS</x:v>
      </x:c>
      <x:c r="G66" s="19" t="str"/>
    </x:row>
    <x:row r="67" ht="36" customHeight="1">
      <x:c r="A67" s="369" t="str">
        <x:v>C62</x:v>
      </x:c>
      <x:c r="B67" s="369" t="str">
        <x:v>APP</x:v>
      </x:c>
      <x:c r="C67" s="369" t="str">
        <x:v>小订意向商品2条</x:v>
      </x:c>
      <x:c r="D67" s="369" t="n">
        <x:v>2</x:v>
      </x:c>
      <x:c r="E67" s="369" t="n">
        <x:f>COUNTIF('54_App小订身份'!F6:F11,"INTENT_DEPOSIT_PRODUCT")</x:f>
        <x:v>2</x:v>
      </x:c>
      <x:c r="F67" s="369" t="str">
        <x:f>IF(D67=E67,"PASS","FAIL")</x:f>
        <x:v>PASS</x:v>
      </x:c>
      <x:c r="G67" s="369" t="str"/>
    </x:row>
    <x:row r="68" ht="36" customHeight="1">
      <x:c r="A68" s="19" t="str">
        <x:v>C63</x:v>
      </x:c>
      <x:c r="B68" s="19" t="str">
        <x:v>APP</x:v>
      </x:c>
      <x:c r="C68" s="19" t="str">
        <x:v>车辆SKU锁定0条</x:v>
      </x:c>
      <x:c r="D68" s="19" t="n">
        <x:v>0</x:v>
      </x:c>
      <x:c r="E68" s="19" t="n">
        <x:f>COUNTIF('54_App小订身份'!X6:X11,"TRUE")</x:f>
        <x:v>0</x:v>
      </x:c>
      <x:c r="F68" s="19" t="str">
        <x:f>IF(D68=E68,"PASS","FAIL")</x:f>
        <x:v>PASS</x:v>
      </x:c>
      <x:c r="G68" s="19" t="str"/>
    </x:row>
    <x:row r="69" ht="36" customHeight="1">
      <x:c r="A69" s="369" t="str">
        <x:v>C64</x:v>
      </x:c>
      <x:c r="B69" s="369" t="str">
        <x:v>APP</x:v>
      </x:c>
      <x:c r="C69" s="369" t="str">
        <x:v>当前配置权威0条</x:v>
      </x:c>
      <x:c r="D69" s="369" t="n">
        <x:v>0</x:v>
      </x:c>
      <x:c r="E69" s="369" t="n">
        <x:f>COUNTIF('54_App小订身份'!Y6:Y11,"TRUE")</x:f>
        <x:v>0</x:v>
      </x:c>
      <x:c r="F69" s="369" t="str">
        <x:f>IF(D69=E69,"PASS","FAIL")</x:f>
        <x:v>PASS</x:v>
      </x:c>
      <x:c r="G69" s="369" t="str"/>
    </x:row>
    <x:row r="70" ht="36" customHeight="1">
      <x:c r="A70" s="19" t="str">
        <x:v>C65</x:v>
      </x:c>
      <x:c r="B70" s="19" t="str">
        <x:v>APP</x:v>
      </x:c>
      <x:c r="C70" s="19" t="str">
        <x:v>价格桥资格0条</x:v>
      </x:c>
      <x:c r="D70" s="19" t="n">
        <x:v>0</x:v>
      </x:c>
      <x:c r="E70" s="19" t="n">
        <x:f>COUNTIF('54_App小订身份'!Z6:Z11,"TRUE")</x:f>
        <x:v>0</x:v>
      </x:c>
      <x:c r="F70" s="19" t="str">
        <x:f>IF(D70=E70,"PASS","FAIL")</x:f>
        <x:v>PASS</x:v>
      </x:c>
      <x:c r="G70" s="19" t="str"/>
    </x:row>
    <x:row r="71" ht="36" customHeight="1">
      <x:c r="A71" s="369" t="str">
        <x:v>C66</x:v>
      </x:c>
      <x:c r="B71" s="369" t="str">
        <x:v>APP</x:v>
      </x:c>
      <x:c r="C71" s="369" t="str">
        <x:v>goods_id非空0条</x:v>
      </x:c>
      <x:c r="D71" s="369" t="n">
        <x:v>0</x:v>
      </x:c>
      <x:c r="E71" s="369" t="n">
        <x:f>COUNTIF('54_App小订身份'!G6:G11,"?*")</x:f>
        <x:v>0</x:v>
      </x:c>
      <x:c r="F71" s="369" t="str">
        <x:f>IF(D71=E71,"PASS","FAIL")</x:f>
        <x:v>PASS</x:v>
      </x:c>
      <x:c r="G71" s="369" t="str"/>
    </x:row>
    <x:row r="72" ht="36" customHeight="1">
      <x:c r="A72" s="19" t="str">
        <x:v>C67</x:v>
      </x:c>
      <x:c r="B72" s="19" t="str">
        <x:v>APP</x:v>
      </x:c>
      <x:c r="C72" s="19" t="str">
        <x:v>version_id非空0条</x:v>
      </x:c>
      <x:c r="D72" s="19" t="n">
        <x:v>0</x:v>
      </x:c>
      <x:c r="E72" s="19" t="n">
        <x:f>COUNTIF('54_App小订身份'!I6:I11,"?*")</x:f>
        <x:v>0</x:v>
      </x:c>
      <x:c r="F72" s="19" t="str">
        <x:f>IF(D72=E72,"PASS","FAIL")</x:f>
        <x:v>PASS</x:v>
      </x:c>
      <x:c r="G72" s="19" t="str"/>
    </x:row>
    <x:row r="73" ht="36" customHeight="1">
      <x:c r="A73" s="369" t="str">
        <x:v>C68</x:v>
      </x:c>
      <x:c r="B73" s="369" t="str">
        <x:v>APP</x:v>
      </x:c>
      <x:c r="C73" s="369" t="str">
        <x:v>order_item_id非空0条</x:v>
      </x:c>
      <x:c r="D73" s="369" t="n">
        <x:v>0</x:v>
      </x:c>
      <x:c r="E73" s="369" t="n">
        <x:f>COUNTIF('54_App小订身份'!J6:J11,"?*")</x:f>
        <x:v>0</x:v>
      </x:c>
      <x:c r="F73" s="369" t="str">
        <x:f>IF(D73=E73,"PASS","FAIL")</x:f>
        <x:v>PASS</x:v>
      </x:c>
      <x:c r="G73" s="369" t="str"/>
    </x:row>
    <x:row r="74" ht="36" customHeight="1">
      <x:c r="A74" s="19" t="str">
        <x:v>C69</x:v>
      </x:c>
      <x:c r="B74" s="19" t="str">
        <x:v>APP</x:v>
      </x:c>
      <x:c r="C74" s="19" t="str">
        <x:v>config_revision非空0条</x:v>
      </x:c>
      <x:c r="D74" s="19" t="n">
        <x:v>0</x:v>
      </x:c>
      <x:c r="E74" s="19" t="n">
        <x:f>COUNTIF('54_App小订身份'!U6:U11,"?*")</x:f>
        <x:v>0</x:v>
      </x:c>
      <x:c r="F74" s="19" t="str">
        <x:f>IF(D74=E74,"PASS","FAIL")</x:f>
        <x:v>PASS</x:v>
      </x:c>
      <x:c r="G74" s="19" t="str"/>
    </x:row>
    <x:row r="75" ht="36" customHeight="1">
      <x:c r="A75" s="369" t="str">
        <x:v>C70</x:v>
      </x:c>
      <x:c r="B75" s="369" t="str">
        <x:v>APP</x:v>
      </x:c>
      <x:c r="C75" s="369" t="str">
        <x:v>1000元意向金两条</x:v>
      </x:c>
      <x:c r="D75" s="369" t="n">
        <x:v>2</x:v>
      </x:c>
      <x:c r="E75" s="369" t="n">
        <x:f>COUNTIF('54_App小订身份'!O6:O11,1000)</x:f>
        <x:v>2</x:v>
      </x:c>
      <x:c r="F75" s="369" t="str">
        <x:f>IF(D75=E75,"PASS","FAIL")</x:f>
        <x:v>PASS</x:v>
      </x:c>
      <x:c r="G75" s="369" t="str"/>
    </x:row>
    <x:row r="76" ht="36" customHeight="1">
      <x:c r="A76" s="19" t="str">
        <x:v>C71</x:v>
      </x:c>
      <x:c r="B76" s="19" t="str">
        <x:v>APP</x:v>
      </x:c>
      <x:c r="C76" s="19" t="str">
        <x:v>意向金商品未锁车辆SKU</x:v>
      </x:c>
      <x:c r="D76" s="19" t="n">
        <x:v>0</x:v>
      </x:c>
      <x:c r="E76" s="19" t="n">
        <x:f>COUNTIFS('54_App小订身份'!F6:F11,"INTENT_DEPOSIT_PRODUCT",'54_App小订身份'!X6:X11,"TRUE")</x:f>
        <x:v>0</x:v>
      </x:c>
      <x:c r="F76" s="19" t="str">
        <x:f>IF(D76=E76,"PASS","FAIL")</x:f>
        <x:v>PASS</x:v>
      </x:c>
      <x:c r="G76" s="19" t="str"/>
    </x:row>
    <x:row r="77" ht="36" customHeight="1">
      <x:c r="A77" s="369" t="str">
        <x:v>C72</x:v>
      </x:c>
      <x:c r="B77" s="369" t="str">
        <x:v>APP</x:v>
      </x:c>
      <x:c r="C77" s="369" t="str">
        <x:v>意向金商品未开价格桥</x:v>
      </x:c>
      <x:c r="D77" s="369" t="n">
        <x:v>0</x:v>
      </x:c>
      <x:c r="E77" s="369" t="n">
        <x:f>COUNTIFS('54_App小订身份'!F6:F11,"INTENT_DEPOSIT_PRODUCT",'54_App小订身份'!Z6:Z11,"TRUE")</x:f>
        <x:v>0</x:v>
      </x:c>
      <x:c r="F77" s="369" t="str">
        <x:f>IF(D77=E77,"PASS","FAIL")</x:f>
        <x:v>PASS</x:v>
      </x:c>
      <x:c r="G77" s="369" t="str"/>
    </x:row>
    <x:row r="78" ht="36" customHeight="1">
      <x:c r="A78" s="19" t="str">
        <x:v>C73</x:v>
      </x:c>
      <x:c r="B78" s="19" t="str">
        <x:v>SIGNOFF</x:v>
      </x:c>
      <x:c r="C78" s="19" t="str">
        <x:v>签核节点4个</x:v>
      </x:c>
      <x:c r="D78" s="19" t="n">
        <x:v>4</x:v>
      </x:c>
      <x:c r="E78" s="19" t="n">
        <x:f>COUNTA('55_3.1B签核'!A6:A9)</x:f>
        <x:v>4</x:v>
      </x:c>
      <x:c r="F78" s="19" t="str">
        <x:f>IF(D78=E78,"PASS","FAIL")</x:f>
        <x:v>PASS</x:v>
      </x:c>
      <x:c r="G78" s="19" t="str"/>
    </x:row>
    <x:row r="79" ht="36" customHeight="1">
      <x:c r="A79" s="369" t="str">
        <x:v>C74</x:v>
      </x:c>
      <x:c r="B79" s="369" t="str">
        <x:v>SIGNOFF</x:v>
      </x:c>
      <x:c r="C79" s="369" t="str">
        <x:v>已发布Max节点2个</x:v>
      </x:c>
      <x:c r="D79" s="369" t="n">
        <x:v>2</x:v>
      </x:c>
      <x:c r="E79" s="369" t="n">
        <x:f>COUNTIF('55_3.1B签核'!C6:C9,"OFFICIAL_PRESALE_SMALL_ORDER")</x:f>
        <x:v>2</x:v>
      </x:c>
      <x:c r="F79" s="369" t="str">
        <x:f>IF(D79=E79,"PASS","FAIL")</x:f>
        <x:v>PASS</x:v>
      </x:c>
      <x:c r="G79" s="369" t="str"/>
    </x:row>
    <x:row r="80" ht="36" customHeight="1">
      <x:c r="A80" s="19" t="str">
        <x:v>C75</x:v>
      </x:c>
      <x:c r="B80" s="19" t="str">
        <x:v>SIGNOFF</x:v>
      </x:c>
      <x:c r="C80" s="19" t="str">
        <x:v>进入3.1C节点2个</x:v>
      </x:c>
      <x:c r="D80" s="19" t="n">
        <x:v>2</x:v>
      </x:c>
      <x:c r="E80" s="19" t="n">
        <x:f>COUNTIF('55_3.1B签核'!S6:S9,"TRUE")</x:f>
        <x:v>2</x:v>
      </x:c>
      <x:c r="F80" s="19" t="str">
        <x:f>IF(D80=E80,"PASS","FAIL")</x:f>
        <x:v>PASS</x:v>
      </x:c>
      <x:c r="G80" s="19" t="str"/>
    </x:row>
    <x:row r="81" ht="36" customHeight="1">
      <x:c r="A81" s="369" t="str">
        <x:v>C76</x:v>
      </x:c>
      <x:c r="B81" s="369" t="str">
        <x:v>SIGNOFF</x:v>
      </x:c>
      <x:c r="C81" s="369" t="str">
        <x:v>App车辆SKU锁定节点0个</x:v>
      </x:c>
      <x:c r="D81" s="369" t="n">
        <x:v>0</x:v>
      </x:c>
      <x:c r="E81" s="369" t="n">
        <x:f>COUNTIF('55_3.1B签核'!P6:P9,"TRUE")</x:f>
        <x:v>0</x:v>
      </x:c>
      <x:c r="F81" s="369" t="str">
        <x:f>IF(D81=E81,"PASS","FAIL")</x:f>
        <x:v>PASS</x:v>
      </x:c>
      <x:c r="G81" s="369" t="str"/>
    </x:row>
    <x:row r="82" ht="36" customHeight="1">
      <x:c r="A82" s="19" t="str">
        <x:v>C77</x:v>
      </x:c>
      <x:c r="B82" s="19" t="str">
        <x:v>SIGNOFF</x:v>
      </x:c>
      <x:c r="C82" s="19" t="str">
        <x:v>完整临时BOM节点0个</x:v>
      </x:c>
      <x:c r="D82" s="19" t="n">
        <x:v>0</x:v>
      </x:c>
      <x:c r="E82" s="19" t="n">
        <x:f>COUNTIF('55_3.1B签核'!T6:T9,"FULL_TEMP_BOM")</x:f>
        <x:v>0</x:v>
      </x:c>
      <x:c r="F82" s="19" t="str">
        <x:f>IF(D82=E82,"PASS","FAIL")</x:f>
        <x:v>PASS</x:v>
      </x:c>
      <x:c r="G82" s="19" t="str"/>
    </x:row>
    <x:row r="83" ht="36" customHeight="1">
      <x:c r="A83" s="369" t="str">
        <x:v>C78</x:v>
      </x:c>
      <x:c r="B83" s="369" t="str">
        <x:v>SIGNOFF</x:v>
      </x:c>
      <x:c r="C83" s="369" t="str">
        <x:v>价格桥启用节点0个</x:v>
      </x:c>
      <x:c r="D83" s="369" t="n">
        <x:v>0</x:v>
      </x:c>
      <x:c r="E83" s="369" t="n">
        <x:f>COUNTIF('55_3.1B签核'!U6:U9,"TRUE")</x:f>
        <x:v>0</x:v>
      </x:c>
      <x:c r="F83" s="369" t="str">
        <x:f>IF(D83=E83,"PASS","FAIL")</x:f>
        <x:v>PASS</x:v>
      </x:c>
      <x:c r="G83" s="369" t="str"/>
    </x:row>
    <x:row r="84" ht="36" customHeight="1">
      <x:c r="A84" s="19" t="str">
        <x:v>C79</x:v>
      </x:c>
      <x:c r="B84" s="19" t="str">
        <x:v>SIGNOFF</x:v>
      </x:c>
      <x:c r="C84" s="19" t="str">
        <x:v>N70低阶仍为监管候选</x:v>
      </x:c>
      <x:c r="D84" s="19" t="n">
        <x:v>1</x:v>
      </x:c>
      <x:c r="E84" s="19" t="n">
        <x:f>COUNTIFS('55_3.1B签核'!A6:A9,"PC-N70-BASE-CAND",'55_3.1B签核'!Q6:Q9,"REGULATORY_ONLY_CANDIDATE")</x:f>
        <x:v>1</x:v>
      </x:c>
      <x:c r="F84" s="19" t="str">
        <x:f>IF(D84=E84,"PASS","FAIL")</x:f>
        <x:v>PASS</x:v>
      </x:c>
      <x:c r="G84" s="19" t="str"/>
    </x:row>
    <x:row r="85" ht="36" customHeight="1">
      <x:c r="A85" s="369" t="str">
        <x:v>C80</x:v>
      </x:c>
      <x:c r="B85" s="369" t="str">
        <x:v>SIGNOFF</x:v>
      </x:c>
      <x:c r="C85" s="369" t="str">
        <x:v>升顶仍未商品化</x:v>
      </x:c>
      <x:c r="D85" s="369" t="n">
        <x:v>1</x:v>
      </x:c>
      <x:c r="E85" s="369" t="n">
        <x:f>COUNTIFS('55_3.1B签核'!A6:A9,"PC-N90-ROOF-CAND",'55_3.1B签核'!Q6:Q9,"HOMOLOGATED_NOT_COMMERCIALIZED")</x:f>
        <x:v>1</x:v>
      </x:c>
      <x:c r="F85" s="369" t="str">
        <x:f>IF(D85=E85,"PASS","FAIL")</x:f>
        <x:v>PASS</x:v>
      </x:c>
      <x:c r="G85" s="369" t="str"/>
    </x:row>
    <x:row r="86" ht="36" customHeight="1">
      <x:c r="A86" s="19" t="str">
        <x:v>C81</x:v>
      </x:c>
      <x:c r="B86" s="19" t="str">
        <x:v>SIGNOFF</x:v>
      </x:c>
      <x:c r="C86" s="19" t="str">
        <x:v>阶段矩阵出口已就绪</x:v>
      </x:c>
      <x:c r="D86" s="19" t="n">
        <x:v>1</x:v>
      </x:c>
      <x:c r="E86" s="19" t="n">
        <x:f>COUNTIF('55_3.1B签核'!B13,"READY_FOR_PHASE_3.1C_WITH_RELEASE_BOUNDARY")</x:f>
        <x:v>1</x:v>
      </x:c>
      <x:c r="F86" s="19" t="str">
        <x:f>IF(D86=E86,"PASS","FAIL")</x:f>
        <x:v>PASS</x:v>
      </x:c>
      <x:c r="G86" s="19" t="str"/>
    </x:row>
    <x:row r="87" ht="36" customHeight="1">
      <x:c r="A87" s="369" t="str">
        <x:v>C82</x:v>
      </x:c>
      <x:c r="B87" s="369" t="str">
        <x:v>SIGNOFF</x:v>
      </x:c>
      <x:c r="C87" s="369" t="str">
        <x:v>价格桥仍阻断</x:v>
      </x:c>
      <x:c r="D87" s="369" t="n">
        <x:v>1</x:v>
      </x:c>
      <x:c r="E87" s="369" t="n">
        <x:f>COUNTIF('55_3.1B签核'!B15,"BLOCKED_APP_SKU_AND_PRICE_BASIS")</x:f>
        <x:v>1</x:v>
      </x:c>
      <x:c r="F87" s="369" t="str">
        <x:f>IF(D87=E87,"PASS","FAIL")</x:f>
        <x:v>PASS</x:v>
      </x:c>
      <x:c r="G87" s="369" t="str"/>
    </x:row>
    <x:row r="89" ht="24" customHeight="1">
      <x:c r="A89" s="372" t="str">
        <x:v>阶段汇总</x:v>
      </x:c>
      <x:c r="B89" s="372"/>
      <x:c r="C89" s="372"/>
      <x:c r="D89" s="372"/>
      <x:c r="E89" s="372"/>
      <x:c r="F89" s="372"/>
      <x:c r="G89" s="372"/>
    </x:row>
    <x:row r="90" ht="40" customHeight="1">
      <x:c r="A90" s="19" t="str">
        <x:v>检查总数</x:v>
      </x:c>
      <x:c r="B90" s="19" t="n">
        <x:f>COUNTA(A6:A87)</x:f>
        <x:v>82</x:v>
      </x:c>
      <x:c r="C90" s="19" t="str"/>
      <x:c r="D90" s="19" t="str"/>
      <x:c r="E90" s="19" t="str"/>
      <x:c r="F90" s="19" t="str"/>
      <x:c r="G90" s="19" t="str"/>
    </x:row>
    <x:row r="91" ht="40" customHeight="1">
      <x:c r="A91" s="369" t="str">
        <x:v>失败检查</x:v>
      </x:c>
      <x:c r="B91" s="369" t="n">
        <x:f>COUNTIF(F6:F87,"FAIL")</x:f>
        <x:v>0</x:v>
      </x:c>
      <x:c r="C91" s="369" t="str"/>
      <x:c r="D91" s="369" t="str"/>
      <x:c r="E91" s="369" t="str"/>
      <x:c r="F91" s="369" t="str"/>
      <x:c r="G91" s="369" t="str"/>
    </x:row>
    <x:row r="92" ht="40" customHeight="1">
      <x:c r="A92" s="19" t="str">
        <x:v>发布矩阵状态</x:v>
      </x:c>
      <x:c r="B92" s="19" t="str">
        <x:f>IF(B91=0,"READY_FOR_PHASE_3.1C_WITH_RELEASE_BOUNDARY","REVIEW_REQUIRED")</x:f>
        <x:v>READY_FOR_PHASE_3.1C_WITH_RELEASE_BOUNDARY</x:v>
      </x:c>
      <x:c r="C92" s="19" t="str"/>
      <x:c r="D92" s="19" t="str"/>
      <x:c r="E92" s="19" t="str"/>
      <x:c r="F92" s="19" t="str"/>
      <x:c r="G92" s="19" t="str"/>
    </x:row>
    <x:row r="93" ht="40" customHeight="1">
      <x:c r="A93" s="369" t="str">
        <x:v>App当前配置状态</x:v>
      </x:c>
      <x:c r="B93" s="369" t="str">
        <x:f>IF(COUNTIF('54_App小订身份'!Y6:Y11,"TRUE")=0,"BLOCKED_APP_VEHICLE_SKU","LOCKED")</x:f>
        <x:v>BLOCKED_APP_VEHICLE_SKU</x:v>
      </x:c>
      <x:c r="C93" s="369" t="str"/>
      <x:c r="D93" s="369" t="str"/>
      <x:c r="E93" s="369" t="str"/>
      <x:c r="F93" s="369" t="str"/>
      <x:c r="G93" s="369" t="str"/>
    </x:row>
    <x:row r="94" ht="40" customHeight="1">
      <x:c r="A94" s="19" t="str">
        <x:v>价格桥状态</x:v>
      </x:c>
      <x:c r="B94" s="19" t="str">
        <x:f>IF(COUNTIF('54_App小订身份'!Z6:Z11,"TRUE")=0,"BLOCKED_APP_SKU_AND_PRICE_BASIS","READY")</x:f>
        <x:v>BLOCKED_APP_SKU_AND_PRICE_BASIS</x:v>
      </x:c>
      <x:c r="C94" s="19" t="str"/>
      <x:c r="D94" s="19" t="str"/>
      <x:c r="E94" s="19" t="str"/>
      <x:c r="F94" s="19" t="str"/>
      <x:c r="G94" s="19" t="str"/>
    </x:row>
  </x:sheetData>
  <x:mergeCells>
    <x:mergeCell ref="A1:G1"/>
    <x:mergeCell ref="A2:G2"/>
    <x:mergeCell ref="A3:G3"/>
    <x:mergeCell ref="A89:G89"/>
  </x:mergeCells>
  <x:conditionalFormatting sqref="F6:F87">
    <x:cfRule type="containsText" dxfId="890" priority="1" operator="containsText" text="PASS"/>
    <x:cfRule type="containsText" dxfId="891" priority="2" operator="containsText" text="READY"/>
    <x:cfRule type="containsText" dxfId="892" priority="3" operator="containsText" text="TRUE"/>
    <x:cfRule type="containsText" dxfId="893" priority="4" operator="containsText" text="MATCH"/>
    <x:cfRule type="containsText" dxfId="894" priority="5" operator="containsText" text="STANDARD"/>
    <x:cfRule type="containsText" dxfId="895" priority="6" operator="containsText" text="ACCEPTED"/>
    <x:cfRule type="containsText" dxfId="896" priority="7" operator="containsText" text="OPTIONAL"/>
    <x:cfRule type="containsText" dxfId="897" priority="8" operator="containsText" text="SEPARATE_PURCHASE"/>
    <x:cfRule type="containsText" dxfId="898" priority="9" operator="containsText" text="EQUIPPED"/>
    <x:cfRule type="containsText" dxfId="899" priority="10" operator="containsText" text="PARTIAL"/>
    <x:cfRule type="containsText" dxfId="900" priority="11" operator="containsText" text="PENDING"/>
    <x:cfRule type="containsText" dxfId="901" priority="12" operator="containsText" text="NOT_DISCLOSED"/>
    <x:cfRule type="containsText" dxfId="902" priority="13" operator="containsText" text="NOT_EVIDENCED"/>
    <x:cfRule type="containsText" dxfId="903" priority="14" operator="containsText" text="NOT_COMPARABLE"/>
    <x:cfRule type="containsText" dxfId="904" priority="15" operator="containsText" text="PROVISIONAL"/>
    <x:cfRule type="containsText" dxfId="905" priority="16" operator="containsText" text="BLOCKED"/>
    <x:cfRule type="containsText" dxfId="906" priority="17" operator="containsText" text="FAIL"/>
    <x:cfRule type="containsText" dxfId="907" priority="18" operator="containsText" text="FALSE"/>
    <x:cfRule type="containsText" dxfId="908" priority="19" operator="containsText" text="CONFLICT"/>
    <x:cfRule type="containsText" dxfId="909" priority="20" operator="containsText" text="MISMATCH_HARD"/>
    <x:cfRule type="containsText" dxfId="910" priority="21" operator="containsText" text="REJECTED"/>
  </x:conditionalFormatting>
  <x:conditionalFormatting sqref="B90:B94">
    <x:cfRule type="containsText" dxfId="911" priority="22" operator="containsText" text="PASS"/>
    <x:cfRule type="containsText" dxfId="912" priority="23" operator="containsText" text="READY"/>
    <x:cfRule type="containsText" dxfId="913" priority="24" operator="containsText" text="TRUE"/>
    <x:cfRule type="containsText" dxfId="914" priority="25" operator="containsText" text="MATCH"/>
    <x:cfRule type="containsText" dxfId="915" priority="26" operator="containsText" text="STANDARD"/>
    <x:cfRule type="containsText" dxfId="916" priority="27" operator="containsText" text="ACCEPTED"/>
    <x:cfRule type="containsText" dxfId="917" priority="28" operator="containsText" text="OPTIONAL"/>
    <x:cfRule type="containsText" dxfId="918" priority="29" operator="containsText" text="SEPARATE_PURCHASE"/>
    <x:cfRule type="containsText" dxfId="919" priority="30" operator="containsText" text="EQUIPPED"/>
    <x:cfRule type="containsText" dxfId="920" priority="31" operator="containsText" text="PARTIAL"/>
    <x:cfRule type="containsText" dxfId="921" priority="32" operator="containsText" text="PENDING"/>
    <x:cfRule type="containsText" dxfId="922" priority="33" operator="containsText" text="NOT_DISCLOSED"/>
    <x:cfRule type="containsText" dxfId="923" priority="34" operator="containsText" text="NOT_EVIDENCED"/>
    <x:cfRule type="containsText" dxfId="924" priority="35" operator="containsText" text="NOT_COMPARABLE"/>
    <x:cfRule type="containsText" dxfId="925" priority="36" operator="containsText" text="PROVISIONAL"/>
    <x:cfRule type="containsText" dxfId="926" priority="37" operator="containsText" text="BLOCKED"/>
    <x:cfRule type="containsText" dxfId="927" priority="38" operator="containsText" text="FAIL"/>
    <x:cfRule type="containsText" dxfId="928" priority="39" operator="containsText" text="FALSE"/>
    <x:cfRule type="containsText" dxfId="929" priority="40" operator="containsText" text="CONFLICT"/>
    <x:cfRule type="containsText" dxfId="930" priority="41" operator="containsText" text="MISMATCH_HARD"/>
    <x:cfRule type="containsText" dxfId="931" priority="42" operator="containsText" text="REJECTED"/>
  </x:conditionalFormatting>
  <x:pageMargins left="0.7" right="0.7" top="0.75" bottom="0.75" header="0.3" footer="0.3"/>
</x:worksheet>
</file>

<file path=xl/worksheets/sheet5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42" hidden="0" customWidth="1"/>
    <x:col min="3" max="3" width="54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20" hidden="0" customWidth="1"/>
    <x:col min="9" max="9" width="54" hidden="0" customWidth="1"/>
  </x:cols>
  <x:sheetData>
    <x:row r="1" ht="30" customHeight="1">
      <x:c r="A1" s="378" t="str">
        <x:v>57｜Phase 3.1C 标配/选装边界口径</x:v>
      </x:c>
      <x:c r="B1" s="378"/>
      <x:c r="C1" s="378"/>
      <x:c r="D1" s="378"/>
      <x:c r="E1" s="378"/>
      <x:c r="F1" s="378"/>
      <x:c r="G1" s="378"/>
      <x:c r="H1" s="378"/>
      <x:c r="I1" s="378"/>
    </x:row>
    <x:row r="2" ht="22" customHeight="1">
      <x:c r="A2" s="381" t="str">
        <x:v>严格商业标配轴 × 工程基础配置轴 × App当前配置轴</x:v>
      </x:c>
      <x:c r="B2" s="381"/>
      <x:c r="C2" s="381"/>
      <x:c r="D2" s="381"/>
      <x:c r="E2" s="381"/>
      <x:c r="F2" s="381"/>
      <x:c r="G2" s="381"/>
      <x:c r="H2" s="381"/>
      <x:c r="I2" s="381"/>
    </x:row>
    <x:row r="3" ht="58" customHeight="1">
      <x:c r="A3" s="385" t="str">
        <x:v>结论先行：官方明确“标配/全系标配”共17项；为Phase 3.2建立的工程基础配置共89项，但其中72项不能称为“明确标配”。N90明确选装6项、另购6项，基础整车BOM全部排除。</x:v>
      </x:c>
      <x:c r="B3" s="385"/>
      <x:c r="C3" s="385"/>
      <x:c r="D3" s="385"/>
      <x:c r="E3" s="385"/>
      <x:c r="F3" s="385"/>
      <x:c r="G3" s="385"/>
      <x:c r="H3" s="385"/>
      <x:c r="I3" s="385"/>
    </x:row>
    <x:row r="5" ht="50" customHeight="1">
      <x:c r="A5" s="390" t="str">
        <x:v>层级</x:v>
      </x:c>
      <x:c r="B5" s="390" t="str">
        <x:v>允许状态</x:v>
      </x:c>
      <x:c r="C5" s="390" t="str">
        <x:v>定义</x:v>
      </x:c>
      <x:c r="D5" s="390" t="str">
        <x:v>严格标配统计</x:v>
      </x:c>
      <x:c r="E5" s="390" t="str">
        <x:v>工程基础纳入</x:v>
      </x:c>
      <x:c r="F5" s="390" t="str">
        <x:v>形成成本根节点</x:v>
      </x:c>
      <x:c r="G5" s="390" t="str">
        <x:v>App当前配置</x:v>
      </x:c>
      <x:c r="H5" s="390" t="str">
        <x:v>售价桥</x:v>
      </x:c>
      <x:c r="I5" s="390" t="str">
        <x:v>反向约束</x:v>
      </x:c>
    </x:row>
    <x:row r="6" ht="58" customHeight="1">
      <x:c r="A6" s="19" t="str">
        <x:v>STRICT_RELEASE_STANDARD</x:v>
      </x:c>
      <x:c r="B6" s="19" t="str">
        <x:v>RELEASE_STANDARD_LOCKED</x:v>
      </x:c>
      <x:c r="C6" s="19" t="str">
        <x:v>单车明确“标配”，或明确“全系标配”且只传播到已发布Max节点</x:v>
      </x:c>
      <x:c r="D6" s="19" t="str">
        <x:v>是</x:v>
      </x:c>
      <x:c r="E6" s="19" t="str">
        <x:v>是</x:v>
      </x:c>
      <x:c r="F6" s="19" t="str">
        <x:v>仅HARDWARE_ROOT</x:v>
      </x:c>
      <x:c r="G6" s="19" t="str">
        <x:v>否</x:v>
      </x:c>
      <x:c r="H6" s="19" t="str">
        <x:v>否</x:v>
      </x:c>
      <x:c r="I6" s="19" t="str">
        <x:v>不等于App当前标配</x:v>
      </x:c>
    </x:row>
    <x:row r="7" ht="58" customHeight="1">
      <x:c r="A7" s="391" t="str">
        <x:v>ENGINEERING_BASE</x:v>
      </x:c>
      <x:c r="B7" s="391" t="str">
        <x:v>ENGINEERING_BASE_PROVISIONAL</x:v>
      </x:c>
      <x:c r="C7" s="391" t="str">
        <x:v>产品页/发布材料明确采用或展示，可作为整车工程骨架；商业标配待确认</x:v>
      </x:c>
      <x:c r="D7" s="391" t="str">
        <x:v>否</x:v>
      </x:c>
      <x:c r="E7" s="391" t="str">
        <x:v>是</x:v>
      </x:c>
      <x:c r="F7" s="391" t="str">
        <x:v>仅HARDWARE_ROOT</x:v>
      </x:c>
      <x:c r="G7" s="391" t="str">
        <x:v>否</x:v>
      </x:c>
      <x:c r="H7" s="391" t="str">
        <x:v>否</x:v>
      </x:c>
      <x:c r="I7" s="391" t="str">
        <x:v>不得写成官方标配数量</x:v>
      </x:c>
    </x:row>
    <x:row r="8" ht="58" customHeight="1">
      <x:c r="A8" s="19" t="str">
        <x:v>ENGINEERING_BASE</x:v>
      </x:c>
      <x:c r="B8" s="19" t="str">
        <x:v>ENGINEERING_BASE_CHAPTER_SCOPE_CANDIDATE</x:v>
      </x:c>
      <x:c r="C8" s="19" t="str">
        <x:v>受“全系标配”章节标题支持，但作用域仍有解释空间</x:v>
      </x:c>
      <x:c r="D8" s="19" t="str">
        <x:v>否</x:v>
      </x:c>
      <x:c r="E8" s="19" t="str">
        <x:v>是</x:v>
      </x:c>
      <x:c r="F8" s="19" t="str">
        <x:v>仅HARDWARE_ROOT</x:v>
      </x:c>
      <x:c r="G8" s="19" t="str">
        <x:v>否</x:v>
      </x:c>
      <x:c r="H8" s="19" t="str">
        <x:v>否</x:v>
      </x:c>
      <x:c r="I8" s="19" t="str">
        <x:v>澎湃座舱/后向激光雷达暂不升格</x:v>
      </x:c>
    </x:row>
    <x:row r="9" ht="58" customHeight="1">
      <x:c r="A9" s="391" t="str">
        <x:v>ENGINEERING_BASE</x:v>
      </x:c>
      <x:c r="B9" s="391" t="str">
        <x:v>ENGINEERING_BASE_CAPABILITY</x:v>
      </x:c>
      <x:c r="C9" s="391" t="str">
        <x:v>单车能力主张，仅补工程底座，不单独形成新增成本</x:v>
      </x:c>
      <x:c r="D9" s="391" t="str">
        <x:v>否</x:v>
      </x:c>
      <x:c r="E9" s="391" t="str">
        <x:v>是</x:v>
      </x:c>
      <x:c r="F9" s="391" t="str">
        <x:v>按根节点防重</x:v>
      </x:c>
      <x:c r="G9" s="391" t="str">
        <x:v>否</x:v>
      </x:c>
      <x:c r="H9" s="391" t="str">
        <x:v>否</x:v>
      </x:c>
      <x:c r="I9" s="391" t="str">
        <x:v>能力≠标配</x:v>
      </x:c>
    </x:row>
    <x:row r="10" ht="58" customHeight="1">
      <x:c r="A10" s="19" t="str">
        <x:v>OPTION_POOL</x:v>
      </x:c>
      <x:c r="B10" s="19" t="str">
        <x:v>OPTION_POOL</x:v>
      </x:c>
      <x:c r="C10" s="19" t="str">
        <x:v>原文明示可选/可选装</x:v>
      </x:c>
      <x:c r="D10" s="19" t="str">
        <x:v>否</x:v>
      </x:c>
      <x:c r="E10" s="19" t="str">
        <x:v>否</x:v>
      </x:c>
      <x:c r="F10" s="19" t="str">
        <x:v>进入选装池</x:v>
      </x:c>
      <x:c r="G10" s="19" t="str">
        <x:v>否</x:v>
      </x:c>
      <x:c r="H10" s="19" t="str">
        <x:v>否</x:v>
      </x:c>
      <x:c r="I10" s="19" t="str">
        <x:v>未知选装价不得伪造</x:v>
      </x:c>
    </x:row>
    <x:row r="11" ht="58" customHeight="1">
      <x:c r="A11" s="391" t="str">
        <x:v>ACCESSORY_POOL</x:v>
      </x:c>
      <x:c r="B11" s="391" t="str">
        <x:v>ACCESSORY_POOL</x:v>
      </x:c>
      <x:c r="C11" s="391" t="str">
        <x:v>原文明示另购/自行购买</x:v>
      </x:c>
      <x:c r="D11" s="391" t="str">
        <x:v>否</x:v>
      </x:c>
      <x:c r="E11" s="391" t="str">
        <x:v>否</x:v>
      </x:c>
      <x:c r="F11" s="391" t="str">
        <x:v>不进整车BOM</x:v>
      </x:c>
      <x:c r="G11" s="391" t="str">
        <x:v>否</x:v>
      </x:c>
      <x:c r="H11" s="391" t="str">
        <x:v>否</x:v>
      </x:c>
      <x:c r="I11" s="391" t="str">
        <x:v>促销赠送不改变附件属性</x:v>
      </x:c>
    </x:row>
    <x:row r="12" ht="58" customHeight="1">
      <x:c r="A12" s="19" t="str">
        <x:v>HOLD_DISPUTE</x:v>
      </x:c>
      <x:c r="B12" s="19" t="str">
        <x:v>HOLD_* / SUPPRESS_*</x:v>
      </x:c>
      <x:c r="C12" s="19" t="str">
        <x:v>未披露、普通系列能力、范围争议或弱证据重复</x:v>
      </x:c>
      <x:c r="D12" s="19" t="str">
        <x:v>否</x:v>
      </x:c>
      <x:c r="E12" s="19" t="str">
        <x:v>否</x:v>
      </x:c>
      <x:c r="F12" s="19" t="str">
        <x:v>不计价</x:v>
      </x:c>
      <x:c r="G12" s="19" t="str">
        <x:v>否</x:v>
      </x:c>
      <x:c r="H12" s="19" t="str">
        <x:v>否</x:v>
      </x:c>
      <x:c r="I12" s="19" t="str">
        <x:v>NULL/NOT_DISCLOSED不改写为0</x:v>
      </x:c>
    </x:row>
    <x:row r="13" ht="58" customHeight="1">
      <x:c r="A13" s="391" t="str">
        <x:v>APP_CURRENT</x:v>
      </x:c>
      <x:c r="B13" s="391" t="str">
        <x:v>BLOCKED_PUBLIC_VEHICLE_SKU_AND_CONFIG_REVISION</x:v>
      </x:c>
      <x:c r="C13" s="391" t="str">
        <x:v>尚未取得公开车辆SKU与完整配置修订原件</x:v>
      </x:c>
      <x:c r="D13" s="391" t="str">
        <x:v>不适用</x:v>
      </x:c>
      <x:c r="E13" s="391" t="str">
        <x:v>不适用</x:v>
      </x:c>
      <x:c r="F13" s="391" t="str">
        <x:v>不适用</x:v>
      </x:c>
      <x:c r="G13" s="391" t="str">
        <x:v>0项</x:v>
      </x:c>
      <x:c r="H13" s="391" t="str">
        <x:v>0/3</x:v>
      </x:c>
      <x:c r="I13" s="391" t="str">
        <x:v>预约咨询/意向金商品≠车辆SKU</x:v>
      </x:c>
    </x:row>
    <x:row r="15" ht="24" customHeight="1">
      <x:c r="A15" s="394" t="str">
        <x:v>本阶段核心裁决</x:v>
      </x:c>
      <x:c r="B15" s="394"/>
      <x:c r="C15" s="394"/>
      <x:c r="D15" s="394"/>
      <x:c r="E15" s="394"/>
      <x:c r="F15" s="394"/>
      <x:c r="G15" s="394"/>
      <x:c r="H15" s="394"/>
      <x:c r="I15" s="394"/>
    </x:row>
    <x:row r="16" ht="42" customHeight="1">
      <x:c r="A16" s="390" t="str">
        <x:v>裁决ID</x:v>
      </x:c>
      <x:c r="B16" s="390" t="str">
        <x:v>对象</x:v>
      </x:c>
      <x:c r="C16" s="390" t="str">
        <x:v>结论</x:v>
      </x:c>
      <x:c r="D16" s="390" t="str">
        <x:v>严格标配</x:v>
      </x:c>
      <x:c r="E16" s="390" t="str">
        <x:v>工程基础</x:v>
      </x:c>
      <x:c r="F16" s="390" t="str">
        <x:v>选装</x:v>
      </x:c>
      <x:c r="G16" s="390" t="str">
        <x:v>另购</x:v>
      </x:c>
      <x:c r="H16" s="390" t="str">
        <x:v>HOLD/抑制</x:v>
      </x:c>
      <x:c r="I16" s="390" t="str">
        <x:v>原因</x:v>
      </x:c>
    </x:row>
    <x:row r="17" ht="62" customHeight="1">
      <x:c r="A17" s="19" t="str">
        <x:v>J01</x:v>
      </x:c>
      <x:c r="B17" s="19" t="str">
        <x:v>N70 Max</x:v>
      </x:c>
      <x:c r="C17" s="19" t="str">
        <x:v>9项严格标配；动力/续航9项仅工程暂纳；16项未披露继续HOLD</x:v>
      </x:c>
      <x:c r="D17" s="19" t="n">
        <x:v>9</x:v>
      </x:c>
      <x:c r="E17" s="19" t="n">
        <x:v>18</x:v>
      </x:c>
      <x:c r="F17" s="19" t="n">
        <x:v>0</x:v>
      </x:c>
      <x:c r="G17" s="19" t="n">
        <x:v>0</x:v>
      </x:c>
      <x:c r="H17" s="19" t="n">
        <x:v>18</x:v>
      </x:c>
      <x:c r="I17" s="19" t="str">
        <x:v>76kWh、快充、座舱和传感器硬件仍缺单车配置表</x:v>
      </x:c>
    </x:row>
    <x:row r="18" ht="62" customHeight="1">
      <x:c r="A18" s="391" t="str">
        <x:v>J02</x:v>
      </x:c>
      <x:c r="B18" s="391" t="str">
        <x:v>N90 Max</x:v>
      </x:c>
      <x:c r="C18" s="391" t="str">
        <x:v>8项严格标配；官网展示及能力形成71项工程基础；6选装+6另购</x:v>
      </x:c>
      <x:c r="D18" s="391" t="n">
        <x:v>8</x:v>
      </x:c>
      <x:c r="E18" s="391" t="n">
        <x:v>71</x:v>
      </x:c>
      <x:c r="F18" s="391" t="n">
        <x:v>6</x:v>
      </x:c>
      <x:c r="G18" s="391" t="n">
        <x:v>6</x:v>
      </x:c>
      <x:c r="H18" s="391" t="n">
        <x:v>3</x:v>
      </x:c>
      <x:c r="I18" s="391" t="str">
        <x:v>产品页不是完整●/○/-版本配置表</x:v>
      </x:c>
    </x:row>
    <x:row r="19" ht="62" customHeight="1">
      <x:c r="A19" s="19" t="str">
        <x:v>J03</x:v>
      </x:c>
      <x:c r="B19" s="19" t="str">
        <x:v>N90智能章节</x:v>
      </x:c>
      <x:c r="C19" s="19" t="str">
        <x:v>澎湃座舱核心与后向固态激光雷达列章节作用域候选，不升格严格标配</x:v>
      </x:c>
      <x:c r="D19" s="19" t="n">
        <x:v>0</x:v>
      </x:c>
      <x:c r="E19" s="19" t="n">
        <x:v>2</x:v>
      </x:c>
      <x:c r="F19" s="19" t="n">
        <x:v>0</x:v>
      </x:c>
      <x:c r="G19" s="19" t="n">
        <x:v>0</x:v>
      </x:c>
      <x:c r="H19" s="19" t="n">
        <x:v>0</x:v>
      </x:c>
      <x:c r="I19" s="19" t="str">
        <x:v>同章节存在需自行购买的副驾Pad，标题不能机械覆盖全部后文</x:v>
      </x:c>
    </x:row>
    <x:row r="20" ht="62" customHeight="1">
      <x:c r="A20" s="391" t="str">
        <x:v>J04</x:v>
      </x:c>
      <x:c r="B20" s="391" t="str">
        <x:v>重复事实</x:v>
      </x:c>
      <x:c r="C20" s="391" t="str">
        <x:v>N90单车超级小爱与系列HyperOS弱行各抑制1条</x:v>
      </x:c>
      <x:c r="D20" s="391" t="n">
        <x:v>0</x:v>
      </x:c>
      <x:c r="E20" s="391" t="n">
        <x:v>0</x:v>
      </x:c>
      <x:c r="F20" s="391" t="n">
        <x:v>0</x:v>
      </x:c>
      <x:c r="G20" s="391" t="n">
        <x:v>0</x:v>
      </x:c>
      <x:c r="H20" s="391" t="n">
        <x:v>2</x:v>
      </x:c>
      <x:c r="I20" s="391" t="str">
        <x:v>保留更强/更直接代表事实，防止BOM重复</x:v>
      </x:c>
    </x:row>
    <x:row r="21" ht="62" customHeight="1">
      <x:c r="A21" s="19" t="str">
        <x:v>J05</x:v>
      </x:c>
      <x:c r="B21" s="19" t="str">
        <x:v>App与售价桥</x:v>
      </x:c>
      <x:c r="C21" s="19" t="str">
        <x:v>两款Max仍是预约咨询/小订意向，不是公开车辆SKU；三桥关闭</x:v>
      </x:c>
      <x:c r="D21" s="19" t="n">
        <x:v>0</x:v>
      </x:c>
      <x:c r="E21" s="19" t="n">
        <x:v>0</x:v>
      </x:c>
      <x:c r="F21" s="19" t="n">
        <x:v>0</x:v>
      </x:c>
      <x:c r="G21" s="19" t="n">
        <x:v>0</x:v>
      </x:c>
      <x:c r="H21" s="19" t="n">
        <x:v>0</x:v>
      </x:c>
      <x:c r="I21" s="19" t="str">
        <x:v>正式指导价、车辆ID与config_revision均未锁定</x:v>
      </x:c>
    </x:row>
  </x:sheetData>
  <x:mergeCells>
    <x:mergeCell ref="A1:I1"/>
    <x:mergeCell ref="A2:I2"/>
    <x:mergeCell ref="A3:I3"/>
    <x:mergeCell ref="A15:I15"/>
  </x:mergeCells>
  <x:conditionalFormatting sqref="B6:H13">
    <x:cfRule type="containsText" dxfId="953" priority="1" operator="containsText" text="PASS"/>
    <x:cfRule type="containsText" dxfId="954" priority="2" operator="containsText" text="READY"/>
    <x:cfRule type="containsText" dxfId="955" priority="3" operator="containsText" text="TRUE"/>
    <x:cfRule type="containsText" dxfId="956" priority="4" operator="containsText" text="LOCKED"/>
    <x:cfRule type="containsText" dxfId="957" priority="5" operator="containsText" text="STANDARD"/>
    <x:cfRule type="containsText" dxfId="958" priority="6" operator="containsText" text="INCLUDED"/>
    <x:cfRule type="containsText" dxfId="959" priority="7" operator="containsText" text="OPTION"/>
    <x:cfRule type="containsText" dxfId="960" priority="8" operator="containsText" text="PROVISIONAL"/>
    <x:cfRule type="containsText" dxfId="961" priority="9" operator="containsText" text="ENGINEERING"/>
    <x:cfRule type="containsText" dxfId="962" priority="10" operator="containsText" text="ACCESSORY"/>
    <x:cfRule type="containsText" dxfId="963" priority="11" operator="containsText" text="SEPARATE"/>
    <x:cfRule type="containsText" dxfId="964" priority="12" operator="containsText" text="CANDIDATE"/>
    <x:cfRule type="containsText" dxfId="965" priority="13" operator="containsText" text="HOLD"/>
    <x:cfRule type="containsText" dxfId="966" priority="14" operator="containsText" text="NOT_DISCLOSED"/>
    <x:cfRule type="containsText" dxfId="967" priority="15" operator="containsText" text="SUPPRESS"/>
    <x:cfRule type="containsText" dxfId="968" priority="16" operator="containsText" text="BLOCKED"/>
    <x:cfRule type="containsText" dxfId="969" priority="17" operator="containsText" text="FAIL"/>
    <x:cfRule type="containsText" dxfId="970" priority="18" operator="containsText" text="FALSE"/>
    <x:cfRule type="containsText" dxfId="971" priority="19" operator="containsText" text="CONFLICT"/>
  </x:conditionalFormatting>
  <x:conditionalFormatting sqref="C17:H21">
    <x:cfRule type="containsText" dxfId="972" priority="20" operator="containsText" text="PASS"/>
    <x:cfRule type="containsText" dxfId="973" priority="21" operator="containsText" text="READY"/>
    <x:cfRule type="containsText" dxfId="974" priority="22" operator="containsText" text="TRUE"/>
    <x:cfRule type="containsText" dxfId="975" priority="23" operator="containsText" text="LOCKED"/>
    <x:cfRule type="containsText" dxfId="976" priority="24" operator="containsText" text="STANDARD"/>
    <x:cfRule type="containsText" dxfId="977" priority="25" operator="containsText" text="INCLUDED"/>
    <x:cfRule type="containsText" dxfId="978" priority="26" operator="containsText" text="OPTION"/>
    <x:cfRule type="containsText" dxfId="979" priority="27" operator="containsText" text="PROVISIONAL"/>
    <x:cfRule type="containsText" dxfId="980" priority="28" operator="containsText" text="ENGINEERING"/>
    <x:cfRule type="containsText" dxfId="981" priority="29" operator="containsText" text="ACCESSORY"/>
    <x:cfRule type="containsText" dxfId="982" priority="30" operator="containsText" text="SEPARATE"/>
    <x:cfRule type="containsText" dxfId="983" priority="31" operator="containsText" text="CANDIDATE"/>
    <x:cfRule type="containsText" dxfId="984" priority="32" operator="containsText" text="HOLD"/>
    <x:cfRule type="containsText" dxfId="985" priority="33" operator="containsText" text="NOT_DISCLOSED"/>
    <x:cfRule type="containsText" dxfId="986" priority="34" operator="containsText" text="SUPPRESS"/>
    <x:cfRule type="containsText" dxfId="987" priority="35" operator="containsText" text="BLOCKED"/>
    <x:cfRule type="containsText" dxfId="988" priority="36" operator="containsText" text="FAIL"/>
    <x:cfRule type="containsText" dxfId="989" priority="37" operator="containsText" text="FALSE"/>
    <x:cfRule type="containsText" dxfId="990" priority="38" operator="containsText" text="CONFLICT"/>
  </x:conditionalFormatting>
  <x:pageMargins left="0.7" right="0.7" top="0.75" bottom="0.75" header="0.3" footer="0.3"/>
</x:worksheet>
</file>

<file path=xl/worksheets/sheet5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22" hidden="0" customWidth="1"/>
    <x:col min="3" max="3" width="23" hidden="0" customWidth="1"/>
    <x:col min="4" max="4" width="28" hidden="0" customWidth="1"/>
    <x:col min="5" max="5" width="16" hidden="0" customWidth="1"/>
    <x:col min="6" max="6" width="30" hidden="0" customWidth="1"/>
    <x:col min="7" max="7" width="22" hidden="0" customWidth="1"/>
    <x:col min="8" max="8" width="24" hidden="0" customWidth="1"/>
    <x:col min="9" max="9" width="42" hidden="0" customWidth="1"/>
    <x:col min="10" max="10" width="18" hidden="0" customWidth="1"/>
    <x:col min="11" max="11" width="20" hidden="0" customWidth="1"/>
    <x:col min="12" max="12" width="18" hidden="0" customWidth="1"/>
    <x:col min="13" max="13" width="20" hidden="0" customWidth="1"/>
    <x:col min="14" max="14" width="18" hidden="0" customWidth="1"/>
    <x:col min="15" max="15" width="18" hidden="0" customWidth="1"/>
    <x:col min="16" max="16" width="30" hidden="0" customWidth="1"/>
    <x:col min="17" max="17" width="32" hidden="0" customWidth="1"/>
    <x:col min="18" max="18" width="46" hidden="0" customWidth="1"/>
    <x:col min="19" max="19" width="20" hidden="0" customWidth="1"/>
    <x:col min="20" max="20" width="25" hidden="0" customWidth="1"/>
    <x:col min="21" max="21" width="64" hidden="0" customWidth="1"/>
    <x:col min="22" max="22" width="35" hidden="0" customWidth="1"/>
    <x:col min="23" max="23" width="26" hidden="0" customWidth="1"/>
    <x:col min="24" max="24" width="64" hidden="0" customWidth="1"/>
    <x:col min="25" max="25" width="16" hidden="0" customWidth="1"/>
  </x:cols>
  <x:sheetData>
    <x:row r="1" ht="30" customHeight="1">
      <x:c r="A1" s="378" t="str">
        <x:v>58｜发布配置事实边界裁定</x:v>
      </x:c>
      <x:c r="B1" s="378"/>
      <x:c r="C1" s="378"/>
      <x:c r="D1" s="378"/>
      <x:c r="E1" s="378"/>
      <x:c r="F1" s="378"/>
      <x:c r="G1" s="378"/>
      <x:c r="H1" s="378"/>
      <x:c r="I1" s="378"/>
      <x:c r="J1" s="378"/>
      <x:c r="K1" s="378"/>
      <x:c r="L1" s="378"/>
      <x:c r="M1" s="378"/>
      <x:c r="N1" s="378"/>
      <x:c r="O1" s="378"/>
      <x:c r="P1" s="378"/>
      <x:c r="Q1" s="378"/>
      <x:c r="R1" s="378"/>
      <x:c r="S1" s="378"/>
      <x:c r="T1" s="378"/>
      <x:c r="U1" s="378"/>
      <x:c r="V1" s="378"/>
      <x:c r="W1" s="378"/>
      <x:c r="X1" s="378"/>
      <x:c r="Y1" s="378"/>
    </x:row>
    <x:row r="2" ht="22" customHeight="1">
      <x:c r="A2" s="381" t="str">
        <x:v>继承51表全部122条事实｜严格标配与工程基础配置双轴分列｜所有成本根节点防重复</x:v>
      </x:c>
      <x:c r="B2" s="381"/>
      <x:c r="C2" s="381"/>
      <x:c r="D2" s="381"/>
      <x:c r="E2" s="381"/>
      <x:c r="F2" s="381"/>
      <x:c r="G2" s="381"/>
      <x:c r="H2" s="381"/>
      <x:c r="I2" s="381"/>
      <x:c r="J2" s="381"/>
      <x:c r="K2" s="381"/>
      <x:c r="L2" s="381"/>
      <x:c r="M2" s="381"/>
      <x:c r="N2" s="381"/>
      <x:c r="O2" s="381"/>
      <x:c r="P2" s="381"/>
      <x:c r="Q2" s="381"/>
      <x:c r="R2" s="381"/>
      <x:c r="S2" s="381"/>
      <x:c r="T2" s="381"/>
      <x:c r="U2" s="381"/>
      <x:c r="V2" s="381"/>
      <x:c r="W2" s="381"/>
      <x:c r="X2" s="381"/>
      <x:c r="Y2" s="381"/>
    </x:row>
    <x:row r="3" ht="58" customHeight="1">
      <x:c r="A3" s="385" t="str">
        <x:v>J列只回答“官方是否已明确标配”；K列只回答“是否进入Phase 3.2工程基础骨架”。两列不能互相替代。N/O列保持FALSE，直至App车辆SKU、完整配置修订和正式指导价同时锁定。</x:v>
      </x:c>
      <x:c r="B3" s="385"/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  <x:c r="O3" s="385"/>
      <x:c r="P3" s="385"/>
      <x:c r="Q3" s="385"/>
      <x:c r="R3" s="385"/>
      <x:c r="S3" s="385"/>
      <x:c r="T3" s="385"/>
      <x:c r="U3" s="385"/>
      <x:c r="V3" s="385"/>
      <x:c r="W3" s="385"/>
      <x:c r="X3" s="385"/>
      <x:c r="Y3" s="385"/>
    </x:row>
    <x:row r="5" ht="62" customHeight="1">
      <x:c r="A5" s="390" t="str">
        <x:v>decision_id</x:v>
      </x:c>
      <x:c r="B5" s="390" t="str">
        <x:v>config_fact_id</x:v>
      </x:c>
      <x:c r="C5" s="390" t="str">
        <x:v>commercial_node_id</x:v>
      </x:c>
      <x:c r="D5" s="390" t="str">
        <x:v>feature_code</x:v>
      </x:c>
      <x:c r="E5" s="390" t="str">
        <x:v>module</x:v>
      </x:c>
      <x:c r="F5" s="390" t="str">
        <x:v>raw_release_availability</x:v>
      </x:c>
      <x:c r="G5" s="390" t="str">
        <x:v>evidence_scope</x:v>
      </x:c>
      <x:c r="H5" s="390" t="str">
        <x:v>fact_nature</x:v>
      </x:c>
      <x:c r="I5" s="390" t="str">
        <x:v>boundary_decision</x:v>
      </x:c>
      <x:c r="J5" s="390" t="str">
        <x:v>strict_official_standard</x:v>
      </x:c>
      <x:c r="K5" s="390" t="str">
        <x:v>engineering_base_included</x:v>
      </x:c>
      <x:c r="L5" s="390" t="str">
        <x:v>strict_root_cost_fact</x:v>
      </x:c>
      <x:c r="M5" s="390" t="str">
        <x:v>engineering_root_cost_fact</x:v>
      </x:c>
      <x:c r="N5" s="390" t="str">
        <x:v>current_app_included</x:v>
      </x:c>
      <x:c r="O5" s="390" t="str">
        <x:v>price_bridge_included</x:v>
      </x:c>
      <x:c r="P5" s="390" t="str">
        <x:v>bom_root_key</x:v>
      </x:c>
      <x:c r="Q5" s="390" t="str">
        <x:v>bom_root_label</x:v>
      </x:c>
      <x:c r="R5" s="390" t="str">
        <x:v>root_cost_line_id</x:v>
      </x:c>
      <x:c r="S5" s="390" t="str">
        <x:v>claim_refs</x:v>
      </x:c>
      <x:c r="T5" s="390" t="str">
        <x:v>source_ids</x:v>
      </x:c>
      <x:c r="U5" s="390" t="str">
        <x:v>claim_text_raw</x:v>
      </x:c>
      <x:c r="V5" s="390" t="str">
        <x:v>availability_wording_raw</x:v>
      </x:c>
      <x:c r="W5" s="390" t="str">
        <x:v>confidence</x:v>
      </x:c>
      <x:c r="X5" s="390" t="str">
        <x:v>open_gap</x:v>
      </x:c>
      <x:c r="Y5" s="390" t="str">
        <x:v>as_of</x:v>
      </x:c>
    </x:row>
    <x:row r="6" ht="50" customHeight="1">
      <x:c r="A6" s="19" t="str">
        <x:v>B31C-D001</x:v>
      </x:c>
      <x:c r="B6" s="19" t="str">
        <x:v>B31-F001</x:v>
      </x:c>
      <x:c r="C6" s="19" t="str">
        <x:v>PC-N70-MAX-CAND</x:v>
      </x:c>
      <x:c r="D6" s="19" t="str">
        <x:v>drive_layout</x:v>
      </x:c>
      <x:c r="E6" s="19" t="str">
        <x:v>POWERTRAIN</x:v>
      </x:c>
      <x:c r="F6" s="19" t="str">
        <x:v>EQUIPPED_STANDARD_UNCONFIRMED</x:v>
      </x:c>
      <x:c r="G6" s="19" t="str">
        <x:v>DIRECT_CLAIM</x:v>
      </x:c>
      <x:c r="H6" s="19" t="str">
        <x:v>HARDWARE_ROOT</x:v>
      </x:c>
      <x:c r="I6" s="19" t="str">
        <x:v>ENGINEERING_BASE_PROVISIONAL</x:v>
      </x:c>
      <x:c r="J6" s="19" t="n">
        <x:f>IF(I6="RELEASE_STANDARD_LOCKED",1,0)</x:f>
        <x:v>0</x:v>
      </x:c>
      <x:c r="K6" s="19" t="n">
        <x:f>IF(OR(I6="RELEASE_STANDARD_LOCKED",I6="ENGINEERING_BASE_PROVISIONAL",I6="ENGINEERING_BASE_CHAPTER_SCOPE_CANDIDATE",I6="ENGINEERING_BASE_CAPABILITY"),1,0)</x:f>
        <x:v>1</x:v>
      </x:c>
      <x:c r="L6" s="19" t="n">
        <x:f>IF(AND(J6=1,H6="HARDWARE_ROOT"),1,0)</x:f>
        <x:v>0</x:v>
      </x:c>
      <x:c r="M6" s="19" t="n">
        <x:f>IF(AND(K6=1,H6="HARDWARE_ROOT"),1,0)</x:f>
        <x:v>1</x:v>
      </x:c>
      <x:c r="N6" s="19" t="n">
        <x:f>IF(COUNTIFS('62_App售价桥闸门'!$A$6:$A$9,C6,'62_App售价桥闸门'!$K$6:$K$9,1)&gt;0,1,0)</x:f>
        <x:v>0</x:v>
      </x:c>
      <x:c r="O6" s="19" t="n">
        <x:f>IF(COUNTIFS('62_App售价桥闸门'!$A$6:$A$9,C6,'62_App售价桥闸门'!$M$6:$M$9,1)&gt;0,1,0)</x:f>
        <x:v>0</x:v>
      </x:c>
      <x:c r="P6" s="19" t="str">
        <x:v>BOM_E_DRIVE</x:v>
      </x:c>
      <x:c r="Q6" s="19" t="str">
        <x:v>双电机四驱电驱总成</x:v>
      </x:c>
      <x:c r="R6" s="19" t="str">
        <x:f>IF(M6=1,C6&amp;"|"&amp;P6,"")</x:f>
        <x:v>PC-N70-MAX-CAND|BOM_E_DRIVE</x:v>
      </x:c>
      <x:c r="S6" s="19" t="str">
        <x:v>B31-C014</x:v>
      </x:c>
      <x:c r="T6" s="19" t="str">
        <x:v>B31_SRC_N70_POWER</x:v>
      </x:c>
      <x:c r="U6" s="19" t="str">
        <x:v>双电机四驱</x:v>
      </x:c>
      <x:c r="V6" s="19" t="str">
        <x:v>搭载/配备/页面展示</x:v>
      </x:c>
      <x:c r="W6" s="19" t="str">
        <x:v>B_ENGINEERING_BASE_ONLY</x:v>
      </x:c>
      <x:c r="X6" s="19" t="str">
        <x:v>产品/发布材料证明车型采用或具备，但未逐项写明“标配”</x:v>
      </x:c>
      <x:c r="Y6" s="19" t="str">
        <x:v>2026-08-04</x:v>
      </x:c>
    </x:row>
    <x:row r="7" ht="50" customHeight="1">
      <x:c r="A7" s="391" t="str">
        <x:v>B31C-D002</x:v>
      </x:c>
      <x:c r="B7" s="391" t="str">
        <x:v>B31-F002</x:v>
      </x:c>
      <x:c r="C7" s="391" t="str">
        <x:v>PC-N70-MAX-CAND</x:v>
      </x:c>
      <x:c r="D7" s="391" t="str">
        <x:v>peak_power_total</x:v>
      </x:c>
      <x:c r="E7" s="391" t="str">
        <x:v>POWERTRAIN</x:v>
      </x:c>
      <x:c r="F7" s="391" t="str">
        <x:v>EQUIPPED_STANDARD_UNCONFIRMED</x:v>
      </x:c>
      <x:c r="G7" s="391" t="str">
        <x:v>DIRECT_CLAIM</x:v>
      </x:c>
      <x:c r="H7" s="391" t="str">
        <x:v>SPEC_METRIC</x:v>
      </x:c>
      <x:c r="I7" s="391" t="str">
        <x:v>ENGINEERING_BASE_PROVISIONAL</x:v>
      </x:c>
      <x:c r="J7" s="391" t="n">
        <x:f>IF(I7="RELEASE_STANDARD_LOCKED",1,0)</x:f>
        <x:v>0</x:v>
      </x:c>
      <x:c r="K7" s="391" t="n">
        <x:f>IF(OR(I7="RELEASE_STANDARD_LOCKED",I7="ENGINEERING_BASE_PROVISIONAL",I7="ENGINEERING_BASE_CHAPTER_SCOPE_CANDIDATE",I7="ENGINEERING_BASE_CAPABILITY"),1,0)</x:f>
        <x:v>1</x:v>
      </x:c>
      <x:c r="L7" s="391" t="n">
        <x:f>IF(AND(J7=1,H7="HARDWARE_ROOT"),1,0)</x:f>
        <x:v>0</x:v>
      </x:c>
      <x:c r="M7" s="391" t="n">
        <x:f>IF(AND(K7=1,H7="HARDWARE_ROOT"),1,0)</x:f>
        <x:v>0</x:v>
      </x:c>
      <x:c r="N7" s="391" t="n">
        <x:f>IF(COUNTIFS('62_App售价桥闸门'!$A$6:$A$9,C7,'62_App售价桥闸门'!$K$6:$K$9,1)&gt;0,1,0)</x:f>
        <x:v>0</x:v>
      </x:c>
      <x:c r="O7" s="391" t="n">
        <x:f>IF(COUNTIFS('62_App售价桥闸门'!$A$6:$A$9,C7,'62_App售价桥闸门'!$M$6:$M$9,1)&gt;0,1,0)</x:f>
        <x:v>0</x:v>
      </x:c>
      <x:c r="P7" s="391" t="str">
        <x:v>BOM_E_DRIVE</x:v>
      </x:c>
      <x:c r="Q7" s="391" t="str">
        <x:v>双电机四驱电驱总成</x:v>
      </x:c>
      <x:c r="R7" s="391" t="str">
        <x:f>IF(M7=1,C7&amp;"|"&amp;P7,"")</x:f>
      </x:c>
      <x:c r="S7" s="391" t="str">
        <x:v>B31-C015</x:v>
      </x:c>
      <x:c r="T7" s="391" t="str">
        <x:v>B31_SRC_N70_POWER</x:v>
      </x:c>
      <x:c r="U7" s="391" t="str">
        <x:v>峰值功率310kW</x:v>
      </x:c>
      <x:c r="V7" s="391" t="str">
        <x:v>搭载/配备/页面展示</x:v>
      </x:c>
      <x:c r="W7" s="391" t="str">
        <x:v>B_ENGINEERING_BASE_ONLY</x:v>
      </x:c>
      <x:c r="X7" s="391" t="str">
        <x:v>产品/发布材料证明车型采用或具备，但未逐项写明“标配”</x:v>
      </x:c>
      <x:c r="Y7" s="391" t="str">
        <x:v>2026-08-04</x:v>
      </x:c>
    </x:row>
    <x:row r="8" ht="50" customHeight="1">
      <x:c r="A8" s="19" t="str">
        <x:v>B31C-D003</x:v>
      </x:c>
      <x:c r="B8" s="19" t="str">
        <x:v>B31-F003</x:v>
      </x:c>
      <x:c r="C8" s="19" t="str">
        <x:v>PC-N70-MAX-CAND</x:v>
      </x:c>
      <x:c r="D8" s="19" t="str">
        <x:v>top_speed</x:v>
      </x:c>
      <x:c r="E8" s="19" t="str">
        <x:v>POWERTRAIN</x:v>
      </x:c>
      <x:c r="F8" s="19" t="str">
        <x:v>EQUIPPED_STANDARD_UNCONFIRMED</x:v>
      </x:c>
      <x:c r="G8" s="19" t="str">
        <x:v>DIRECT_CLAIM</x:v>
      </x:c>
      <x:c r="H8" s="19" t="str">
        <x:v>SPEC_METRIC</x:v>
      </x:c>
      <x:c r="I8" s="19" t="str">
        <x:v>ENGINEERING_BASE_PROVISIONAL</x:v>
      </x:c>
      <x:c r="J8" s="19" t="n">
        <x:f>IF(I8="RELEASE_STANDARD_LOCKED",1,0)</x:f>
        <x:v>0</x:v>
      </x:c>
      <x:c r="K8" s="19" t="n">
        <x:f>IF(OR(I8="RELEASE_STANDARD_LOCKED",I8="ENGINEERING_BASE_PROVISIONAL",I8="ENGINEERING_BASE_CHAPTER_SCOPE_CANDIDATE",I8="ENGINEERING_BASE_CAPABILITY"),1,0)</x:f>
        <x:v>1</x:v>
      </x:c>
      <x:c r="L8" s="19" t="n">
        <x:f>IF(AND(J8=1,H8="HARDWARE_ROOT"),1,0)</x:f>
        <x:v>0</x:v>
      </x:c>
      <x:c r="M8" s="19" t="n">
        <x:f>IF(AND(K8=1,H8="HARDWARE_ROOT"),1,0)</x:f>
        <x:v>0</x:v>
      </x:c>
      <x:c r="N8" s="19" t="n">
        <x:f>IF(COUNTIFS('62_App售价桥闸门'!$A$6:$A$9,C8,'62_App售价桥闸门'!$K$6:$K$9,1)&gt;0,1,0)</x:f>
        <x:v>0</x:v>
      </x:c>
      <x:c r="O8" s="19" t="n">
        <x:f>IF(COUNTIFS('62_App售价桥闸门'!$A$6:$A$9,C8,'62_App售价桥闸门'!$M$6:$M$9,1)&gt;0,1,0)</x:f>
        <x:v>0</x:v>
      </x:c>
      <x:c r="P8" s="19" t="str">
        <x:v>BOM_E_DRIVE</x:v>
      </x:c>
      <x:c r="Q8" s="19" t="str">
        <x:v>双电机四驱电驱总成</x:v>
      </x:c>
      <x:c r="R8" s="19" t="str">
        <x:f>IF(M8=1,C8&amp;"|"&amp;P8,"")</x:f>
      </x:c>
      <x:c r="S8" s="19" t="str">
        <x:v>B31-C016</x:v>
      </x:c>
      <x:c r="T8" s="19" t="str">
        <x:v>B31_SRC_N70_POWER</x:v>
      </x:c>
      <x:c r="U8" s="19" t="str">
        <x:v>最高车速190km/h</x:v>
      </x:c>
      <x:c r="V8" s="19" t="str">
        <x:v>搭载/配备/页面展示</x:v>
      </x:c>
      <x:c r="W8" s="19" t="str">
        <x:v>B_ENGINEERING_BASE_ONLY</x:v>
      </x:c>
      <x:c r="X8" s="19" t="str">
        <x:v>产品/发布材料证明车型采用或具备，但未逐项写明“标配”</x:v>
      </x:c>
      <x:c r="Y8" s="19" t="str">
        <x:v>2026-08-04</x:v>
      </x:c>
    </x:row>
    <x:row r="9" ht="50" customHeight="1">
      <x:c r="A9" s="391" t="str">
        <x:v>B31C-D004</x:v>
      </x:c>
      <x:c r="B9" s="391" t="str">
        <x:v>B31-F004</x:v>
      </x:c>
      <x:c r="C9" s="391" t="str">
        <x:v>PC-N70-MAX-CAND</x:v>
      </x:c>
      <x:c r="D9" s="391" t="str">
        <x:v>cltc_ev_range</x:v>
      </x:c>
      <x:c r="E9" s="391" t="str">
        <x:v>ENERGY</x:v>
      </x:c>
      <x:c r="F9" s="391" t="str">
        <x:v>EQUIPPED_STANDARD_UNCONFIRMED</x:v>
      </x:c>
      <x:c r="G9" s="391" t="str">
        <x:v>DIRECT_CLAIM</x:v>
      </x:c>
      <x:c r="H9" s="391" t="str">
        <x:v>SPEC_METRIC</x:v>
      </x:c>
      <x:c r="I9" s="391" t="str">
        <x:v>ENGINEERING_BASE_PROVISIONAL</x:v>
      </x:c>
      <x:c r="J9" s="391" t="n">
        <x:f>IF(I9="RELEASE_STANDARD_LOCKED",1,0)</x:f>
        <x:v>0</x:v>
      </x:c>
      <x:c r="K9" s="391" t="n">
        <x:f>IF(OR(I9="RELEASE_STANDARD_LOCKED",I9="ENGINEERING_BASE_PROVISIONAL",I9="ENGINEERING_BASE_CHAPTER_SCOPE_CANDIDATE",I9="ENGINEERING_BASE_CAPABILITY"),1,0)</x:f>
        <x:v>1</x:v>
      </x:c>
      <x:c r="L9" s="391" t="n">
        <x:f>IF(AND(J9=1,H9="HARDWARE_ROOT"),1,0)</x:f>
        <x:v>0</x:v>
      </x:c>
      <x:c r="M9" s="391" t="n">
        <x:f>IF(AND(K9=1,H9="HARDWARE_ROOT"),1,0)</x:f>
        <x:v>0</x:v>
      </x:c>
      <x:c r="N9" s="391" t="n">
        <x:f>IF(COUNTIFS('62_App售价桥闸门'!$A$6:$A$9,C9,'62_App售价桥闸门'!$K$6:$K$9,1)&gt;0,1,0)</x:f>
        <x:v>0</x:v>
      </x:c>
      <x:c r="O9" s="391" t="n">
        <x:f>IF(COUNTIFS('62_App售价桥闸门'!$A$6:$A$9,C9,'62_App售价桥闸门'!$M$6:$M$9,1)&gt;0,1,0)</x:f>
        <x:v>0</x:v>
      </x:c>
      <x:c r="P9" s="391" t="str">
        <x:v>BOM_BATTERY_PACK</x:v>
      </x:c>
      <x:c r="Q9" s="391" t="str">
        <x:v>动力电池包与高压系统</x:v>
      </x:c>
      <x:c r="R9" s="391" t="str">
        <x:f>IF(M9=1,C9&amp;"|"&amp;P9,"")</x:f>
      </x:c>
      <x:c r="S9" s="391" t="str">
        <x:v>B31-C017</x:v>
      </x:c>
      <x:c r="T9" s="391" t="str">
        <x:v>B31_SRC_N70_POWER</x:v>
      </x:c>
      <x:c r="U9" s="391" t="str">
        <x:v>CLTC纯电续航505km</x:v>
      </x:c>
      <x:c r="V9" s="391" t="str">
        <x:v>搭载/配备/页面展示</x:v>
      </x:c>
      <x:c r="W9" s="391" t="str">
        <x:v>B_ENGINEERING_BASE_ONLY</x:v>
      </x:c>
      <x:c r="X9" s="391" t="str">
        <x:v>产品/发布材料证明车型采用或具备，但未逐项写明“标配”</x:v>
      </x:c>
      <x:c r="Y9" s="391" t="str">
        <x:v>2026-08-04</x:v>
      </x:c>
    </x:row>
    <x:row r="10" ht="50" customHeight="1">
      <x:c r="A10" s="19" t="str">
        <x:v>B31C-D005</x:v>
      </x:c>
      <x:c r="B10" s="19" t="str">
        <x:v>B31-F005</x:v>
      </x:c>
      <x:c r="C10" s="19" t="str">
        <x:v>PC-N70-MAX-CAND</x:v>
      </x:c>
      <x:c r="D10" s="19" t="str">
        <x:v>cltc_combined_range</x:v>
      </x:c>
      <x:c r="E10" s="19" t="str">
        <x:v>ENERGY</x:v>
      </x:c>
      <x:c r="F10" s="19" t="str">
        <x:v>EQUIPPED_STANDARD_UNCONFIRMED</x:v>
      </x:c>
      <x:c r="G10" s="19" t="str">
        <x:v>DIRECT_CLAIM</x:v>
      </x:c>
      <x:c r="H10" s="19" t="str">
        <x:v>SPEC_METRIC</x:v>
      </x:c>
      <x:c r="I10" s="19" t="str">
        <x:v>ENGINEERING_BASE_PROVISIONAL</x:v>
      </x:c>
      <x:c r="J10" s="19" t="n">
        <x:f>IF(I10="RELEASE_STANDARD_LOCKED",1,0)</x:f>
        <x:v>0</x:v>
      </x:c>
      <x:c r="K10" s="19" t="n">
        <x:f>IF(OR(I10="RELEASE_STANDARD_LOCKED",I10="ENGINEERING_BASE_PROVISIONAL",I10="ENGINEERING_BASE_CHAPTER_SCOPE_CANDIDATE",I10="ENGINEERING_BASE_CAPABILITY"),1,0)</x:f>
        <x:v>1</x:v>
      </x:c>
      <x:c r="L10" s="19" t="n">
        <x:f>IF(AND(J10=1,H10="HARDWARE_ROOT"),1,0)</x:f>
        <x:v>0</x:v>
      </x:c>
      <x:c r="M10" s="19" t="n">
        <x:f>IF(AND(K10=1,H10="HARDWARE_ROOT"),1,0)</x:f>
        <x:v>0</x:v>
      </x:c>
      <x:c r="N10" s="19" t="n">
        <x:f>IF(COUNTIFS('62_App售价桥闸门'!$A$6:$A$9,C10,'62_App售价桥闸门'!$K$6:$K$9,1)&gt;0,1,0)</x:f>
        <x:v>0</x:v>
      </x:c>
      <x:c r="O10" s="19" t="n">
        <x:f>IF(COUNTIFS('62_App售价桥闸门'!$A$6:$A$9,C10,'62_App售价桥闸门'!$M$6:$M$9,1)&gt;0,1,0)</x:f>
        <x:v>0</x:v>
      </x:c>
      <x:c r="P10" s="19" t="str">
        <x:v>BOM_BATTERY_PACK</x:v>
      </x:c>
      <x:c r="Q10" s="19" t="str">
        <x:v>动力电池包与高压系统</x:v>
      </x:c>
      <x:c r="R10" s="19" t="str">
        <x:f>IF(M10=1,C10&amp;"|"&amp;P10,"")</x:f>
      </x:c>
      <x:c r="S10" s="19" t="str">
        <x:v>B31-C018</x:v>
      </x:c>
      <x:c r="T10" s="19" t="str">
        <x:v>B31_SRC_N70_POWER</x:v>
      </x:c>
      <x:c r="U10" s="19" t="str">
        <x:v>CLTC综合续航1461km</x:v>
      </x:c>
      <x:c r="V10" s="19" t="str">
        <x:v>搭载/配备/页面展示</x:v>
      </x:c>
      <x:c r="W10" s="19" t="str">
        <x:v>B_ENGINEERING_BASE_ONLY</x:v>
      </x:c>
      <x:c r="X10" s="19" t="str">
        <x:v>产品/发布材料证明车型采用或具备，但未逐项写明“标配”</x:v>
      </x:c>
      <x:c r="Y10" s="19" t="str">
        <x:v>2026-08-04</x:v>
      </x:c>
    </x:row>
    <x:row r="11" ht="50" customHeight="1">
      <x:c r="A11" s="391" t="str">
        <x:v>B31C-D006</x:v>
      </x:c>
      <x:c r="B11" s="391" t="str">
        <x:v>B31-F006</x:v>
      </x:c>
      <x:c r="C11" s="391" t="str">
        <x:v>PC-N70-MAX-CAND</x:v>
      </x:c>
      <x:c r="D11" s="391" t="str">
        <x:v>charge_sustaining_fuel</x:v>
      </x:c>
      <x:c r="E11" s="391" t="str">
        <x:v>ENERGY</x:v>
      </x:c>
      <x:c r="F11" s="391" t="str">
        <x:v>EQUIPPED_STANDARD_UNCONFIRMED</x:v>
      </x:c>
      <x:c r="G11" s="391" t="str">
        <x:v>DIRECT_CLAIM</x:v>
      </x:c>
      <x:c r="H11" s="391" t="str">
        <x:v>SPEC_METRIC</x:v>
      </x:c>
      <x:c r="I11" s="391" t="str">
        <x:v>ENGINEERING_BASE_PROVISIONAL</x:v>
      </x:c>
      <x:c r="J11" s="391" t="n">
        <x:f>IF(I11="RELEASE_STANDARD_LOCKED",1,0)</x:f>
        <x:v>0</x:v>
      </x:c>
      <x:c r="K11" s="391" t="n">
        <x:f>IF(OR(I11="RELEASE_STANDARD_LOCKED",I11="ENGINEERING_BASE_PROVISIONAL",I11="ENGINEERING_BASE_CHAPTER_SCOPE_CANDIDATE",I11="ENGINEERING_BASE_CAPABILITY"),1,0)</x:f>
        <x:v>1</x:v>
      </x:c>
      <x:c r="L11" s="391" t="n">
        <x:f>IF(AND(J11=1,H11="HARDWARE_ROOT"),1,0)</x:f>
        <x:v>0</x:v>
      </x:c>
      <x:c r="M11" s="391" t="n">
        <x:f>IF(AND(K11=1,H11="HARDWARE_ROOT"),1,0)</x:f>
        <x:v>0</x:v>
      </x:c>
      <x:c r="N11" s="391" t="n">
        <x:f>IF(COUNTIFS('62_App售价桥闸门'!$A$6:$A$9,C11,'62_App售价桥闸门'!$K$6:$K$9,1)&gt;0,1,0)</x:f>
        <x:v>0</x:v>
      </x:c>
      <x:c r="O11" s="391" t="n">
        <x:f>IF(COUNTIFS('62_App售价桥闸门'!$A$6:$A$9,C11,'62_App售价桥闸门'!$M$6:$M$9,1)&gt;0,1,0)</x:f>
        <x:v>0</x:v>
      </x:c>
      <x:c r="P11" s="391" t="str">
        <x:v>BOM_RANGE_EXTENDER_EFFICIENCY</x:v>
      </x:c>
      <x:c r="Q11" s="391" t="str">
        <x:v>增程能耗与燃油适应性</x:v>
      </x:c>
      <x:c r="R11" s="391" t="str">
        <x:f>IF(M11=1,C11&amp;"|"&amp;P11,"")</x:f>
      </x:c>
      <x:c r="S11" s="391" t="str">
        <x:v>B31-C019</x:v>
      </x:c>
      <x:c r="T11" s="391" t="str">
        <x:v>B31_SRC_N70_POWER</x:v>
      </x:c>
      <x:c r="U11" s="391" t="str">
        <x:v>亏电油耗6.1L/100km</x:v>
      </x:c>
      <x:c r="V11" s="391" t="str">
        <x:v>搭载/配备/页面展示</x:v>
      </x:c>
      <x:c r="W11" s="391" t="str">
        <x:v>B_ENGINEERING_BASE_ONLY</x:v>
      </x:c>
      <x:c r="X11" s="391" t="str">
        <x:v>产品/发布材料证明车型采用或具备，但未逐项写明“标配”</x:v>
      </x:c>
      <x:c r="Y11" s="391" t="str">
        <x:v>2026-08-04</x:v>
      </x:c>
    </x:row>
    <x:row r="12" ht="50" customHeight="1">
      <x:c r="A12" s="19" t="str">
        <x:v>B31C-D007</x:v>
      </x:c>
      <x:c r="B12" s="19" t="str">
        <x:v>B31-F007</x:v>
      </x:c>
      <x:c r="C12" s="19" t="str">
        <x:v>PC-N70-MAX-CAND</x:v>
      </x:c>
      <x:c r="D12" s="19" t="str">
        <x:v>cltc_energy_consumption_min</x:v>
      </x:c>
      <x:c r="E12" s="19" t="str">
        <x:v>ENERGY</x:v>
      </x:c>
      <x:c r="F12" s="19" t="str">
        <x:v>EQUIPPED_STANDARD_UNCONFIRMED</x:v>
      </x:c>
      <x:c r="G12" s="19" t="str">
        <x:v>DIRECT_CLAIM</x:v>
      </x:c>
      <x:c r="H12" s="19" t="str">
        <x:v>SPEC_METRIC</x:v>
      </x:c>
      <x:c r="I12" s="19" t="str">
        <x:v>ENGINEERING_BASE_PROVISIONAL</x:v>
      </x:c>
      <x:c r="J12" s="19" t="n">
        <x:f>IF(I12="RELEASE_STANDARD_LOCKED",1,0)</x:f>
        <x:v>0</x:v>
      </x:c>
      <x:c r="K12" s="19" t="n">
        <x:f>IF(OR(I12="RELEASE_STANDARD_LOCKED",I12="ENGINEERING_BASE_PROVISIONAL",I12="ENGINEERING_BASE_CHAPTER_SCOPE_CANDIDATE",I12="ENGINEERING_BASE_CAPABILITY"),1,0)</x:f>
        <x:v>1</x:v>
      </x:c>
      <x:c r="L12" s="19" t="n">
        <x:f>IF(AND(J12=1,H12="HARDWARE_ROOT"),1,0)</x:f>
        <x:v>0</x:v>
      </x:c>
      <x:c r="M12" s="19" t="n">
        <x:f>IF(AND(K12=1,H12="HARDWARE_ROOT"),1,0)</x:f>
        <x:v>0</x:v>
      </x:c>
      <x:c r="N12" s="19" t="n">
        <x:f>IF(COUNTIFS('62_App售价桥闸门'!$A$6:$A$9,C12,'62_App售价桥闸门'!$K$6:$K$9,1)&gt;0,1,0)</x:f>
        <x:v>0</x:v>
      </x:c>
      <x:c r="O12" s="19" t="n">
        <x:f>IF(COUNTIFS('62_App售价桥闸门'!$A$6:$A$9,C12,'62_App售价桥闸门'!$M$6:$M$9,1)&gt;0,1,0)</x:f>
        <x:v>0</x:v>
      </x:c>
      <x:c r="P12" s="19" t="str">
        <x:v>BOM_BATTERY_PACK</x:v>
      </x:c>
      <x:c r="Q12" s="19" t="str">
        <x:v>动力电池包与高压系统</x:v>
      </x:c>
      <x:c r="R12" s="19" t="str">
        <x:f>IF(M12=1,C12&amp;"|"&amp;P12,"")</x:f>
      </x:c>
      <x:c r="S12" s="19" t="str">
        <x:v>B31-C020</x:v>
      </x:c>
      <x:c r="T12" s="19" t="str">
        <x:v>B31_SRC_N70_ENERGY</x:v>
      </x:c>
      <x:c r="U12" s="19" t="str">
        <x:v>百公里CLTC最低电耗15.85kWh</x:v>
      </x:c>
      <x:c r="V12" s="19" t="str">
        <x:v>最低值</x:v>
      </x:c>
      <x:c r="W12" s="19" t="str">
        <x:v>B_ENGINEERING_BASE_ONLY</x:v>
      </x:c>
      <x:c r="X12" s="19" t="str">
        <x:v>产品/发布材料证明车型采用或具备，但未逐项写明“标配”</x:v>
      </x:c>
      <x:c r="Y12" s="19" t="str">
        <x:v>2026-08-04</x:v>
      </x:c>
    </x:row>
    <x:row r="13" ht="50" customHeight="1">
      <x:c r="A13" s="391" t="str">
        <x:v>B31C-D008</x:v>
      </x:c>
      <x:c r="B13" s="391" t="str">
        <x:v>B31-F008</x:v>
      </x:c>
      <x:c r="C13" s="391" t="str">
        <x:v>PC-N70-MAX-CAND</x:v>
      </x:c>
      <x:c r="D13" s="391" t="str">
        <x:v>air_suspension</x:v>
      </x:c>
      <x:c r="E13" s="391" t="str">
        <x:v>CHASSIS</x:v>
      </x:c>
      <x:c r="F13" s="391" t="str">
        <x:v>STANDARD_AT_RELEASE</x:v>
      </x:c>
      <x:c r="G13" s="391" t="str">
        <x:v>DIRECT_CLAIM</x:v>
      </x:c>
      <x:c r="H13" s="391" t="str">
        <x:v>HARDWARE_ROOT</x:v>
      </x:c>
      <x:c r="I13" s="391" t="str">
        <x:v>RELEASE_STANDARD_LOCKED</x:v>
      </x:c>
      <x:c r="J13" s="391" t="n">
        <x:f>IF(I13="RELEASE_STANDARD_LOCKED",1,0)</x:f>
        <x:v>1</x:v>
      </x:c>
      <x:c r="K13" s="391" t="n">
        <x:f>IF(OR(I13="RELEASE_STANDARD_LOCKED",I13="ENGINEERING_BASE_PROVISIONAL",I13="ENGINEERING_BASE_CHAPTER_SCOPE_CANDIDATE",I13="ENGINEERING_BASE_CAPABILITY"),1,0)</x:f>
        <x:v>1</x:v>
      </x:c>
      <x:c r="L13" s="391" t="n">
        <x:f>IF(AND(J13=1,H13="HARDWARE_ROOT"),1,0)</x:f>
        <x:v>1</x:v>
      </x:c>
      <x:c r="M13" s="391" t="n">
        <x:f>IF(AND(K13=1,H13="HARDWARE_ROOT"),1,0)</x:f>
        <x:v>1</x:v>
      </x:c>
      <x:c r="N13" s="391" t="n">
        <x:f>IF(COUNTIFS('62_App售价桥闸门'!$A$6:$A$9,C13,'62_App售价桥闸门'!$K$6:$K$9,1)&gt;0,1,0)</x:f>
        <x:v>0</x:v>
      </x:c>
      <x:c r="O13" s="391" t="n">
        <x:f>IF(COUNTIFS('62_App售价桥闸门'!$A$6:$A$9,C13,'62_App售价桥闸门'!$M$6:$M$9,1)&gt;0,1,0)</x:f>
        <x:v>0</x:v>
      </x:c>
      <x:c r="P13" s="391" t="str">
        <x:v>BOM_AIR_SUSPENSION_CDC</x:v>
      </x:c>
      <x:c r="Q13" s="391" t="str">
        <x:v>空气悬架与连续阻尼减振</x:v>
      </x:c>
      <x:c r="R13" s="391" t="str">
        <x:f>IF(M13=1,C13&amp;"|"&amp;P13,"")</x:f>
        <x:v>PC-N70-MAX-CAND|BOM_AIR_SUSPENSION_CDC</x:v>
      </x:c>
      <x:c r="S13" s="391" t="str">
        <x:v>B31-C021</x:v>
      </x:c>
      <x:c r="T13" s="391" t="str">
        <x:v>B31_SRC_N70_CHASSIS</x:v>
      </x:c>
      <x:c r="U13" s="391" t="str">
        <x:v>标配空气弹簧</x:v>
      </x:c>
      <x:c r="V13" s="391" t="str">
        <x:v>标配</x:v>
      </x:c>
      <x:c r="W13" s="391" t="str">
        <x:v>A_DIRECT_OR_EXPLICIT_SCOPE</x:v>
      </x:c>
      <x:c r="X13" s="391" t="str">
        <x:v>仍需App车辆SKU与完整配置修订，才能认定当前在售标配</x:v>
      </x:c>
      <x:c r="Y13" s="391" t="str">
        <x:v>2026-08-04</x:v>
      </x:c>
    </x:row>
    <x:row r="14" ht="50" customHeight="1">
      <x:c r="A14" s="19" t="str">
        <x:v>B31C-D009</x:v>
      </x:c>
      <x:c r="B14" s="19" t="str">
        <x:v>B31-F009</x:v>
      </x:c>
      <x:c r="C14" s="19" t="str">
        <x:v>PC-N70-MAX-CAND</x:v>
      </x:c>
      <x:c r="D14" s="19" t="str">
        <x:v>adaptive_damper</x:v>
      </x:c>
      <x:c r="E14" s="19" t="str">
        <x:v>CHASSIS</x:v>
      </x:c>
      <x:c r="F14" s="19" t="str">
        <x:v>STANDARD_AT_RELEASE</x:v>
      </x:c>
      <x:c r="G14" s="19" t="str">
        <x:v>DIRECT_CLAIM</x:v>
      </x:c>
      <x:c r="H14" s="19" t="str">
        <x:v>HARDWARE_SUPPORT</x:v>
      </x:c>
      <x:c r="I14" s="19" t="str">
        <x:v>RELEASE_STANDARD_LOCKED</x:v>
      </x:c>
      <x:c r="J14" s="19" t="n">
        <x:f>IF(I14="RELEASE_STANDARD_LOCKED",1,0)</x:f>
        <x:v>1</x:v>
      </x:c>
      <x:c r="K14" s="19" t="n">
        <x:f>IF(OR(I14="RELEASE_STANDARD_LOCKED",I14="ENGINEERING_BASE_PROVISIONAL",I14="ENGINEERING_BASE_CHAPTER_SCOPE_CANDIDATE",I14="ENGINEERING_BASE_CAPABILITY"),1,0)</x:f>
        <x:v>1</x:v>
      </x:c>
      <x:c r="L14" s="19" t="n">
        <x:f>IF(AND(J14=1,H14="HARDWARE_ROOT"),1,0)</x:f>
        <x:v>0</x:v>
      </x:c>
      <x:c r="M14" s="19" t="n">
        <x:f>IF(AND(K14=1,H14="HARDWARE_ROOT"),1,0)</x:f>
        <x:v>0</x:v>
      </x:c>
      <x:c r="N14" s="19" t="n">
        <x:f>IF(COUNTIFS('62_App售价桥闸门'!$A$6:$A$9,C14,'62_App售价桥闸门'!$K$6:$K$9,1)&gt;0,1,0)</x:f>
        <x:v>0</x:v>
      </x:c>
      <x:c r="O14" s="19" t="n">
        <x:f>IF(COUNTIFS('62_App售价桥闸门'!$A$6:$A$9,C14,'62_App售价桥闸门'!$M$6:$M$9,1)&gt;0,1,0)</x:f>
        <x:v>0</x:v>
      </x:c>
      <x:c r="P14" s="19" t="str">
        <x:v>BOM_AIR_SUSPENSION_CDC</x:v>
      </x:c>
      <x:c r="Q14" s="19" t="str">
        <x:v>空气悬架与连续阻尼减振</x:v>
      </x:c>
      <x:c r="R14" s="19" t="str">
        <x:f>IF(M14=1,C14&amp;"|"&amp;P14,"")</x:f>
      </x:c>
      <x:c r="S14" s="19" t="str">
        <x:v>B31-C022</x:v>
      </x:c>
      <x:c r="T14" s="19" t="str">
        <x:v>B31_SRC_N70_CHASSIS</x:v>
      </x:c>
      <x:c r="U14" s="19" t="str">
        <x:v>标配连续阻尼减振器</x:v>
      </x:c>
      <x:c r="V14" s="19" t="str">
        <x:v>标配</x:v>
      </x:c>
      <x:c r="W14" s="19" t="str">
        <x:v>A_DIRECT_OR_EXPLICIT_SCOPE</x:v>
      </x:c>
      <x:c r="X14" s="19" t="str">
        <x:v>仍需App车辆SKU与完整配置修订，才能认定当前在售标配</x:v>
      </x:c>
      <x:c r="Y14" s="19" t="str">
        <x:v>2026-08-04</x:v>
      </x:c>
    </x:row>
    <x:row r="15" ht="50" customHeight="1">
      <x:c r="A15" s="391" t="str">
        <x:v>B31C-D010</x:v>
      </x:c>
      <x:c r="B15" s="391" t="str">
        <x:v>B31-F010</x:v>
      </x:c>
      <x:c r="C15" s="391" t="str">
        <x:v>PC-N70-MAX-CAND</x:v>
      </x:c>
      <x:c r="D15" s="391" t="str">
        <x:v>max_wading_depth</x:v>
      </x:c>
      <x:c r="E15" s="391" t="str">
        <x:v>SAFETY</x:v>
      </x:c>
      <x:c r="F15" s="391" t="str">
        <x:v>EQUIPPED_STANDARD_UNCONFIRMED</x:v>
      </x:c>
      <x:c r="G15" s="391" t="str">
        <x:v>DIRECT_CLAIM</x:v>
      </x:c>
      <x:c r="H15" s="391" t="str">
        <x:v>SPEC_METRIC</x:v>
      </x:c>
      <x:c r="I15" s="391" t="str">
        <x:v>ENGINEERING_BASE_PROVISIONAL</x:v>
      </x:c>
      <x:c r="J15" s="391" t="n">
        <x:f>IF(I15="RELEASE_STANDARD_LOCKED",1,0)</x:f>
        <x:v>0</x:v>
      </x:c>
      <x:c r="K15" s="391" t="n">
        <x:f>IF(OR(I15="RELEASE_STANDARD_LOCKED",I15="ENGINEERING_BASE_PROVISIONAL",I15="ENGINEERING_BASE_CHAPTER_SCOPE_CANDIDATE",I15="ENGINEERING_BASE_CAPABILITY"),1,0)</x:f>
        <x:v>1</x:v>
      </x:c>
      <x:c r="L15" s="391" t="n">
        <x:f>IF(AND(J15=1,H15="HARDWARE_ROOT"),1,0)</x:f>
        <x:v>0</x:v>
      </x:c>
      <x:c r="M15" s="391" t="n">
        <x:f>IF(AND(K15=1,H15="HARDWARE_ROOT"),1,0)</x:f>
        <x:v>0</x:v>
      </x:c>
      <x:c r="N15" s="391" t="n">
        <x:f>IF(COUNTIFS('62_App售价桥闸门'!$A$6:$A$9,C15,'62_App售价桥闸门'!$K$6:$K$9,1)&gt;0,1,0)</x:f>
        <x:v>0</x:v>
      </x:c>
      <x:c r="O15" s="391" t="n">
        <x:f>IF(COUNTIFS('62_App售价桥闸门'!$A$6:$A$9,C15,'62_App售价桥闸门'!$M$6:$M$9,1)&gt;0,1,0)</x:f>
        <x:v>0</x:v>
      </x:c>
      <x:c r="P15" s="391" t="str">
        <x:v>BOM_WADING_SAFETY</x:v>
      </x:c>
      <x:c r="Q15" s="391" t="str">
        <x:v>涉水感知与脱困系统</x:v>
      </x:c>
      <x:c r="R15" s="391" t="str">
        <x:f>IF(M15=1,C15&amp;"|"&amp;P15,"")</x:f>
      </x:c>
      <x:c r="S15" s="391" t="str">
        <x:v>B31-C023</x:v>
      </x:c>
      <x:c r="T15" s="391" t="str">
        <x:v>B31_SRC_WADING267</x:v>
      </x:c>
      <x:c r="U15" s="391" t="str">
        <x:v>N70 Max最高涉水深度650mm</x:v>
      </x:c>
      <x:c r="V15" s="391" t="str">
        <x:v>搭载/配备/页面展示</x:v>
      </x:c>
      <x:c r="W15" s="391" t="str">
        <x:v>B_ENGINEERING_BASE_ONLY</x:v>
      </x:c>
      <x:c r="X15" s="391" t="str">
        <x:v>产品/发布材料证明车型采用或具备，但未逐项写明“标配”</x:v>
      </x:c>
      <x:c r="Y15" s="391" t="str">
        <x:v>2026-08-04</x:v>
      </x:c>
    </x:row>
    <x:row r="16" ht="50" customHeight="1">
      <x:c r="A16" s="19" t="str">
        <x:v>B31C-D011</x:v>
      </x:c>
      <x:c r="B16" s="19" t="str">
        <x:v>B31-F011</x:v>
      </x:c>
      <x:c r="C16" s="19" t="str">
        <x:v>PC-N70-MAX-CAND</x:v>
      </x:c>
      <x:c r="D16" s="19" t="str">
        <x:v>wading_radar_count</x:v>
      </x:c>
      <x:c r="E16" s="19" t="str">
        <x:v>SAFETY</x:v>
      </x:c>
      <x:c r="F16" s="19" t="str">
        <x:v>STANDARD_AT_RELEASE</x:v>
      </x:c>
      <x:c r="G16" s="19" t="str">
        <x:v>DIRECT_CLAIM</x:v>
      </x:c>
      <x:c r="H16" s="19" t="str">
        <x:v>HARDWARE_ROOT</x:v>
      </x:c>
      <x:c r="I16" s="19" t="str">
        <x:v>RELEASE_STANDARD_LOCKED</x:v>
      </x:c>
      <x:c r="J16" s="19" t="n">
        <x:f>IF(I16="RELEASE_STANDARD_LOCKED",1,0)</x:f>
        <x:v>1</x:v>
      </x:c>
      <x:c r="K16" s="19" t="n">
        <x:f>IF(OR(I16="RELEASE_STANDARD_LOCKED",I16="ENGINEERING_BASE_PROVISIONAL",I16="ENGINEERING_BASE_CHAPTER_SCOPE_CANDIDATE",I16="ENGINEERING_BASE_CAPABILITY"),1,0)</x:f>
        <x:v>1</x:v>
      </x:c>
      <x:c r="L16" s="19" t="n">
        <x:f>IF(AND(J16=1,H16="HARDWARE_ROOT"),1,0)</x:f>
        <x:v>1</x:v>
      </x:c>
      <x:c r="M16" s="19" t="n">
        <x:f>IF(AND(K16=1,H16="HARDWARE_ROOT"),1,0)</x:f>
        <x:v>1</x:v>
      </x:c>
      <x:c r="N16" s="19" t="n">
        <x:f>IF(COUNTIFS('62_App售价桥闸门'!$A$6:$A$9,C16,'62_App售价桥闸门'!$K$6:$K$9,1)&gt;0,1,0)</x:f>
        <x:v>0</x:v>
      </x:c>
      <x:c r="O16" s="19" t="n">
        <x:f>IF(COUNTIFS('62_App售价桥闸门'!$A$6:$A$9,C16,'62_App售价桥闸门'!$M$6:$M$9,1)&gt;0,1,0)</x:f>
        <x:v>0</x:v>
      </x:c>
      <x:c r="P16" s="19" t="str">
        <x:v>BOM_WADING_SAFETY</x:v>
      </x:c>
      <x:c r="Q16" s="19" t="str">
        <x:v>涉水感知与脱困系统</x:v>
      </x:c>
      <x:c r="R16" s="19" t="str">
        <x:f>IF(M16=1,C16&amp;"|"&amp;P16,"")</x:f>
        <x:v>PC-N70-MAX-CAND|BOM_WADING_SAFETY</x:v>
      </x:c>
      <x:c r="S16" s="19" t="str">
        <x:v>B31-C024</x:v>
      </x:c>
      <x:c r="T16" s="19" t="str">
        <x:v>B31_SRC_WADING267</x:v>
      </x:c>
      <x:c r="U16" s="19" t="str">
        <x:v>配备2颗涉水雷达</x:v>
      </x:c>
      <x:c r="V16" s="19" t="str">
        <x:v>涉水相关硬件完全一致/全系配备</x:v>
      </x:c>
      <x:c r="W16" s="19" t="str">
        <x:v>A_DIRECT_OR_EXPLICIT_SCOPE</x:v>
      </x:c>
      <x:c r="X16" s="19" t="str">
        <x:v>仍需App车辆SKU与完整配置修订，才能认定当前在售标配</x:v>
      </x:c>
      <x:c r="Y16" s="19" t="str">
        <x:v>2026-08-04</x:v>
      </x:c>
    </x:row>
    <x:row r="17" ht="50" customHeight="1">
      <x:c r="A17" s="391" t="str">
        <x:v>B31C-D012</x:v>
      </x:c>
      <x:c r="B17" s="391" t="str">
        <x:v>B31-F012</x:v>
      </x:c>
      <x:c r="C17" s="391" t="str">
        <x:v>PC-N70-MAX-CAND</x:v>
      </x:c>
      <x:c r="D17" s="391" t="str">
        <x:v>waterproof_key_parts</x:v>
      </x:c>
      <x:c r="E17" s="391" t="str">
        <x:v>SAFETY</x:v>
      </x:c>
      <x:c r="F17" s="391" t="str">
        <x:v>STANDARD_AT_RELEASE</x:v>
      </x:c>
      <x:c r="G17" s="391" t="str">
        <x:v>DIRECT_CLAIM</x:v>
      </x:c>
      <x:c r="H17" s="391" t="str">
        <x:v>HARDWARE_SUPPORT</x:v>
      </x:c>
      <x:c r="I17" s="391" t="str">
        <x:v>RELEASE_STANDARD_LOCKED</x:v>
      </x:c>
      <x:c r="J17" s="391" t="n">
        <x:f>IF(I17="RELEASE_STANDARD_LOCKED",1,0)</x:f>
        <x:v>1</x:v>
      </x:c>
      <x:c r="K17" s="391" t="n">
        <x:f>IF(OR(I17="RELEASE_STANDARD_LOCKED",I17="ENGINEERING_BASE_PROVISIONAL",I17="ENGINEERING_BASE_CHAPTER_SCOPE_CANDIDATE",I17="ENGINEERING_BASE_CAPABILITY"),1,0)</x:f>
        <x:v>1</x:v>
      </x:c>
      <x:c r="L17" s="391" t="n">
        <x:f>IF(AND(J17=1,H17="HARDWARE_ROOT"),1,0)</x:f>
        <x:v>0</x:v>
      </x:c>
      <x:c r="M17" s="391" t="n">
        <x:f>IF(AND(K17=1,H17="HARDWARE_ROOT"),1,0)</x:f>
        <x:v>0</x:v>
      </x:c>
      <x:c r="N17" s="391" t="n">
        <x:f>IF(COUNTIFS('62_App售价桥闸门'!$A$6:$A$9,C17,'62_App售价桥闸门'!$K$6:$K$9,1)&gt;0,1,0)</x:f>
        <x:v>0</x:v>
      </x:c>
      <x:c r="O17" s="391" t="n">
        <x:f>IF(COUNTIFS('62_App售价桥闸门'!$A$6:$A$9,C17,'62_App售价桥闸门'!$M$6:$M$9,1)&gt;0,1,0)</x:f>
        <x:v>0</x:v>
      </x:c>
      <x:c r="P17" s="391" t="str">
        <x:v>BOM_WADING_SAFETY</x:v>
      </x:c>
      <x:c r="Q17" s="391" t="str">
        <x:v>涉水感知与脱困系统</x:v>
      </x:c>
      <x:c r="R17" s="391" t="str">
        <x:f>IF(M17=1,C17&amp;"|"&amp;P17,"")</x:f>
      </x:c>
      <x:c r="S17" s="391" t="str">
        <x:v>B31-C025</x:v>
      </x:c>
      <x:c r="T17" s="391" t="str">
        <x:v>B31_SRC_WADING267</x:v>
      </x:c>
      <x:c r="U17" s="391" t="str">
        <x:v>24处关键零部件防水密封提升</x:v>
      </x:c>
      <x:c r="V17" s="391" t="str">
        <x:v>涉水相关硬件完全一致</x:v>
      </x:c>
      <x:c r="W17" s="391" t="str">
        <x:v>A_DIRECT_OR_EXPLICIT_SCOPE</x:v>
      </x:c>
      <x:c r="X17" s="391" t="str">
        <x:v>仍需App车辆SKU与完整配置修订，才能认定当前在售标配</x:v>
      </x:c>
      <x:c r="Y17" s="391" t="str">
        <x:v>2026-08-04</x:v>
      </x:c>
    </x:row>
    <x:row r="18" ht="50" customHeight="1">
      <x:c r="A18" s="19" t="str">
        <x:v>B31C-D013</x:v>
      </x:c>
      <x:c r="B18" s="19" t="str">
        <x:v>B31-F013</x:v>
      </x:c>
      <x:c r="C18" s="19" t="str">
        <x:v>PC-N70-MAX-CAND</x:v>
      </x:c>
      <x:c r="D18" s="19" t="str">
        <x:v>battery_waterproof</x:v>
      </x:c>
      <x:c r="E18" s="19" t="str">
        <x:v>SAFETY</x:v>
      </x:c>
      <x:c r="F18" s="19" t="str">
        <x:v>STANDARD_AT_RELEASE</x:v>
      </x:c>
      <x:c r="G18" s="19" t="str">
        <x:v>DIRECT_CLAIM</x:v>
      </x:c>
      <x:c r="H18" s="19" t="str">
        <x:v>HARDWARE_SUPPORT</x:v>
      </x:c>
      <x:c r="I18" s="19" t="str">
        <x:v>RELEASE_STANDARD_LOCKED</x:v>
      </x:c>
      <x:c r="J18" s="19" t="n">
        <x:f>IF(I18="RELEASE_STANDARD_LOCKED",1,0)</x:f>
        <x:v>1</x:v>
      </x:c>
      <x:c r="K18" s="19" t="n">
        <x:f>IF(OR(I18="RELEASE_STANDARD_LOCKED",I18="ENGINEERING_BASE_PROVISIONAL",I18="ENGINEERING_BASE_CHAPTER_SCOPE_CANDIDATE",I18="ENGINEERING_BASE_CAPABILITY"),1,0)</x:f>
        <x:v>1</x:v>
      </x:c>
      <x:c r="L18" s="19" t="n">
        <x:f>IF(AND(J18=1,H18="HARDWARE_ROOT"),1,0)</x:f>
        <x:v>0</x:v>
      </x:c>
      <x:c r="M18" s="19" t="n">
        <x:f>IF(AND(K18=1,H18="HARDWARE_ROOT"),1,0)</x:f>
        <x:v>0</x:v>
      </x:c>
      <x:c r="N18" s="19" t="n">
        <x:f>IF(COUNTIFS('62_App售价桥闸门'!$A$6:$A$9,C18,'62_App售价桥闸门'!$K$6:$K$9,1)&gt;0,1,0)</x:f>
        <x:v>0</x:v>
      </x:c>
      <x:c r="O18" s="19" t="n">
        <x:f>IF(COUNTIFS('62_App售价桥闸门'!$A$6:$A$9,C18,'62_App售价桥闸门'!$M$6:$M$9,1)&gt;0,1,0)</x:f>
        <x:v>0</x:v>
      </x:c>
      <x:c r="P18" s="19" t="str">
        <x:v>BOM_BATTERY_PACK</x:v>
      </x:c>
      <x:c r="Q18" s="19" t="str">
        <x:v>动力电池包与高压系统</x:v>
      </x:c>
      <x:c r="R18" s="19" t="str">
        <x:f>IF(M18=1,C18&amp;"|"&amp;P18,"")</x:f>
      </x:c>
      <x:c r="S18" s="19" t="str">
        <x:v>B31-C026</x:v>
      </x:c>
      <x:c r="T18" s="19" t="str">
        <x:v>B31_SRC_WADING267</x:v>
      </x:c>
      <x:c r="U18" s="19" t="str">
        <x:v>动力电池IPX8/IPX9K</x:v>
      </x:c>
      <x:c r="V18" s="19" t="str">
        <x:v>涉水相关硬件完全一致</x:v>
      </x:c>
      <x:c r="W18" s="19" t="str">
        <x:v>A_DIRECT_OR_EXPLICIT_SCOPE</x:v>
      </x:c>
      <x:c r="X18" s="19" t="str">
        <x:v>仍需App车辆SKU与完整配置修订，才能认定当前在售标配</x:v>
      </x:c>
      <x:c r="Y18" s="19" t="str">
        <x:v>2026-08-04</x:v>
      </x:c>
    </x:row>
    <x:row r="19" ht="50" customHeight="1">
      <x:c r="A19" s="391" t="str">
        <x:v>B31C-D014</x:v>
      </x:c>
      <x:c r="B19" s="391" t="str">
        <x:v>B31-F014</x:v>
      </x:c>
      <x:c r="C19" s="391" t="str">
        <x:v>PC-N70-MAX-CAND</x:v>
      </x:c>
      <x:c r="D19" s="391" t="str">
        <x:v>emergency_float</x:v>
      </x:c>
      <x:c r="E19" s="391" t="str">
        <x:v>SAFETY</x:v>
      </x:c>
      <x:c r="F19" s="391" t="str">
        <x:v>EQUIPPED_STANDARD_UNCONFIRMED</x:v>
      </x:c>
      <x:c r="G19" s="391" t="str">
        <x:v>DIRECT_CLAIM</x:v>
      </x:c>
      <x:c r="H19" s="391" t="str">
        <x:v>SOFTWARE_SYSTEM</x:v>
      </x:c>
      <x:c r="I19" s="391" t="str">
        <x:v>ENGINEERING_BASE_PROVISIONAL</x:v>
      </x:c>
      <x:c r="J19" s="391" t="n">
        <x:f>IF(I19="RELEASE_STANDARD_LOCKED",1,0)</x:f>
        <x:v>0</x:v>
      </x:c>
      <x:c r="K19" s="391" t="n">
        <x:f>IF(OR(I19="RELEASE_STANDARD_LOCKED",I19="ENGINEERING_BASE_PROVISIONAL",I19="ENGINEERING_BASE_CHAPTER_SCOPE_CANDIDATE",I19="ENGINEERING_BASE_CAPABILITY"),1,0)</x:f>
        <x:v>1</x:v>
      </x:c>
      <x:c r="L19" s="391" t="n">
        <x:f>IF(AND(J19=1,H19="HARDWARE_ROOT"),1,0)</x:f>
        <x:v>0</x:v>
      </x:c>
      <x:c r="M19" s="391" t="n">
        <x:f>IF(AND(K19=1,H19="HARDWARE_ROOT"),1,0)</x:f>
        <x:v>0</x:v>
      </x:c>
      <x:c r="N19" s="391" t="n">
        <x:f>IF(COUNTIFS('62_App售价桥闸门'!$A$6:$A$9,C19,'62_App售价桥闸门'!$K$6:$K$9,1)&gt;0,1,0)</x:f>
        <x:v>0</x:v>
      </x:c>
      <x:c r="O19" s="391" t="n">
        <x:f>IF(COUNTIFS('62_App售价桥闸门'!$A$6:$A$9,C19,'62_App售价桥闸门'!$M$6:$M$9,1)&gt;0,1,0)</x:f>
        <x:v>0</x:v>
      </x:c>
      <x:c r="P19" s="391" t="str">
        <x:v>BOM_WADING_SAFETY</x:v>
      </x:c>
      <x:c r="Q19" s="391" t="str">
        <x:v>涉水感知与脱困系统</x:v>
      </x:c>
      <x:c r="R19" s="391" t="str">
        <x:f>IF(M19=1,C19&amp;"|"&amp;P19,"")</x:f>
      </x:c>
      <x:c r="S19" s="391" t="str">
        <x:v>B31-C027</x:v>
      </x:c>
      <x:c r="T19" s="391" t="str">
        <x:v>B31_SRC_WADING267</x:v>
      </x:c>
      <x:c r="U19" s="391" t="str">
        <x:v>支持应急浮水脱困，3分钟内座舱无明显进水</x:v>
      </x:c>
      <x:c r="V19" s="391" t="str">
        <x:v>安全冗余</x:v>
      </x:c>
      <x:c r="W19" s="391" t="str">
        <x:v>B_ENGINEERING_BASE_ONLY</x:v>
      </x:c>
      <x:c r="X19" s="391" t="str">
        <x:v>产品/发布材料证明车型采用或具备，但未逐项写明“标配”</x:v>
      </x:c>
      <x:c r="Y19" s="391" t="str">
        <x:v>2026-08-04</x:v>
      </x:c>
    </x:row>
    <x:row r="20" ht="50" customHeight="1">
      <x:c r="A20" s="19" t="str">
        <x:v>B31C-D015</x:v>
      </x:c>
      <x:c r="B20" s="19" t="str">
        <x:v>B31-F015</x:v>
      </x:c>
      <x:c r="C20" s="19" t="str">
        <x:v>PC-N70-MAX-CAND</x:v>
      </x:c>
      <x:c r="D20" s="19" t="str">
        <x:v>integrated_door_ring</x:v>
      </x:c>
      <x:c r="E20" s="19" t="str">
        <x:v>BODY_SAFETY</x:v>
      </x:c>
      <x:c r="F20" s="19" t="str">
        <x:v>STANDARD_AT_RELEASE</x:v>
      </x:c>
      <x:c r="G20" s="19" t="str">
        <x:v>DIRECT_CLAIM</x:v>
      </x:c>
      <x:c r="H20" s="19" t="str">
        <x:v>HARDWARE_ROOT</x:v>
      </x:c>
      <x:c r="I20" s="19" t="str">
        <x:v>RELEASE_STANDARD_LOCKED</x:v>
      </x:c>
      <x:c r="J20" s="19" t="n">
        <x:f>IF(I20="RELEASE_STANDARD_LOCKED",1,0)</x:f>
        <x:v>1</x:v>
      </x:c>
      <x:c r="K20" s="19" t="n">
        <x:f>IF(OR(I20="RELEASE_STANDARD_LOCKED",I20="ENGINEERING_BASE_PROVISIONAL",I20="ENGINEERING_BASE_CHAPTER_SCOPE_CANDIDATE",I20="ENGINEERING_BASE_CAPABILITY"),1,0)</x:f>
        <x:v>1</x:v>
      </x:c>
      <x:c r="L20" s="19" t="n">
        <x:f>IF(AND(J20=1,H20="HARDWARE_ROOT"),1,0)</x:f>
        <x:v>1</x:v>
      </x:c>
      <x:c r="M20" s="19" t="n">
        <x:f>IF(AND(K20=1,H20="HARDWARE_ROOT"),1,0)</x:f>
        <x:v>1</x:v>
      </x:c>
      <x:c r="N20" s="19" t="n">
        <x:f>IF(COUNTIFS('62_App售价桥闸门'!$A$6:$A$9,C20,'62_App售价桥闸门'!$K$6:$K$9,1)&gt;0,1,0)</x:f>
        <x:v>0</x:v>
      </x:c>
      <x:c r="O20" s="19" t="n">
        <x:f>IF(COUNTIFS('62_App售价桥闸门'!$A$6:$A$9,C20,'62_App售价桥闸门'!$M$6:$M$9,1)&gt;0,1,0)</x:f>
        <x:v>0</x:v>
      </x:c>
      <x:c r="P20" s="19" t="str">
        <x:v>BOM_BODY_SAFETY</x:v>
      </x:c>
      <x:c r="Q20" s="19" t="str">
        <x:v>白车身安全结构</x:v>
      </x:c>
      <x:c r="R20" s="19" t="str">
        <x:f>IF(M20=1,C20&amp;"|"&amp;P20,"")</x:f>
        <x:v>PC-N70-MAX-CAND|BOM_BODY_SAFETY</x:v>
      </x:c>
      <x:c r="S20" s="19" t="str">
        <x:v>B31-C028</x:v>
      </x:c>
      <x:c r="T20" s="19" t="str">
        <x:v>B31_SRC_WADING267</x:v>
      </x:c>
      <x:c r="U20" s="19" t="str">
        <x:v>N70 Max和N90 Max均采用一体式热成型门环</x:v>
      </x:c>
      <x:c r="V20" s="19" t="str">
        <x:v>均采用</x:v>
      </x:c>
      <x:c r="W20" s="19" t="str">
        <x:v>A_DIRECT_OR_EXPLICIT_SCOPE</x:v>
      </x:c>
      <x:c r="X20" s="19" t="str">
        <x:v>仍需App车辆SKU与完整配置修订，才能认定当前在售标配</x:v>
      </x:c>
      <x:c r="Y20" s="19" t="str">
        <x:v>2026-08-04</x:v>
      </x:c>
    </x:row>
    <x:row r="21" ht="50" customHeight="1">
      <x:c r="A21" s="391" t="str">
        <x:v>B31C-D016</x:v>
      </x:c>
      <x:c r="B21" s="391" t="str">
        <x:v>B31-F016</x:v>
      </x:c>
      <x:c r="C21" s="391" t="str">
        <x:v>PC-N90-MAX-CAND</x:v>
      </x:c>
      <x:c r="D21" s="391" t="str">
        <x:v>seat_count</x:v>
      </x:c>
      <x:c r="E21" s="391" t="str">
        <x:v>BODY_SPACE</x:v>
      </x:c>
      <x:c r="F21" s="391" t="str">
        <x:v>EQUIPPED_STANDARD_UNCONFIRMED</x:v>
      </x:c>
      <x:c r="G21" s="391" t="str">
        <x:v>DIRECT_CLAIM</x:v>
      </x:c>
      <x:c r="H21" s="391" t="str">
        <x:v>HARDWARE_ROOT</x:v>
      </x:c>
      <x:c r="I21" s="391" t="str">
        <x:v>ENGINEERING_BASE_PROVISIONAL</x:v>
      </x:c>
      <x:c r="J21" s="391" t="n">
        <x:f>IF(I21="RELEASE_STANDARD_LOCKED",1,0)</x:f>
        <x:v>0</x:v>
      </x:c>
      <x:c r="K21" s="391" t="n">
        <x:f>IF(OR(I21="RELEASE_STANDARD_LOCKED",I21="ENGINEERING_BASE_PROVISIONAL",I21="ENGINEERING_BASE_CHAPTER_SCOPE_CANDIDATE",I21="ENGINEERING_BASE_CAPABILITY"),1,0)</x:f>
        <x:v>1</x:v>
      </x:c>
      <x:c r="L21" s="391" t="n">
        <x:f>IF(AND(J21=1,H21="HARDWARE_ROOT"),1,0)</x:f>
        <x:v>0</x:v>
      </x:c>
      <x:c r="M21" s="391" t="n">
        <x:f>IF(AND(K21=1,H21="HARDWARE_ROOT"),1,0)</x:f>
        <x:v>1</x:v>
      </x:c>
      <x:c r="N21" s="391" t="n">
        <x:f>IF(COUNTIFS('62_App售价桥闸门'!$A$6:$A$9,C21,'62_App售价桥闸门'!$K$6:$K$9,1)&gt;0,1,0)</x:f>
        <x:v>0</x:v>
      </x:c>
      <x:c r="O21" s="391" t="n">
        <x:f>IF(COUNTIFS('62_App售价桥闸门'!$A$6:$A$9,C21,'62_App售价桥闸门'!$M$6:$M$9,1)&gt;0,1,0)</x:f>
        <x:v>0</x:v>
      </x:c>
      <x:c r="P21" s="391" t="str">
        <x:v>BOM_SEAT_ARCHITECTURE</x:v>
      </x:c>
      <x:c r="Q21" s="391" t="str">
        <x:v>座椅数量与布局</x:v>
      </x:c>
      <x:c r="R21" s="391" t="str">
        <x:f>IF(M21=1,C21&amp;"|"&amp;P21,"")</x:f>
        <x:v>PC-N90-MAX-CAND|BOM_SEAT_ARCHITECTURE</x:v>
      </x:c>
      <x:c r="S21" s="391" t="str">
        <x:v>B31-C036</x:v>
      </x:c>
      <x:c r="T21" s="391" t="str">
        <x:v>B31_SRC_N90_WEB</x:v>
      </x:c>
      <x:c r="U21" s="391" t="str">
        <x:v>2+2+3大七座布局</x:v>
      </x:c>
      <x:c r="V21" s="391" t="str">
        <x:v>搭载/配备/页面展示</x:v>
      </x:c>
      <x:c r="W21" s="391" t="str">
        <x:v>B_ENGINEERING_BASE_ONLY</x:v>
      </x:c>
      <x:c r="X21" s="391" t="str">
        <x:v>产品/发布材料证明车型采用或具备，但未逐项写明“标配”</x:v>
      </x:c>
      <x:c r="Y21" s="391" t="str">
        <x:v>2026-08-04</x:v>
      </x:c>
    </x:row>
    <x:row r="22" ht="50" customHeight="1">
      <x:c r="A22" s="19" t="str">
        <x:v>B31C-D017</x:v>
      </x:c>
      <x:c r="B22" s="19" t="str">
        <x:v>B31-F017</x:v>
      </x:c>
      <x:c r="C22" s="19" t="str">
        <x:v>PC-N90-MAX-CAND</x:v>
      </x:c>
      <x:c r="D22" s="19" t="str">
        <x:v>seat_layout</x:v>
      </x:c>
      <x:c r="E22" s="19" t="str">
        <x:v>BODY_SPACE</x:v>
      </x:c>
      <x:c r="F22" s="19" t="str">
        <x:v>EQUIPPED_STANDARD_UNCONFIRMED</x:v>
      </x:c>
      <x:c r="G22" s="19" t="str">
        <x:v>DIRECT_CLAIM</x:v>
      </x:c>
      <x:c r="H22" s="19" t="str">
        <x:v>HARDWARE_SUPPORT</x:v>
      </x:c>
      <x:c r="I22" s="19" t="str">
        <x:v>ENGINEERING_BASE_PROVISIONAL</x:v>
      </x:c>
      <x:c r="J22" s="19" t="n">
        <x:f>IF(I22="RELEASE_STANDARD_LOCKED",1,0)</x:f>
        <x:v>0</x:v>
      </x:c>
      <x:c r="K22" s="19" t="n">
        <x:f>IF(OR(I22="RELEASE_STANDARD_LOCKED",I22="ENGINEERING_BASE_PROVISIONAL",I22="ENGINEERING_BASE_CHAPTER_SCOPE_CANDIDATE",I22="ENGINEERING_BASE_CAPABILITY"),1,0)</x:f>
        <x:v>1</x:v>
      </x:c>
      <x:c r="L22" s="19" t="n">
        <x:f>IF(AND(J22=1,H22="HARDWARE_ROOT"),1,0)</x:f>
        <x:v>0</x:v>
      </x:c>
      <x:c r="M22" s="19" t="n">
        <x:f>IF(AND(K22=1,H22="HARDWARE_ROOT"),1,0)</x:f>
        <x:v>0</x:v>
      </x:c>
      <x:c r="N22" s="19" t="n">
        <x:f>IF(COUNTIFS('62_App售价桥闸门'!$A$6:$A$9,C22,'62_App售价桥闸门'!$K$6:$K$9,1)&gt;0,1,0)</x:f>
        <x:v>0</x:v>
      </x:c>
      <x:c r="O22" s="19" t="n">
        <x:f>IF(COUNTIFS('62_App售价桥闸门'!$A$6:$A$9,C22,'62_App售价桥闸门'!$M$6:$M$9,1)&gt;0,1,0)</x:f>
        <x:v>0</x:v>
      </x:c>
      <x:c r="P22" s="19" t="str">
        <x:v>BOM_SEAT_ARCHITECTURE</x:v>
      </x:c>
      <x:c r="Q22" s="19" t="str">
        <x:v>座椅数量与布局</x:v>
      </x:c>
      <x:c r="R22" s="19" t="str">
        <x:f>IF(M22=1,C22&amp;"|"&amp;P22,"")</x:f>
      </x:c>
      <x:c r="S22" s="19" t="str">
        <x:v>B31-C037</x:v>
      </x:c>
      <x:c r="T22" s="19" t="str">
        <x:v>B31_SRC_N90_WEB</x:v>
      </x:c>
      <x:c r="U22" s="19" t="str">
        <x:v>2+2+3大七座布局</x:v>
      </x:c>
      <x:c r="V22" s="19" t="str">
        <x:v>搭载/配备/页面展示</x:v>
      </x:c>
      <x:c r="W22" s="19" t="str">
        <x:v>B_ENGINEERING_BASE_ONLY</x:v>
      </x:c>
      <x:c r="X22" s="19" t="str">
        <x:v>产品/发布材料证明车型采用或具备，但未逐项写明“标配”</x:v>
      </x:c>
      <x:c r="Y22" s="19" t="str">
        <x:v>2026-08-04</x:v>
      </x:c>
    </x:row>
    <x:row r="23" ht="50" customHeight="1">
      <x:c r="A23" s="391" t="str">
        <x:v>B31C-D018</x:v>
      </x:c>
      <x:c r="B23" s="391" t="str">
        <x:v>B31-F018</x:v>
      </x:c>
      <x:c r="C23" s="391" t="str">
        <x:v>PC-N90-MAX-CAND</x:v>
      </x:c>
      <x:c r="D23" s="391" t="str">
        <x:v>cabin_length</x:v>
      </x:c>
      <x:c r="E23" s="391" t="str">
        <x:v>BODY_SPACE</x:v>
      </x:c>
      <x:c r="F23" s="391" t="str">
        <x:v>EQUIPPED_STANDARD_UNCONFIRMED</x:v>
      </x:c>
      <x:c r="G23" s="391" t="str">
        <x:v>DIRECT_CLAIM</x:v>
      </x:c>
      <x:c r="H23" s="391" t="str">
        <x:v>SPEC_METRIC</x:v>
      </x:c>
      <x:c r="I23" s="391" t="str">
        <x:v>ENGINEERING_BASE_PROVISIONAL</x:v>
      </x:c>
      <x:c r="J23" s="391" t="n">
        <x:f>IF(I23="RELEASE_STANDARD_LOCKED",1,0)</x:f>
        <x:v>0</x:v>
      </x:c>
      <x:c r="K23" s="391" t="n">
        <x:f>IF(OR(I23="RELEASE_STANDARD_LOCKED",I23="ENGINEERING_BASE_PROVISIONAL",I23="ENGINEERING_BASE_CHAPTER_SCOPE_CANDIDATE",I23="ENGINEERING_BASE_CAPABILITY"),1,0)</x:f>
        <x:v>1</x:v>
      </x:c>
      <x:c r="L23" s="391" t="n">
        <x:f>IF(AND(J23=1,H23="HARDWARE_ROOT"),1,0)</x:f>
        <x:v>0</x:v>
      </x:c>
      <x:c r="M23" s="391" t="n">
        <x:f>IF(AND(K23=1,H23="HARDWARE_ROOT"),1,0)</x:f>
        <x:v>0</x:v>
      </x:c>
      <x:c r="N23" s="391" t="n">
        <x:f>IF(COUNTIFS('62_App售价桥闸门'!$A$6:$A$9,C23,'62_App售价桥闸门'!$K$6:$K$9,1)&gt;0,1,0)</x:f>
        <x:v>0</x:v>
      </x:c>
      <x:c r="O23" s="391" t="n">
        <x:f>IF(COUNTIFS('62_App售价桥闸门'!$A$6:$A$9,C23,'62_App售价桥闸门'!$M$6:$M$9,1)&gt;0,1,0)</x:f>
        <x:v>0</x:v>
      </x:c>
      <x:c r="P23" s="391" t="str">
        <x:v>BOM_BODY_SPACE_GEOMETRY</x:v>
      </x:c>
      <x:c r="Q23" s="391" t="str">
        <x:v>车身空间与地板滑轨</x:v>
      </x:c>
      <x:c r="R23" s="391" t="str">
        <x:f>IF(M23=1,C23&amp;"|"&amp;P23,"")</x:f>
      </x:c>
      <x:c r="S23" s="391" t="str">
        <x:v>B31-C038</x:v>
      </x:c>
      <x:c r="T23" s="391" t="str">
        <x:v>B31_SRC_N90_WEB</x:v>
      </x:c>
      <x:c r="U23" s="391" t="str">
        <x:v>2760mm舱内乘坐空间</x:v>
      </x:c>
      <x:c r="V23" s="391" t="str">
        <x:v>搭载/配备/页面展示</x:v>
      </x:c>
      <x:c r="W23" s="391" t="str">
        <x:v>B_ENGINEERING_BASE_ONLY</x:v>
      </x:c>
      <x:c r="X23" s="391" t="str">
        <x:v>产品/发布材料证明车型采用或具备，但未逐项写明“标配”</x:v>
      </x:c>
      <x:c r="Y23" s="391" t="str">
        <x:v>2026-08-04</x:v>
      </x:c>
    </x:row>
    <x:row r="24" ht="50" customHeight="1">
      <x:c r="A24" s="19" t="str">
        <x:v>B31C-D019</x:v>
      </x:c>
      <x:c r="B24" s="19" t="str">
        <x:v>B31-F019</x:v>
      </x:c>
      <x:c r="C24" s="19" t="str">
        <x:v>PC-N90-MAX-CAND</x:v>
      </x:c>
      <x:c r="D24" s="19" t="str">
        <x:v>row2_space</x:v>
      </x:c>
      <x:c r="E24" s="19" t="str">
        <x:v>BODY_SPACE</x:v>
      </x:c>
      <x:c r="F24" s="19" t="str">
        <x:v>EQUIPPED_STANDARD_UNCONFIRMED</x:v>
      </x:c>
      <x:c r="G24" s="19" t="str">
        <x:v>DIRECT_CLAIM</x:v>
      </x:c>
      <x:c r="H24" s="19" t="str">
        <x:v>SPEC_METRIC</x:v>
      </x:c>
      <x:c r="I24" s="19" t="str">
        <x:v>ENGINEERING_BASE_PROVISIONAL</x:v>
      </x:c>
      <x:c r="J24" s="19" t="n">
        <x:f>IF(I24="RELEASE_STANDARD_LOCKED",1,0)</x:f>
        <x:v>0</x:v>
      </x:c>
      <x:c r="K24" s="19" t="n">
        <x:f>IF(OR(I24="RELEASE_STANDARD_LOCKED",I24="ENGINEERING_BASE_PROVISIONAL",I24="ENGINEERING_BASE_CHAPTER_SCOPE_CANDIDATE",I24="ENGINEERING_BASE_CAPABILITY"),1,0)</x:f>
        <x:v>1</x:v>
      </x:c>
      <x:c r="L24" s="19" t="n">
        <x:f>IF(AND(J24=1,H24="HARDWARE_ROOT"),1,0)</x:f>
        <x:v>0</x:v>
      </x:c>
      <x:c r="M24" s="19" t="n">
        <x:f>IF(AND(K24=1,H24="HARDWARE_ROOT"),1,0)</x:f>
        <x:v>0</x:v>
      </x:c>
      <x:c r="N24" s="19" t="n">
        <x:f>IF(COUNTIFS('62_App售价桥闸门'!$A$6:$A$9,C24,'62_App售价桥闸门'!$K$6:$K$9,1)&gt;0,1,0)</x:f>
        <x:v>0</x:v>
      </x:c>
      <x:c r="O24" s="19" t="n">
        <x:f>IF(COUNTIFS('62_App售价桥闸门'!$A$6:$A$9,C24,'62_App售价桥闸门'!$M$6:$M$9,1)&gt;0,1,0)</x:f>
        <x:v>0</x:v>
      </x:c>
      <x:c r="P24" s="19" t="str">
        <x:v>BOM_BODY_SPACE_GEOMETRY</x:v>
      </x:c>
      <x:c r="Q24" s="19" t="str">
        <x:v>车身空间与地板滑轨</x:v>
      </x:c>
      <x:c r="R24" s="19" t="str">
        <x:f>IF(M24=1,C24&amp;"|"&amp;P24,"")</x:f>
      </x:c>
      <x:c r="S24" s="19" t="str">
        <x:v>B31-C039</x:v>
      </x:c>
      <x:c r="T24" s="19" t="str">
        <x:v>B31_SRC_N90_WEB</x:v>
      </x:c>
      <x:c r="U24" s="19" t="str">
        <x:v>二排950mm乘坐空间</x:v>
      </x:c>
      <x:c r="V24" s="19" t="str">
        <x:v>搭载/配备/页面展示</x:v>
      </x:c>
      <x:c r="W24" s="19" t="str">
        <x:v>B_ENGINEERING_BASE_ONLY</x:v>
      </x:c>
      <x:c r="X24" s="19" t="str">
        <x:v>产品/发布材料证明车型采用或具备，但未逐项写明“标配”</x:v>
      </x:c>
      <x:c r="Y24" s="19" t="str">
        <x:v>2026-08-04</x:v>
      </x:c>
    </x:row>
    <x:row r="25" ht="50" customHeight="1">
      <x:c r="A25" s="391" t="str">
        <x:v>B31C-D020</x:v>
      </x:c>
      <x:c r="B25" s="391" t="str">
        <x:v>B31-F020</x:v>
      </x:c>
      <x:c r="C25" s="391" t="str">
        <x:v>PC-N90-MAX-CAND</x:v>
      </x:c>
      <x:c r="D25" s="391" t="str">
        <x:v>row2_standing_height_min</x:v>
      </x:c>
      <x:c r="E25" s="391" t="str">
        <x:v>BODY_SPACE</x:v>
      </x:c>
      <x:c r="F25" s="391" t="str">
        <x:v>EQUIPPED_STANDARD_UNCONFIRMED</x:v>
      </x:c>
      <x:c r="G25" s="391" t="str">
        <x:v>DIRECT_CLAIM</x:v>
      </x:c>
      <x:c r="H25" s="391" t="str">
        <x:v>SPEC_METRIC</x:v>
      </x:c>
      <x:c r="I25" s="391" t="str">
        <x:v>ENGINEERING_BASE_PROVISIONAL</x:v>
      </x:c>
      <x:c r="J25" s="391" t="n">
        <x:f>IF(I25="RELEASE_STANDARD_LOCKED",1,0)</x:f>
        <x:v>0</x:v>
      </x:c>
      <x:c r="K25" s="391" t="n">
        <x:f>IF(OR(I25="RELEASE_STANDARD_LOCKED",I25="ENGINEERING_BASE_PROVISIONAL",I25="ENGINEERING_BASE_CHAPTER_SCOPE_CANDIDATE",I25="ENGINEERING_BASE_CAPABILITY"),1,0)</x:f>
        <x:v>1</x:v>
      </x:c>
      <x:c r="L25" s="391" t="n">
        <x:f>IF(AND(J25=1,H25="HARDWARE_ROOT"),1,0)</x:f>
        <x:v>0</x:v>
      </x:c>
      <x:c r="M25" s="391" t="n">
        <x:f>IF(AND(K25=1,H25="HARDWARE_ROOT"),1,0)</x:f>
        <x:v>0</x:v>
      </x:c>
      <x:c r="N25" s="391" t="n">
        <x:f>IF(COUNTIFS('62_App售价桥闸门'!$A$6:$A$9,C25,'62_App售价桥闸门'!$K$6:$K$9,1)&gt;0,1,0)</x:f>
        <x:v>0</x:v>
      </x:c>
      <x:c r="O25" s="391" t="n">
        <x:f>IF(COUNTIFS('62_App售价桥闸门'!$A$6:$A$9,C25,'62_App售价桥闸门'!$M$6:$M$9,1)&gt;0,1,0)</x:f>
        <x:v>0</x:v>
      </x:c>
      <x:c r="P25" s="391" t="str">
        <x:v>BOM_BODY_SPACE_GEOMETRY</x:v>
      </x:c>
      <x:c r="Q25" s="391" t="str">
        <x:v>车身空间与地板滑轨</x:v>
      </x:c>
      <x:c r="R25" s="391" t="str">
        <x:f>IF(M25=1,C25&amp;"|"&amp;P25,"")</x:f>
      </x:c>
      <x:c r="S25" s="391" t="str">
        <x:v>B31-C040</x:v>
      </x:c>
      <x:c r="T25" s="391" t="str">
        <x:v>B31_SRC_N90_WEB</x:v>
      </x:c>
      <x:c r="U25" s="391" t="str">
        <x:v>二排舱内最小站立高度1233mm</x:v>
      </x:c>
      <x:c r="V25" s="391" t="str">
        <x:v>搭载/配备/页面展示</x:v>
      </x:c>
      <x:c r="W25" s="391" t="str">
        <x:v>B_ENGINEERING_BASE_ONLY</x:v>
      </x:c>
      <x:c r="X25" s="391" t="str">
        <x:v>产品/发布材料证明车型采用或具备，但未逐项写明“标配”</x:v>
      </x:c>
      <x:c r="Y25" s="391" t="str">
        <x:v>2026-08-04</x:v>
      </x:c>
    </x:row>
    <x:row r="26" ht="50" customHeight="1">
      <x:c r="A26" s="19" t="str">
        <x:v>B31C-D021</x:v>
      </x:c>
      <x:c r="B26" s="19" t="str">
        <x:v>B31-F021</x:v>
      </x:c>
      <x:c r="C26" s="19" t="str">
        <x:v>PC-N90-MAX-CAND</x:v>
      </x:c>
      <x:c r="D26" s="19" t="str">
        <x:v>center_aisle_width</x:v>
      </x:c>
      <x:c r="E26" s="19" t="str">
        <x:v>BODY_SPACE</x:v>
      </x:c>
      <x:c r="F26" s="19" t="str">
        <x:v>EQUIPPED_STANDARD_UNCONFIRMED</x:v>
      </x:c>
      <x:c r="G26" s="19" t="str">
        <x:v>DIRECT_CLAIM</x:v>
      </x:c>
      <x:c r="H26" s="19" t="str">
        <x:v>SPEC_METRIC</x:v>
      </x:c>
      <x:c r="I26" s="19" t="str">
        <x:v>ENGINEERING_BASE_PROVISIONAL</x:v>
      </x:c>
      <x:c r="J26" s="19" t="n">
        <x:f>IF(I26="RELEASE_STANDARD_LOCKED",1,0)</x:f>
        <x:v>0</x:v>
      </x:c>
      <x:c r="K26" s="19" t="n">
        <x:f>IF(OR(I26="RELEASE_STANDARD_LOCKED",I26="ENGINEERING_BASE_PROVISIONAL",I26="ENGINEERING_BASE_CHAPTER_SCOPE_CANDIDATE",I26="ENGINEERING_BASE_CAPABILITY"),1,0)</x:f>
        <x:v>1</x:v>
      </x:c>
      <x:c r="L26" s="19" t="n">
        <x:f>IF(AND(J26=1,H26="HARDWARE_ROOT"),1,0)</x:f>
        <x:v>0</x:v>
      </x:c>
      <x:c r="M26" s="19" t="n">
        <x:f>IF(AND(K26=1,H26="HARDWARE_ROOT"),1,0)</x:f>
        <x:v>0</x:v>
      </x:c>
      <x:c r="N26" s="19" t="n">
        <x:f>IF(COUNTIFS('62_App售价桥闸门'!$A$6:$A$9,C26,'62_App售价桥闸门'!$K$6:$K$9,1)&gt;0,1,0)</x:f>
        <x:v>0</x:v>
      </x:c>
      <x:c r="O26" s="19" t="n">
        <x:f>IF(COUNTIFS('62_App售价桥闸门'!$A$6:$A$9,C26,'62_App售价桥闸门'!$M$6:$M$9,1)&gt;0,1,0)</x:f>
        <x:v>0</x:v>
      </x:c>
      <x:c r="P26" s="19" t="str">
        <x:v>BOM_BODY_SPACE_GEOMETRY</x:v>
      </x:c>
      <x:c r="Q26" s="19" t="str">
        <x:v>车身空间与地板滑轨</x:v>
      </x:c>
      <x:c r="R26" s="19" t="str">
        <x:f>IF(M26=1,C26&amp;"|"&amp;P26,"")</x:f>
      </x:c>
      <x:c r="S26" s="19" t="str">
        <x:v>B31-C041</x:v>
      </x:c>
      <x:c r="T26" s="19" t="str">
        <x:v>B31_SRC_N90_WEB</x:v>
      </x:c>
      <x:c r="U26" s="19" t="str">
        <x:v>180mm中间过道</x:v>
      </x:c>
      <x:c r="V26" s="19" t="str">
        <x:v>搭载/配备/页面展示</x:v>
      </x:c>
      <x:c r="W26" s="19" t="str">
        <x:v>B_ENGINEERING_BASE_ONLY</x:v>
      </x:c>
      <x:c r="X26" s="19" t="str">
        <x:v>产品/发布材料证明车型采用或具备，但未逐项写明“标配”</x:v>
      </x:c>
      <x:c r="Y26" s="19" t="str">
        <x:v>2026-08-04</x:v>
      </x:c>
    </x:row>
    <x:row r="27" ht="50" customHeight="1">
      <x:c r="A27" s="391" t="str">
        <x:v>B31C-D022</x:v>
      </x:c>
      <x:c r="B27" s="391" t="str">
        <x:v>B31-F022</x:v>
      </x:c>
      <x:c r="C27" s="391" t="str">
        <x:v>PC-N90-MAX-CAND</x:v>
      </x:c>
      <x:c r="D27" s="391" t="str">
        <x:v>row3_space</x:v>
      </x:c>
      <x:c r="E27" s="391" t="str">
        <x:v>BODY_SPACE</x:v>
      </x:c>
      <x:c r="F27" s="391" t="str">
        <x:v>EQUIPPED_STANDARD_UNCONFIRMED</x:v>
      </x:c>
      <x:c r="G27" s="391" t="str">
        <x:v>DIRECT_CLAIM</x:v>
      </x:c>
      <x:c r="H27" s="391" t="str">
        <x:v>SPEC_METRIC</x:v>
      </x:c>
      <x:c r="I27" s="391" t="str">
        <x:v>ENGINEERING_BASE_PROVISIONAL</x:v>
      </x:c>
      <x:c r="J27" s="391" t="n">
        <x:f>IF(I27="RELEASE_STANDARD_LOCKED",1,0)</x:f>
        <x:v>0</x:v>
      </x:c>
      <x:c r="K27" s="391" t="n">
        <x:f>IF(OR(I27="RELEASE_STANDARD_LOCKED",I27="ENGINEERING_BASE_PROVISIONAL",I27="ENGINEERING_BASE_CHAPTER_SCOPE_CANDIDATE",I27="ENGINEERING_BASE_CAPABILITY"),1,0)</x:f>
        <x:v>1</x:v>
      </x:c>
      <x:c r="L27" s="391" t="n">
        <x:f>IF(AND(J27=1,H27="HARDWARE_ROOT"),1,0)</x:f>
        <x:v>0</x:v>
      </x:c>
      <x:c r="M27" s="391" t="n">
        <x:f>IF(AND(K27=1,H27="HARDWARE_ROOT"),1,0)</x:f>
        <x:v>0</x:v>
      </x:c>
      <x:c r="N27" s="391" t="n">
        <x:f>IF(COUNTIFS('62_App售价桥闸门'!$A$6:$A$9,C27,'62_App售价桥闸门'!$K$6:$K$9,1)&gt;0,1,0)</x:f>
        <x:v>0</x:v>
      </x:c>
      <x:c r="O27" s="391" t="n">
        <x:f>IF(COUNTIFS('62_App售价桥闸门'!$A$6:$A$9,C27,'62_App售价桥闸门'!$M$6:$M$9,1)&gt;0,1,0)</x:f>
        <x:v>0</x:v>
      </x:c>
      <x:c r="P27" s="391" t="str">
        <x:v>BOM_BODY_SPACE_GEOMETRY</x:v>
      </x:c>
      <x:c r="Q27" s="391" t="str">
        <x:v>车身空间与地板滑轨</x:v>
      </x:c>
      <x:c r="R27" s="391" t="str">
        <x:f>IF(M27=1,C27&amp;"|"&amp;P27,"")</x:f>
      </x:c>
      <x:c r="S27" s="391" t="str">
        <x:v>B31-C042</x:v>
      </x:c>
      <x:c r="T27" s="391" t="str">
        <x:v>B31_SRC_N90_WEB</x:v>
      </x:c>
      <x:c r="U27" s="391" t="str">
        <x:v>三排890mm乘坐空间</x:v>
      </x:c>
      <x:c r="V27" s="391" t="str">
        <x:v>搭载/配备/页面展示</x:v>
      </x:c>
      <x:c r="W27" s="391" t="str">
        <x:v>B_ENGINEERING_BASE_ONLY</x:v>
      </x:c>
      <x:c r="X27" s="391" t="str">
        <x:v>产品/发布材料证明车型采用或具备，但未逐项写明“标配”</x:v>
      </x:c>
      <x:c r="Y27" s="391" t="str">
        <x:v>2026-08-04</x:v>
      </x:c>
    </x:row>
    <x:row r="28" ht="50" customHeight="1">
      <x:c r="A28" s="19" t="str">
        <x:v>B31C-D023</x:v>
      </x:c>
      <x:c r="B28" s="19" t="str">
        <x:v>B31-F023</x:v>
      </x:c>
      <x:c r="C28" s="19" t="str">
        <x:v>PC-N90-MAX-CAND</x:v>
      </x:c>
      <x:c r="D28" s="19" t="str">
        <x:v>row3_headroom</x:v>
      </x:c>
      <x:c r="E28" s="19" t="str">
        <x:v>BODY_SPACE</x:v>
      </x:c>
      <x:c r="F28" s="19" t="str">
        <x:v>EQUIPPED_STANDARD_UNCONFIRMED</x:v>
      </x:c>
      <x:c r="G28" s="19" t="str">
        <x:v>DIRECT_CLAIM</x:v>
      </x:c>
      <x:c r="H28" s="19" t="str">
        <x:v>SPEC_METRIC</x:v>
      </x:c>
      <x:c r="I28" s="19" t="str">
        <x:v>ENGINEERING_BASE_PROVISIONAL</x:v>
      </x:c>
      <x:c r="J28" s="19" t="n">
        <x:f>IF(I28="RELEASE_STANDARD_LOCKED",1,0)</x:f>
        <x:v>0</x:v>
      </x:c>
      <x:c r="K28" s="19" t="n">
        <x:f>IF(OR(I28="RELEASE_STANDARD_LOCKED",I28="ENGINEERING_BASE_PROVISIONAL",I28="ENGINEERING_BASE_CHAPTER_SCOPE_CANDIDATE",I28="ENGINEERING_BASE_CAPABILITY"),1,0)</x:f>
        <x:v>1</x:v>
      </x:c>
      <x:c r="L28" s="19" t="n">
        <x:f>IF(AND(J28=1,H28="HARDWARE_ROOT"),1,0)</x:f>
        <x:v>0</x:v>
      </x:c>
      <x:c r="M28" s="19" t="n">
        <x:f>IF(AND(K28=1,H28="HARDWARE_ROOT"),1,0)</x:f>
        <x:v>0</x:v>
      </x:c>
      <x:c r="N28" s="19" t="n">
        <x:f>IF(COUNTIFS('62_App售价桥闸门'!$A$6:$A$9,C28,'62_App售价桥闸门'!$K$6:$K$9,1)&gt;0,1,0)</x:f>
        <x:v>0</x:v>
      </x:c>
      <x:c r="O28" s="19" t="n">
        <x:f>IF(COUNTIFS('62_App售价桥闸门'!$A$6:$A$9,C28,'62_App售价桥闸门'!$M$6:$M$9,1)&gt;0,1,0)</x:f>
        <x:v>0</x:v>
      </x:c>
      <x:c r="P28" s="19" t="str">
        <x:v>BOM_BODY_SPACE_GEOMETRY</x:v>
      </x:c>
      <x:c r="Q28" s="19" t="str">
        <x:v>车身空间与地板滑轨</x:v>
      </x:c>
      <x:c r="R28" s="19" t="str">
        <x:f>IF(M28=1,C28&amp;"|"&amp;P28,"")</x:f>
      </x:c>
      <x:c r="S28" s="19" t="str">
        <x:v>B31-C043</x:v>
      </x:c>
      <x:c r="T28" s="19" t="str">
        <x:v>B31_SRC_N90_WEB</x:v>
      </x:c>
      <x:c r="U28" s="19" t="str">
        <x:v>三排962mm头部空间</x:v>
      </x:c>
      <x:c r="V28" s="19" t="str">
        <x:v>搭载/配备/页面展示</x:v>
      </x:c>
      <x:c r="W28" s="19" t="str">
        <x:v>B_ENGINEERING_BASE_ONLY</x:v>
      </x:c>
      <x:c r="X28" s="19" t="str">
        <x:v>产品/发布材料证明车型采用或具备，但未逐项写明“标配”</x:v>
      </x:c>
      <x:c r="Y28" s="19" t="str">
        <x:v>2026-08-04</x:v>
      </x:c>
    </x:row>
    <x:row r="29" ht="50" customHeight="1">
      <x:c r="A29" s="391" t="str">
        <x:v>B31C-D024</x:v>
      </x:c>
      <x:c r="B29" s="391" t="str">
        <x:v>B31-F024</x:v>
      </x:c>
      <x:c r="C29" s="391" t="str">
        <x:v>PC-N90-MAX-CAND</x:v>
      </x:c>
      <x:c r="D29" s="391" t="str">
        <x:v>trunk_standard</x:v>
      </x:c>
      <x:c r="E29" s="391" t="str">
        <x:v>BODY_SPACE</x:v>
      </x:c>
      <x:c r="F29" s="391" t="str">
        <x:v>EQUIPPED_STANDARD_UNCONFIRMED</x:v>
      </x:c>
      <x:c r="G29" s="391" t="str">
        <x:v>DIRECT_CLAIM</x:v>
      </x:c>
      <x:c r="H29" s="391" t="str">
        <x:v>SPEC_METRIC</x:v>
      </x:c>
      <x:c r="I29" s="391" t="str">
        <x:v>ENGINEERING_BASE_PROVISIONAL</x:v>
      </x:c>
      <x:c r="J29" s="391" t="n">
        <x:f>IF(I29="RELEASE_STANDARD_LOCKED",1,0)</x:f>
        <x:v>0</x:v>
      </x:c>
      <x:c r="K29" s="391" t="n">
        <x:f>IF(OR(I29="RELEASE_STANDARD_LOCKED",I29="ENGINEERING_BASE_PROVISIONAL",I29="ENGINEERING_BASE_CHAPTER_SCOPE_CANDIDATE",I29="ENGINEERING_BASE_CAPABILITY"),1,0)</x:f>
        <x:v>1</x:v>
      </x:c>
      <x:c r="L29" s="391" t="n">
        <x:f>IF(AND(J29=1,H29="HARDWARE_ROOT"),1,0)</x:f>
        <x:v>0</x:v>
      </x:c>
      <x:c r="M29" s="391" t="n">
        <x:f>IF(AND(K29=1,H29="HARDWARE_ROOT"),1,0)</x:f>
        <x:v>0</x:v>
      </x:c>
      <x:c r="N29" s="391" t="n">
        <x:f>IF(COUNTIFS('62_App售价桥闸门'!$A$6:$A$9,C29,'62_App售价桥闸门'!$K$6:$K$9,1)&gt;0,1,0)</x:f>
        <x:v>0</x:v>
      </x:c>
      <x:c r="O29" s="391" t="n">
        <x:f>IF(COUNTIFS('62_App售价桥闸门'!$A$6:$A$9,C29,'62_App售价桥闸门'!$M$6:$M$9,1)&gt;0,1,0)</x:f>
        <x:v>0</x:v>
      </x:c>
      <x:c r="P29" s="391" t="str">
        <x:v>BOM_BODY_SPACE_GEOMETRY</x:v>
      </x:c>
      <x:c r="Q29" s="391" t="str">
        <x:v>车身空间与地板滑轨</x:v>
      </x:c>
      <x:c r="R29" s="391" t="str">
        <x:f>IF(M29=1,C29&amp;"|"&amp;P29,"")</x:f>
      </x:c>
      <x:c r="S29" s="391" t="str">
        <x:v>B31-C044</x:v>
      </x:c>
      <x:c r="T29" s="391" t="str">
        <x:v>B31_SRC_N90_WEB</x:v>
      </x:c>
      <x:c r="U29" s="391" t="str">
        <x:v>标准状态下577L后备厢</x:v>
      </x:c>
      <x:c r="V29" s="391" t="str">
        <x:v>搭载/配备/页面展示</x:v>
      </x:c>
      <x:c r="W29" s="391" t="str">
        <x:v>B_ENGINEERING_BASE_ONLY</x:v>
      </x:c>
      <x:c r="X29" s="391" t="str">
        <x:v>产品/发布材料证明车型采用或具备，但未逐项写明“标配”</x:v>
      </x:c>
      <x:c r="Y29" s="391" t="str">
        <x:v>2026-08-04</x:v>
      </x:c>
    </x:row>
    <x:row r="30" ht="50" customHeight="1">
      <x:c r="A30" s="19" t="str">
        <x:v>B31C-D025</x:v>
      </x:c>
      <x:c r="B30" s="19" t="str">
        <x:v>B31-F025</x:v>
      </x:c>
      <x:c r="C30" s="19" t="str">
        <x:v>PC-N90-MAX-CAND</x:v>
      </x:c>
      <x:c r="D30" s="19" t="str">
        <x:v>trunk_max</x:v>
      </x:c>
      <x:c r="E30" s="19" t="str">
        <x:v>BODY_SPACE</x:v>
      </x:c>
      <x:c r="F30" s="19" t="str">
        <x:v>EQUIPPED_STANDARD_UNCONFIRMED</x:v>
      </x:c>
      <x:c r="G30" s="19" t="str">
        <x:v>DIRECT_CLAIM</x:v>
      </x:c>
      <x:c r="H30" s="19" t="str">
        <x:v>SPEC_METRIC</x:v>
      </x:c>
      <x:c r="I30" s="19" t="str">
        <x:v>ENGINEERING_BASE_PROVISIONAL</x:v>
      </x:c>
      <x:c r="J30" s="19" t="n">
        <x:f>IF(I30="RELEASE_STANDARD_LOCKED",1,0)</x:f>
        <x:v>0</x:v>
      </x:c>
      <x:c r="K30" s="19" t="n">
        <x:f>IF(OR(I30="RELEASE_STANDARD_LOCKED",I30="ENGINEERING_BASE_PROVISIONAL",I30="ENGINEERING_BASE_CHAPTER_SCOPE_CANDIDATE",I30="ENGINEERING_BASE_CAPABILITY"),1,0)</x:f>
        <x:v>1</x:v>
      </x:c>
      <x:c r="L30" s="19" t="n">
        <x:f>IF(AND(J30=1,H30="HARDWARE_ROOT"),1,0)</x:f>
        <x:v>0</x:v>
      </x:c>
      <x:c r="M30" s="19" t="n">
        <x:f>IF(AND(K30=1,H30="HARDWARE_ROOT"),1,0)</x:f>
        <x:v>0</x:v>
      </x:c>
      <x:c r="N30" s="19" t="n">
        <x:f>IF(COUNTIFS('62_App售价桥闸门'!$A$6:$A$9,C30,'62_App售价桥闸门'!$K$6:$K$9,1)&gt;0,1,0)</x:f>
        <x:v>0</x:v>
      </x:c>
      <x:c r="O30" s="19" t="n">
        <x:f>IF(COUNTIFS('62_App售价桥闸门'!$A$6:$A$9,C30,'62_App售价桥闸门'!$M$6:$M$9,1)&gt;0,1,0)</x:f>
        <x:v>0</x:v>
      </x:c>
      <x:c r="P30" s="19" t="str">
        <x:v>BOM_BODY_SPACE_GEOMETRY</x:v>
      </x:c>
      <x:c r="Q30" s="19" t="str">
        <x:v>车身空间与地板滑轨</x:v>
      </x:c>
      <x:c r="R30" s="19" t="str">
        <x:f>IF(M30=1,C30&amp;"|"&amp;P30,"")</x:f>
      </x:c>
      <x:c r="S30" s="19" t="str">
        <x:v>B31-C045</x:v>
      </x:c>
      <x:c r="T30" s="19" t="str">
        <x:v>B31_SRC_N90_WEB</x:v>
      </x:c>
      <x:c r="U30" s="19" t="str">
        <x:v>二三排极致前移后1831L后备厢</x:v>
      </x:c>
      <x:c r="V30" s="19" t="str">
        <x:v>搭载/配备/页面展示</x:v>
      </x:c>
      <x:c r="W30" s="19" t="str">
        <x:v>B_ENGINEERING_BASE_ONLY</x:v>
      </x:c>
      <x:c r="X30" s="19" t="str">
        <x:v>产品/发布材料证明车型采用或具备，但未逐项写明“标配”</x:v>
      </x:c>
      <x:c r="Y30" s="19" t="str">
        <x:v>2026-08-04</x:v>
      </x:c>
    </x:row>
    <x:row r="31" ht="50" customHeight="1">
      <x:c r="A31" s="391" t="str">
        <x:v>B31C-D026</x:v>
      </x:c>
      <x:c r="B31" s="391" t="str">
        <x:v>B31-F026</x:v>
      </x:c>
      <x:c r="C31" s="391" t="str">
        <x:v>PC-N90-MAX-CAND</x:v>
      </x:c>
      <x:c r="D31" s="391" t="str">
        <x:v>tailgate_threshold</x:v>
      </x:c>
      <x:c r="E31" s="391" t="str">
        <x:v>BODY_SPACE</x:v>
      </x:c>
      <x:c r="F31" s="391" t="str">
        <x:v>EQUIPPED_STANDARD_UNCONFIRMED</x:v>
      </x:c>
      <x:c r="G31" s="391" t="str">
        <x:v>DIRECT_CLAIM</x:v>
      </x:c>
      <x:c r="H31" s="391" t="str">
        <x:v>SPEC_METRIC</x:v>
      </x:c>
      <x:c r="I31" s="391" t="str">
        <x:v>ENGINEERING_BASE_PROVISIONAL</x:v>
      </x:c>
      <x:c r="J31" s="391" t="n">
        <x:f>IF(I31="RELEASE_STANDARD_LOCKED",1,0)</x:f>
        <x:v>0</x:v>
      </x:c>
      <x:c r="K31" s="391" t="n">
        <x:f>IF(OR(I31="RELEASE_STANDARD_LOCKED",I31="ENGINEERING_BASE_PROVISIONAL",I31="ENGINEERING_BASE_CHAPTER_SCOPE_CANDIDATE",I31="ENGINEERING_BASE_CAPABILITY"),1,0)</x:f>
        <x:v>1</x:v>
      </x:c>
      <x:c r="L31" s="391" t="n">
        <x:f>IF(AND(J31=1,H31="HARDWARE_ROOT"),1,0)</x:f>
        <x:v>0</x:v>
      </x:c>
      <x:c r="M31" s="391" t="n">
        <x:f>IF(AND(K31=1,H31="HARDWARE_ROOT"),1,0)</x:f>
        <x:v>0</x:v>
      </x:c>
      <x:c r="N31" s="391" t="n">
        <x:f>IF(COUNTIFS('62_App售价桥闸门'!$A$6:$A$9,C31,'62_App售价桥闸门'!$K$6:$K$9,1)&gt;0,1,0)</x:f>
        <x:v>0</x:v>
      </x:c>
      <x:c r="O31" s="391" t="n">
        <x:f>IF(COUNTIFS('62_App售价桥闸门'!$A$6:$A$9,C31,'62_App售价桥闸门'!$M$6:$M$9,1)&gt;0,1,0)</x:f>
        <x:v>0</x:v>
      </x:c>
      <x:c r="P31" s="391" t="str">
        <x:v>BOM_BODY_SPACE_GEOMETRY</x:v>
      </x:c>
      <x:c r="Q31" s="391" t="str">
        <x:v>车身空间与地板滑轨</x:v>
      </x:c>
      <x:c r="R31" s="391" t="str">
        <x:f>IF(M31=1,C31&amp;"|"&amp;P31,"")</x:f>
      </x:c>
      <x:c r="S31" s="391" t="str">
        <x:v>B31-C046</x:v>
      </x:c>
      <x:c r="T31" s="391" t="str">
        <x:v>B31_SRC_N90_WEB</x:v>
      </x:c>
      <x:c r="U31" s="391" t="str">
        <x:v>690mm超低尾门门槛</x:v>
      </x:c>
      <x:c r="V31" s="391" t="str">
        <x:v>搭载/配备/页面展示</x:v>
      </x:c>
      <x:c r="W31" s="391" t="str">
        <x:v>B_ENGINEERING_BASE_ONLY</x:v>
      </x:c>
      <x:c r="X31" s="391" t="str">
        <x:v>产品/发布材料证明车型采用或具备，但未逐项写明“标配”</x:v>
      </x:c>
      <x:c r="Y31" s="391" t="str">
        <x:v>2026-08-04</x:v>
      </x:c>
    </x:row>
    <x:row r="32" ht="50" customHeight="1">
      <x:c r="A32" s="19" t="str">
        <x:v>B31C-D027</x:v>
      </x:c>
      <x:c r="B32" s="19" t="str">
        <x:v>B31-F027</x:v>
      </x:c>
      <x:c r="C32" s="19" t="str">
        <x:v>PC-N90-MAX-CAND</x:v>
      </x:c>
      <x:c r="D32" s="19" t="str">
        <x:v>tailgate_opening_width</x:v>
      </x:c>
      <x:c r="E32" s="19" t="str">
        <x:v>BODY_SPACE</x:v>
      </x:c>
      <x:c r="F32" s="19" t="str">
        <x:v>EQUIPPED_STANDARD_UNCONFIRMED</x:v>
      </x:c>
      <x:c r="G32" s="19" t="str">
        <x:v>DIRECT_CLAIM</x:v>
      </x:c>
      <x:c r="H32" s="19" t="str">
        <x:v>SPEC_METRIC</x:v>
      </x:c>
      <x:c r="I32" s="19" t="str">
        <x:v>ENGINEERING_BASE_PROVISIONAL</x:v>
      </x:c>
      <x:c r="J32" s="19" t="n">
        <x:f>IF(I32="RELEASE_STANDARD_LOCKED",1,0)</x:f>
        <x:v>0</x:v>
      </x:c>
      <x:c r="K32" s="19" t="n">
        <x:f>IF(OR(I32="RELEASE_STANDARD_LOCKED",I32="ENGINEERING_BASE_PROVISIONAL",I32="ENGINEERING_BASE_CHAPTER_SCOPE_CANDIDATE",I32="ENGINEERING_BASE_CAPABILITY"),1,0)</x:f>
        <x:v>1</x:v>
      </x:c>
      <x:c r="L32" s="19" t="n">
        <x:f>IF(AND(J32=1,H32="HARDWARE_ROOT"),1,0)</x:f>
        <x:v>0</x:v>
      </x:c>
      <x:c r="M32" s="19" t="n">
        <x:f>IF(AND(K32=1,H32="HARDWARE_ROOT"),1,0)</x:f>
        <x:v>0</x:v>
      </x:c>
      <x:c r="N32" s="19" t="n">
        <x:f>IF(COUNTIFS('62_App售价桥闸门'!$A$6:$A$9,C32,'62_App售价桥闸门'!$K$6:$K$9,1)&gt;0,1,0)</x:f>
        <x:v>0</x:v>
      </x:c>
      <x:c r="O32" s="19" t="n">
        <x:f>IF(COUNTIFS('62_App售价桥闸门'!$A$6:$A$9,C32,'62_App售价桥闸门'!$M$6:$M$9,1)&gt;0,1,0)</x:f>
        <x:v>0</x:v>
      </x:c>
      <x:c r="P32" s="19" t="str">
        <x:v>BOM_BODY_SPACE_GEOMETRY</x:v>
      </x:c>
      <x:c r="Q32" s="19" t="str">
        <x:v>车身空间与地板滑轨</x:v>
      </x:c>
      <x:c r="R32" s="19" t="str">
        <x:f>IF(M32=1,C32&amp;"|"&amp;P32,"")</x:f>
      </x:c>
      <x:c r="S32" s="19" t="str">
        <x:v>B31-C047</x:v>
      </x:c>
      <x:c r="T32" s="19" t="str">
        <x:v>B31_SRC_N90_WEB</x:v>
      </x:c>
      <x:c r="U32" s="19" t="str">
        <x:v>1193mm宽大开口</x:v>
      </x:c>
      <x:c r="V32" s="19" t="str">
        <x:v>搭载/配备/页面展示</x:v>
      </x:c>
      <x:c r="W32" s="19" t="str">
        <x:v>B_ENGINEERING_BASE_ONLY</x:v>
      </x:c>
      <x:c r="X32" s="19" t="str">
        <x:v>产品/发布材料证明车型采用或具备，但未逐项写明“标配”</x:v>
      </x:c>
      <x:c r="Y32" s="19" t="str">
        <x:v>2026-08-04</x:v>
      </x:c>
    </x:row>
    <x:row r="33" ht="50" customHeight="1">
      <x:c r="A33" s="391" t="str">
        <x:v>B31C-D028</x:v>
      </x:c>
      <x:c r="B33" s="391" t="str">
        <x:v>B31-F028</x:v>
      </x:c>
      <x:c r="C33" s="391" t="str">
        <x:v>PC-N90-MAX-CAND</x:v>
      </x:c>
      <x:c r="D33" s="391" t="str">
        <x:v>four_seat_space</x:v>
      </x:c>
      <x:c r="E33" s="391" t="str">
        <x:v>BODY_SPACE</x:v>
      </x:c>
      <x:c r="F33" s="391" t="str">
        <x:v>EQUIPPED_STANDARD_UNCONFIRMED</x:v>
      </x:c>
      <x:c r="G33" s="391" t="str">
        <x:v>DIRECT_CLAIM</x:v>
      </x:c>
      <x:c r="H33" s="391" t="str">
        <x:v>SPEC_METRIC</x:v>
      </x:c>
      <x:c r="I33" s="391" t="str">
        <x:v>ENGINEERING_BASE_PROVISIONAL</x:v>
      </x:c>
      <x:c r="J33" s="391" t="n">
        <x:f>IF(I33="RELEASE_STANDARD_LOCKED",1,0)</x:f>
        <x:v>0</x:v>
      </x:c>
      <x:c r="K33" s="391" t="n">
        <x:f>IF(OR(I33="RELEASE_STANDARD_LOCKED",I33="ENGINEERING_BASE_PROVISIONAL",I33="ENGINEERING_BASE_CHAPTER_SCOPE_CANDIDATE",I33="ENGINEERING_BASE_CAPABILITY"),1,0)</x:f>
        <x:v>1</x:v>
      </x:c>
      <x:c r="L33" s="391" t="n">
        <x:f>IF(AND(J33=1,H33="HARDWARE_ROOT"),1,0)</x:f>
        <x:v>0</x:v>
      </x:c>
      <x:c r="M33" s="391" t="n">
        <x:f>IF(AND(K33=1,H33="HARDWARE_ROOT"),1,0)</x:f>
        <x:v>0</x:v>
      </x:c>
      <x:c r="N33" s="391" t="n">
        <x:f>IF(COUNTIFS('62_App售价桥闸门'!$A$6:$A$9,C33,'62_App售价桥闸门'!$K$6:$K$9,1)&gt;0,1,0)</x:f>
        <x:v>0</x:v>
      </x:c>
      <x:c r="O33" s="391" t="n">
        <x:f>IF(COUNTIFS('62_App售价桥闸门'!$A$6:$A$9,C33,'62_App售价桥闸门'!$M$6:$M$9,1)&gt;0,1,0)</x:f>
        <x:v>0</x:v>
      </x:c>
      <x:c r="P33" s="391" t="str">
        <x:v>BOM_BODY_SPACE_GEOMETRY</x:v>
      </x:c>
      <x:c r="Q33" s="391" t="str">
        <x:v>车身空间与地板滑轨</x:v>
      </x:c>
      <x:c r="R33" s="391" t="str">
        <x:f>IF(M33=1,C33&amp;"|"&amp;P33,"")</x:f>
      </x:c>
      <x:c r="S33" s="391" t="str">
        <x:v>B31-C048</x:v>
      </x:c>
      <x:c r="T33" s="391" t="str">
        <x:v>B31_SRC_N90_WEB</x:v>
      </x:c>
      <x:c r="U33" s="391" t="str">
        <x:v>四人头等舱模式乘坐空间1370mm</x:v>
      </x:c>
      <x:c r="V33" s="391" t="str">
        <x:v>搭载/配备/页面展示</x:v>
      </x:c>
      <x:c r="W33" s="391" t="str">
        <x:v>B_ENGINEERING_BASE_ONLY</x:v>
      </x:c>
      <x:c r="X33" s="391" t="str">
        <x:v>产品/发布材料证明车型采用或具备，但未逐项写明“标配”</x:v>
      </x:c>
      <x:c r="Y33" s="391" t="str">
        <x:v>2026-08-04</x:v>
      </x:c>
    </x:row>
    <x:row r="34" ht="50" customHeight="1">
      <x:c r="A34" s="19" t="str">
        <x:v>B31C-D029</x:v>
      </x:c>
      <x:c r="B34" s="19" t="str">
        <x:v>B31-F029</x:v>
      </x:c>
      <x:c r="C34" s="19" t="str">
        <x:v>PC-N90-MAX-CAND</x:v>
      </x:c>
      <x:c r="D34" s="19" t="str">
        <x:v>row2_space_max</x:v>
      </x:c>
      <x:c r="E34" s="19" t="str">
        <x:v>BODY_SPACE</x:v>
      </x:c>
      <x:c r="F34" s="19" t="str">
        <x:v>EQUIPPED_STANDARD_UNCONFIRMED</x:v>
      </x:c>
      <x:c r="G34" s="19" t="str">
        <x:v>DIRECT_CLAIM</x:v>
      </x:c>
      <x:c r="H34" s="19" t="str">
        <x:v>SPEC_METRIC</x:v>
      </x:c>
      <x:c r="I34" s="19" t="str">
        <x:v>ENGINEERING_BASE_PROVISIONAL</x:v>
      </x:c>
      <x:c r="J34" s="19" t="n">
        <x:f>IF(I34="RELEASE_STANDARD_LOCKED",1,0)</x:f>
        <x:v>0</x:v>
      </x:c>
      <x:c r="K34" s="19" t="n">
        <x:f>IF(OR(I34="RELEASE_STANDARD_LOCKED",I34="ENGINEERING_BASE_PROVISIONAL",I34="ENGINEERING_BASE_CHAPTER_SCOPE_CANDIDATE",I34="ENGINEERING_BASE_CAPABILITY"),1,0)</x:f>
        <x:v>1</x:v>
      </x:c>
      <x:c r="L34" s="19" t="n">
        <x:f>IF(AND(J34=1,H34="HARDWARE_ROOT"),1,0)</x:f>
        <x:v>0</x:v>
      </x:c>
      <x:c r="M34" s="19" t="n">
        <x:f>IF(AND(K34=1,H34="HARDWARE_ROOT"),1,0)</x:f>
        <x:v>0</x:v>
      </x:c>
      <x:c r="N34" s="19" t="n">
        <x:f>IF(COUNTIFS('62_App售价桥闸门'!$A$6:$A$9,C34,'62_App售价桥闸门'!$K$6:$K$9,1)&gt;0,1,0)</x:f>
        <x:v>0</x:v>
      </x:c>
      <x:c r="O34" s="19" t="n">
        <x:f>IF(COUNTIFS('62_App售价桥闸门'!$A$6:$A$9,C34,'62_App售价桥闸门'!$M$6:$M$9,1)&gt;0,1,0)</x:f>
        <x:v>0</x:v>
      </x:c>
      <x:c r="P34" s="19" t="str">
        <x:v>BOM_BODY_SPACE_GEOMETRY</x:v>
      </x:c>
      <x:c r="Q34" s="19" t="str">
        <x:v>车身空间与地板滑轨</x:v>
      </x:c>
      <x:c r="R34" s="19" t="str">
        <x:f>IF(M34=1,C34&amp;"|"&amp;P34,"")</x:f>
      </x:c>
      <x:c r="S34" s="19" t="str">
        <x:v>B31-C049</x:v>
      </x:c>
      <x:c r="T34" s="19" t="str">
        <x:v>B31_SRC_N90_WEB</x:v>
      </x:c>
      <x:c r="U34" s="19" t="str">
        <x:v>二三排极致后移最大可达1550mm</x:v>
      </x:c>
      <x:c r="V34" s="19" t="str">
        <x:v>搭载/配备/页面展示</x:v>
      </x:c>
      <x:c r="W34" s="19" t="str">
        <x:v>B_ENGINEERING_BASE_ONLY</x:v>
      </x:c>
      <x:c r="X34" s="19" t="str">
        <x:v>产品/发布材料证明车型采用或具备，但未逐项写明“标配”</x:v>
      </x:c>
      <x:c r="Y34" s="19" t="str">
        <x:v>2026-08-04</x:v>
      </x:c>
    </x:row>
    <x:row r="35" ht="50" customHeight="1">
      <x:c r="A35" s="391" t="str">
        <x:v>B31C-D030</x:v>
      </x:c>
      <x:c r="B35" s="391" t="str">
        <x:v>B31-F030</x:v>
      </x:c>
      <x:c r="C35" s="391" t="str">
        <x:v>PC-N90-MAX-CAND</x:v>
      </x:c>
      <x:c r="D35" s="391" t="str">
        <x:v>glass_area</x:v>
      </x:c>
      <x:c r="E35" s="391" t="str">
        <x:v>BODY_SPACE</x:v>
      </x:c>
      <x:c r="F35" s="391" t="str">
        <x:v>EQUIPPED_STANDARD_UNCONFIRMED</x:v>
      </x:c>
      <x:c r="G35" s="391" t="str">
        <x:v>DIRECT_CLAIM</x:v>
      </x:c>
      <x:c r="H35" s="391" t="str">
        <x:v>HARDWARE_ROOT</x:v>
      </x:c>
      <x:c r="I35" s="391" t="str">
        <x:v>ENGINEERING_BASE_PROVISIONAL</x:v>
      </x:c>
      <x:c r="J35" s="391" t="n">
        <x:f>IF(I35="RELEASE_STANDARD_LOCKED",1,0)</x:f>
        <x:v>0</x:v>
      </x:c>
      <x:c r="K35" s="391" t="n">
        <x:f>IF(OR(I35="RELEASE_STANDARD_LOCKED",I35="ENGINEERING_BASE_PROVISIONAL",I35="ENGINEERING_BASE_CHAPTER_SCOPE_CANDIDATE",I35="ENGINEERING_BASE_CAPABILITY"),1,0)</x:f>
        <x:v>1</x:v>
      </x:c>
      <x:c r="L35" s="391" t="n">
        <x:f>IF(AND(J35=1,H35="HARDWARE_ROOT"),1,0)</x:f>
        <x:v>0</x:v>
      </x:c>
      <x:c r="M35" s="391" t="n">
        <x:f>IF(AND(K35=1,H35="HARDWARE_ROOT"),1,0)</x:f>
        <x:v>1</x:v>
      </x:c>
      <x:c r="N35" s="391" t="n">
        <x:f>IF(COUNTIFS('62_App售价桥闸门'!$A$6:$A$9,C35,'62_App售价桥闸门'!$K$6:$K$9,1)&gt;0,1,0)</x:f>
        <x:v>0</x:v>
      </x:c>
      <x:c r="O35" s="391" t="n">
        <x:f>IF(COUNTIFS('62_App售价桥闸门'!$A$6:$A$9,C35,'62_App售价桥闸门'!$M$6:$M$9,1)&gt;0,1,0)</x:f>
        <x:v>0</x:v>
      </x:c>
      <x:c r="P35" s="391" t="str">
        <x:v>BOM_GLAZING</x:v>
      </x:c>
      <x:c r="Q35" s="391" t="str">
        <x:v>全车玻璃系统</x:v>
      </x:c>
      <x:c r="R35" s="391" t="str">
        <x:f>IF(M35=1,C35&amp;"|"&amp;P35,"")</x:f>
        <x:v>PC-N90-MAX-CAND|BOM_GLAZING</x:v>
      </x:c>
      <x:c r="S35" s="391" t="str">
        <x:v>B31-C050</x:v>
      </x:c>
      <x:c r="T35" s="391" t="str">
        <x:v>B31_SRC_N90_WEB</x:v>
      </x:c>
      <x:c r="U35" s="391" t="str">
        <x:v>6.8㎡超大全车玻璃面积</x:v>
      </x:c>
      <x:c r="V35" s="391" t="str">
        <x:v>搭载/配备/页面展示</x:v>
      </x:c>
      <x:c r="W35" s="391" t="str">
        <x:v>B_ENGINEERING_BASE_ONLY</x:v>
      </x:c>
      <x:c r="X35" s="391" t="str">
        <x:v>产品/发布材料证明车型采用或具备，但未逐项写明“标配”</x:v>
      </x:c>
      <x:c r="Y35" s="391" t="str">
        <x:v>2026-08-04</x:v>
      </x:c>
    </x:row>
    <x:row r="36" ht="50" customHeight="1">
      <x:c r="A36" s="19" t="str">
        <x:v>B31C-D031</x:v>
      </x:c>
      <x:c r="B36" s="19" t="str">
        <x:v>B31-F031</x:v>
      </x:c>
      <x:c r="C36" s="19" t="str">
        <x:v>PC-N90-MAX-CAND</x:v>
      </x:c>
      <x:c r="D36" s="19" t="str">
        <x:v>soft_touch_coverage</x:v>
      </x:c>
      <x:c r="E36" s="19" t="str">
        <x:v>CABIN</x:v>
      </x:c>
      <x:c r="F36" s="19" t="str">
        <x:v>EQUIPPED_STANDARD_UNCONFIRMED</x:v>
      </x:c>
      <x:c r="G36" s="19" t="str">
        <x:v>DIRECT_CLAIM</x:v>
      </x:c>
      <x:c r="H36" s="19" t="str">
        <x:v>HARDWARE_ROOT</x:v>
      </x:c>
      <x:c r="I36" s="19" t="str">
        <x:v>ENGINEERING_BASE_PROVISIONAL</x:v>
      </x:c>
      <x:c r="J36" s="19" t="n">
        <x:f>IF(I36="RELEASE_STANDARD_LOCKED",1,0)</x:f>
        <x:v>0</x:v>
      </x:c>
      <x:c r="K36" s="19" t="n">
        <x:f>IF(OR(I36="RELEASE_STANDARD_LOCKED",I36="ENGINEERING_BASE_PROVISIONAL",I36="ENGINEERING_BASE_CHAPTER_SCOPE_CANDIDATE",I36="ENGINEERING_BASE_CAPABILITY"),1,0)</x:f>
        <x:v>1</x:v>
      </x:c>
      <x:c r="L36" s="19" t="n">
        <x:f>IF(AND(J36=1,H36="HARDWARE_ROOT"),1,0)</x:f>
        <x:v>0</x:v>
      </x:c>
      <x:c r="M36" s="19" t="n">
        <x:f>IF(AND(K36=1,H36="HARDWARE_ROOT"),1,0)</x:f>
        <x:v>1</x:v>
      </x:c>
      <x:c r="N36" s="19" t="n">
        <x:f>IF(COUNTIFS('62_App售价桥闸门'!$A$6:$A$9,C36,'62_App售价桥闸门'!$K$6:$K$9,1)&gt;0,1,0)</x:f>
        <x:v>0</x:v>
      </x:c>
      <x:c r="O36" s="19" t="n">
        <x:f>IF(COUNTIFS('62_App售价桥闸门'!$A$6:$A$9,C36,'62_App售价桥闸门'!$M$6:$M$9,1)&gt;0,1,0)</x:f>
        <x:v>0</x:v>
      </x:c>
      <x:c r="P36" s="19" t="str">
        <x:v>BOM_CABIN_TRIM</x:v>
      </x:c>
      <x:c r="Q36" s="19" t="str">
        <x:v>座舱软包与饰件</x:v>
      </x:c>
      <x:c r="R36" s="19" t="str">
        <x:f>IF(M36=1,C36&amp;"|"&amp;P36,"")</x:f>
        <x:v>PC-N90-MAX-CAND|BOM_CABIN_TRIM</x:v>
      </x:c>
      <x:c r="S36" s="19" t="str">
        <x:v>B31-C051</x:v>
      </x:c>
      <x:c r="T36" s="19" t="str">
        <x:v>B31_SRC_N90_WEB</x:v>
      </x:c>
      <x:c r="U36" s="19" t="str">
        <x:v>全车高频接触面95%软包覆</x:v>
      </x:c>
      <x:c r="V36" s="19" t="str">
        <x:v>搭载/配备/页面展示</x:v>
      </x:c>
      <x:c r="W36" s="19" t="str">
        <x:v>B_ENGINEERING_BASE_ONLY</x:v>
      </x:c>
      <x:c r="X36" s="19" t="str">
        <x:v>产品/发布材料证明车型采用或具备，但未逐项写明“标配”</x:v>
      </x:c>
      <x:c r="Y36" s="19" t="str">
        <x:v>2026-08-04</x:v>
      </x:c>
    </x:row>
    <x:row r="37" ht="50" customHeight="1">
      <x:c r="A37" s="391" t="str">
        <x:v>B31C-D032</x:v>
      </x:c>
      <x:c r="B37" s="391" t="str">
        <x:v>B31-F032</x:v>
      </x:c>
      <x:c r="C37" s="391" t="str">
        <x:v>PC-N90-MAX-CAND</x:v>
      </x:c>
      <x:c r="D37" s="391" t="str">
        <x:v>ambient_light_colors</x:v>
      </x:c>
      <x:c r="E37" s="391" t="str">
        <x:v>CABIN</x:v>
      </x:c>
      <x:c r="F37" s="391" t="str">
        <x:v>EQUIPPED_STANDARD_UNCONFIRMED</x:v>
      </x:c>
      <x:c r="G37" s="391" t="str">
        <x:v>DIRECT_CLAIM</x:v>
      </x:c>
      <x:c r="H37" s="391" t="str">
        <x:v>HARDWARE_ROOT</x:v>
      </x:c>
      <x:c r="I37" s="391" t="str">
        <x:v>ENGINEERING_BASE_PROVISIONAL</x:v>
      </x:c>
      <x:c r="J37" s="391" t="n">
        <x:f>IF(I37="RELEASE_STANDARD_LOCKED",1,0)</x:f>
        <x:v>0</x:v>
      </x:c>
      <x:c r="K37" s="391" t="n">
        <x:f>IF(OR(I37="RELEASE_STANDARD_LOCKED",I37="ENGINEERING_BASE_PROVISIONAL",I37="ENGINEERING_BASE_CHAPTER_SCOPE_CANDIDATE",I37="ENGINEERING_BASE_CAPABILITY"),1,0)</x:f>
        <x:v>1</x:v>
      </x:c>
      <x:c r="L37" s="391" t="n">
        <x:f>IF(AND(J37=1,H37="HARDWARE_ROOT"),1,0)</x:f>
        <x:v>0</x:v>
      </x:c>
      <x:c r="M37" s="391" t="n">
        <x:f>IF(AND(K37=1,H37="HARDWARE_ROOT"),1,0)</x:f>
        <x:v>1</x:v>
      </x:c>
      <x:c r="N37" s="391" t="n">
        <x:f>IF(COUNTIFS('62_App售价桥闸门'!$A$6:$A$9,C37,'62_App售价桥闸门'!$K$6:$K$9,1)&gt;0,1,0)</x:f>
        <x:v>0</x:v>
      </x:c>
      <x:c r="O37" s="391" t="n">
        <x:f>IF(COUNTIFS('62_App售价桥闸门'!$A$6:$A$9,C37,'62_App售价桥闸门'!$M$6:$M$9,1)&gt;0,1,0)</x:f>
        <x:v>0</x:v>
      </x:c>
      <x:c r="P37" s="391" t="str">
        <x:v>BOM_AMBIENT_LIGHT</x:v>
      </x:c>
      <x:c r="Q37" s="391" t="str">
        <x:v>氛围灯系统</x:v>
      </x:c>
      <x:c r="R37" s="391" t="str">
        <x:f>IF(M37=1,C37&amp;"|"&amp;P37,"")</x:f>
        <x:v>PC-N90-MAX-CAND|BOM_AMBIENT_LIGHT</x:v>
      </x:c>
      <x:c r="S37" s="391" t="str">
        <x:v>B31-C052</x:v>
      </x:c>
      <x:c r="T37" s="391" t="str">
        <x:v>B31_SRC_N90_WEB</x:v>
      </x:c>
      <x:c r="U37" s="391" t="str">
        <x:v>256色漫反射氛围灯</x:v>
      </x:c>
      <x:c r="V37" s="391" t="str">
        <x:v>搭载/配备/页面展示</x:v>
      </x:c>
      <x:c r="W37" s="391" t="str">
        <x:v>B_ENGINEERING_BASE_ONLY</x:v>
      </x:c>
      <x:c r="X37" s="391" t="str">
        <x:v>产品/发布材料证明车型采用或具备，但未逐项写明“标配”</x:v>
      </x:c>
      <x:c r="Y37" s="391" t="str">
        <x:v>2026-08-04</x:v>
      </x:c>
    </x:row>
    <x:row r="38" ht="50" customHeight="1">
      <x:c r="A38" s="19" t="str">
        <x:v>B31C-D033</x:v>
      </x:c>
      <x:c r="B38" s="19" t="str">
        <x:v>B31-F033</x:v>
      </x:c>
      <x:c r="C38" s="19" t="str">
        <x:v>PC-N90-MAX-CAND</x:v>
      </x:c>
      <x:c r="D38" s="19" t="str">
        <x:v>fridge_capacity</x:v>
      </x:c>
      <x:c r="E38" s="19" t="str">
        <x:v>CABIN</x:v>
      </x:c>
      <x:c r="F38" s="19" t="str">
        <x:v>EQUIPPED_STANDARD_UNCONFIRMED</x:v>
      </x:c>
      <x:c r="G38" s="19" t="str">
        <x:v>DIRECT_CLAIM</x:v>
      </x:c>
      <x:c r="H38" s="19" t="str">
        <x:v>HARDWARE_ROOT</x:v>
      </x:c>
      <x:c r="I38" s="19" t="str">
        <x:v>ENGINEERING_BASE_PROVISIONAL</x:v>
      </x:c>
      <x:c r="J38" s="19" t="n">
        <x:f>IF(I38="RELEASE_STANDARD_LOCKED",1,0)</x:f>
        <x:v>0</x:v>
      </x:c>
      <x:c r="K38" s="19" t="n">
        <x:f>IF(OR(I38="RELEASE_STANDARD_LOCKED",I38="ENGINEERING_BASE_PROVISIONAL",I38="ENGINEERING_BASE_CHAPTER_SCOPE_CANDIDATE",I38="ENGINEERING_BASE_CAPABILITY"),1,0)</x:f>
        <x:v>1</x:v>
      </x:c>
      <x:c r="L38" s="19" t="n">
        <x:f>IF(AND(J38=1,H38="HARDWARE_ROOT"),1,0)</x:f>
        <x:v>0</x:v>
      </x:c>
      <x:c r="M38" s="19" t="n">
        <x:f>IF(AND(K38=1,H38="HARDWARE_ROOT"),1,0)</x:f>
        <x:v>1</x:v>
      </x:c>
      <x:c r="N38" s="19" t="n">
        <x:f>IF(COUNTIFS('62_App售价桥闸门'!$A$6:$A$9,C38,'62_App售价桥闸门'!$K$6:$K$9,1)&gt;0,1,0)</x:f>
        <x:v>0</x:v>
      </x:c>
      <x:c r="O38" s="19" t="n">
        <x:f>IF(COUNTIFS('62_App售价桥闸门'!$A$6:$A$9,C38,'62_App售价桥闸门'!$M$6:$M$9,1)&gt;0,1,0)</x:f>
        <x:v>0</x:v>
      </x:c>
      <x:c r="P38" s="19" t="str">
        <x:v>BOM_FRIDGE</x:v>
      </x:c>
      <x:c r="Q38" s="19" t="str">
        <x:v>车载冰箱</x:v>
      </x:c>
      <x:c r="R38" s="19" t="str">
        <x:f>IF(M38=1,C38&amp;"|"&amp;P38,"")</x:f>
        <x:v>PC-N90-MAX-CAND|BOM_FRIDGE</x:v>
      </x:c>
      <x:c r="S38" s="19" t="str">
        <x:v>B31-C053</x:v>
      </x:c>
      <x:c r="T38" s="19" t="str">
        <x:v>B31_SRC_N90_WEB</x:v>
      </x:c>
      <x:c r="U38" s="19" t="str">
        <x:v>支持9L大冰箱</x:v>
      </x:c>
      <x:c r="V38" s="19" t="str">
        <x:v>搭载/配备/页面展示</x:v>
      </x:c>
      <x:c r="W38" s="19" t="str">
        <x:v>B_ENGINEERING_BASE_ONLY</x:v>
      </x:c>
      <x:c r="X38" s="19" t="str">
        <x:v>产品/发布材料证明车型采用或具备，但未逐项写明“标配”</x:v>
      </x:c>
      <x:c r="Y38" s="19" t="str">
        <x:v>2026-08-04</x:v>
      </x:c>
    </x:row>
    <x:row r="39" ht="50" customHeight="1">
      <x:c r="A39" s="391" t="str">
        <x:v>B31C-D034</x:v>
      </x:c>
      <x:c r="B39" s="391" t="str">
        <x:v>B31-F034</x:v>
      </x:c>
      <x:c r="C39" s="391" t="str">
        <x:v>PC-N90-MAX-CAND</x:v>
      </x:c>
      <x:c r="D39" s="391" t="str">
        <x:v>fridge_temperature</x:v>
      </x:c>
      <x:c r="E39" s="391" t="str">
        <x:v>CABIN</x:v>
      </x:c>
      <x:c r="F39" s="391" t="str">
        <x:v>EQUIPPED_STANDARD_UNCONFIRMED</x:v>
      </x:c>
      <x:c r="G39" s="391" t="str">
        <x:v>DIRECT_CLAIM</x:v>
      </x:c>
      <x:c r="H39" s="391" t="str">
        <x:v>HARDWARE_SUPPORT</x:v>
      </x:c>
      <x:c r="I39" s="391" t="str">
        <x:v>ENGINEERING_BASE_PROVISIONAL</x:v>
      </x:c>
      <x:c r="J39" s="391" t="n">
        <x:f>IF(I39="RELEASE_STANDARD_LOCKED",1,0)</x:f>
        <x:v>0</x:v>
      </x:c>
      <x:c r="K39" s="391" t="n">
        <x:f>IF(OR(I39="RELEASE_STANDARD_LOCKED",I39="ENGINEERING_BASE_PROVISIONAL",I39="ENGINEERING_BASE_CHAPTER_SCOPE_CANDIDATE",I39="ENGINEERING_BASE_CAPABILITY"),1,0)</x:f>
        <x:v>1</x:v>
      </x:c>
      <x:c r="L39" s="391" t="n">
        <x:f>IF(AND(J39=1,H39="HARDWARE_ROOT"),1,0)</x:f>
        <x:v>0</x:v>
      </x:c>
      <x:c r="M39" s="391" t="n">
        <x:f>IF(AND(K39=1,H39="HARDWARE_ROOT"),1,0)</x:f>
        <x:v>0</x:v>
      </x:c>
      <x:c r="N39" s="391" t="n">
        <x:f>IF(COUNTIFS('62_App售价桥闸门'!$A$6:$A$9,C39,'62_App售价桥闸门'!$K$6:$K$9,1)&gt;0,1,0)</x:f>
        <x:v>0</x:v>
      </x:c>
      <x:c r="O39" s="391" t="n">
        <x:f>IF(COUNTIFS('62_App售价桥闸门'!$A$6:$A$9,C39,'62_App售价桥闸门'!$M$6:$M$9,1)&gt;0,1,0)</x:f>
        <x:v>0</x:v>
      </x:c>
      <x:c r="P39" s="391" t="str">
        <x:v>BOM_FRIDGE</x:v>
      </x:c>
      <x:c r="Q39" s="391" t="str">
        <x:v>车载冰箱</x:v>
      </x:c>
      <x:c r="R39" s="391" t="str">
        <x:f>IF(M39=1,C39&amp;"|"&amp;P39,"")</x:f>
      </x:c>
      <x:c r="S39" s="391" t="str">
        <x:v>B31-C054</x:v>
      </x:c>
      <x:c r="T39" s="391" t="str">
        <x:v>B31_SRC_N90_WEB</x:v>
      </x:c>
      <x:c r="U39" s="391" t="str">
        <x:v>支持-6℃~15℃冷藏和35℃~50℃加热</x:v>
      </x:c>
      <x:c r="V39" s="391" t="str">
        <x:v>搭载/配备/页面展示</x:v>
      </x:c>
      <x:c r="W39" s="391" t="str">
        <x:v>B_ENGINEERING_BASE_ONLY</x:v>
      </x:c>
      <x:c r="X39" s="391" t="str">
        <x:v>产品/发布材料证明车型采用或具备，但未逐项写明“标配”</x:v>
      </x:c>
      <x:c r="Y39" s="391" t="str">
        <x:v>2026-08-04</x:v>
      </x:c>
    </x:row>
    <x:row r="40" ht="50" customHeight="1">
      <x:c r="A40" s="19" t="str">
        <x:v>B31C-D035</x:v>
      </x:c>
      <x:c r="B40" s="19" t="str">
        <x:v>B31-F035</x:v>
      </x:c>
      <x:c r="C40" s="19" t="str">
        <x:v>PC-N90-MAX-CAND</x:v>
      </x:c>
      <x:c r="D40" s="19" t="str">
        <x:v>seat_massage</x:v>
      </x:c>
      <x:c r="E40" s="19" t="str">
        <x:v>COMFORT</x:v>
      </x:c>
      <x:c r="F40" s="19" t="str">
        <x:v>EQUIPPED_STANDARD_UNCONFIRMED</x:v>
      </x:c>
      <x:c r="G40" s="19" t="str">
        <x:v>DIRECT_CLAIM</x:v>
      </x:c>
      <x:c r="H40" s="19" t="str">
        <x:v>HARDWARE_ROOT</x:v>
      </x:c>
      <x:c r="I40" s="19" t="str">
        <x:v>ENGINEERING_BASE_PROVISIONAL</x:v>
      </x:c>
      <x:c r="J40" s="19" t="n">
        <x:f>IF(I40="RELEASE_STANDARD_LOCKED",1,0)</x:f>
        <x:v>0</x:v>
      </x:c>
      <x:c r="K40" s="19" t="n">
        <x:f>IF(OR(I40="RELEASE_STANDARD_LOCKED",I40="ENGINEERING_BASE_PROVISIONAL",I40="ENGINEERING_BASE_CHAPTER_SCOPE_CANDIDATE",I40="ENGINEERING_BASE_CAPABILITY"),1,0)</x:f>
        <x:v>1</x:v>
      </x:c>
      <x:c r="L40" s="19" t="n">
        <x:f>IF(AND(J40=1,H40="HARDWARE_ROOT"),1,0)</x:f>
        <x:v>0</x:v>
      </x:c>
      <x:c r="M40" s="19" t="n">
        <x:f>IF(AND(K40=1,H40="HARDWARE_ROOT"),1,0)</x:f>
        <x:v>1</x:v>
      </x:c>
      <x:c r="N40" s="19" t="n">
        <x:f>IF(COUNTIFS('62_App售价桥闸门'!$A$6:$A$9,C40,'62_App售价桥闸门'!$K$6:$K$9,1)&gt;0,1,0)</x:f>
        <x:v>0</x:v>
      </x:c>
      <x:c r="O40" s="19" t="n">
        <x:f>IF(COUNTIFS('62_App售价桥闸门'!$A$6:$A$9,C40,'62_App售价桥闸门'!$M$6:$M$9,1)&gt;0,1,0)</x:f>
        <x:v>0</x:v>
      </x:c>
      <x:c r="P40" s="19" t="str">
        <x:v>BOM_SEAT_COMFORT</x:v>
      </x:c>
      <x:c r="Q40" s="19" t="str">
        <x:v>座椅舒适系统</x:v>
      </x:c>
      <x:c r="R40" s="19" t="str">
        <x:f>IF(M40=1,C40&amp;"|"&amp;P40,"")</x:f>
        <x:v>PC-N90-MAX-CAND|BOM_SEAT_COMFORT</x:v>
      </x:c>
      <x:c r="S40" s="19" t="str">
        <x:v>B31-C055</x:v>
      </x:c>
      <x:c r="T40" s="19" t="str">
        <x:v>B31_SRC_N90_WEB</x:v>
      </x:c>
      <x:c r="U40" s="19" t="str">
        <x:v>一二排座椅支持16点式座椅按摩</x:v>
      </x:c>
      <x:c r="V40" s="19" t="str">
        <x:v>搭载/配备/页面展示</x:v>
      </x:c>
      <x:c r="W40" s="19" t="str">
        <x:v>B_ENGINEERING_BASE_ONLY</x:v>
      </x:c>
      <x:c r="X40" s="19" t="str">
        <x:v>产品/发布材料证明车型采用或具备，但未逐项写明“标配”</x:v>
      </x:c>
      <x:c r="Y40" s="19" t="str">
        <x:v>2026-08-04</x:v>
      </x:c>
    </x:row>
    <x:row r="41" ht="50" customHeight="1">
      <x:c r="A41" s="391" t="str">
        <x:v>B31C-D036</x:v>
      </x:c>
      <x:c r="B41" s="391" t="str">
        <x:v>B31-F036</x:v>
      </x:c>
      <x:c r="C41" s="391" t="str">
        <x:v>PC-N90-MAX-CAND</x:v>
      </x:c>
      <x:c r="D41" s="391" t="str">
        <x:v>seat_vent_heat</x:v>
      </x:c>
      <x:c r="E41" s="391" t="str">
        <x:v>COMFORT</x:v>
      </x:c>
      <x:c r="F41" s="391" t="str">
        <x:v>EQUIPPED_STANDARD_UNCONFIRMED</x:v>
      </x:c>
      <x:c r="G41" s="391" t="str">
        <x:v>DIRECT_CLAIM</x:v>
      </x:c>
      <x:c r="H41" s="391" t="str">
        <x:v>HARDWARE_SUPPORT</x:v>
      </x:c>
      <x:c r="I41" s="391" t="str">
        <x:v>ENGINEERING_BASE_PROVISIONAL</x:v>
      </x:c>
      <x:c r="J41" s="391" t="n">
        <x:f>IF(I41="RELEASE_STANDARD_LOCKED",1,0)</x:f>
        <x:v>0</x:v>
      </x:c>
      <x:c r="K41" s="391" t="n">
        <x:f>IF(OR(I41="RELEASE_STANDARD_LOCKED",I41="ENGINEERING_BASE_PROVISIONAL",I41="ENGINEERING_BASE_CHAPTER_SCOPE_CANDIDATE",I41="ENGINEERING_BASE_CAPABILITY"),1,0)</x:f>
        <x:v>1</x:v>
      </x:c>
      <x:c r="L41" s="391" t="n">
        <x:f>IF(AND(J41=1,H41="HARDWARE_ROOT"),1,0)</x:f>
        <x:v>0</x:v>
      </x:c>
      <x:c r="M41" s="391" t="n">
        <x:f>IF(AND(K41=1,H41="HARDWARE_ROOT"),1,0)</x:f>
        <x:v>0</x:v>
      </x:c>
      <x:c r="N41" s="391" t="n">
        <x:f>IF(COUNTIFS('62_App售价桥闸门'!$A$6:$A$9,C41,'62_App售价桥闸门'!$K$6:$K$9,1)&gt;0,1,0)</x:f>
        <x:v>0</x:v>
      </x:c>
      <x:c r="O41" s="391" t="n">
        <x:f>IF(COUNTIFS('62_App售价桥闸门'!$A$6:$A$9,C41,'62_App售价桥闸门'!$M$6:$M$9,1)&gt;0,1,0)</x:f>
        <x:v>0</x:v>
      </x:c>
      <x:c r="P41" s="391" t="str">
        <x:v>BOM_SEAT_COMFORT</x:v>
      </x:c>
      <x:c r="Q41" s="391" t="str">
        <x:v>座椅舒适系统</x:v>
      </x:c>
      <x:c r="R41" s="391" t="str">
        <x:f>IF(M41=1,C41&amp;"|"&amp;P41,"")</x:f>
      </x:c>
      <x:c r="S41" s="391" t="str">
        <x:v>B31-C056</x:v>
      </x:c>
      <x:c r="T41" s="391" t="str">
        <x:v>B31_SRC_N90_WEB</x:v>
      </x:c>
      <x:c r="U41" s="391" t="str">
        <x:v>一二排座椅支持通风加热</x:v>
      </x:c>
      <x:c r="V41" s="391" t="str">
        <x:v>搭载/配备/页面展示</x:v>
      </x:c>
      <x:c r="W41" s="391" t="str">
        <x:v>B_ENGINEERING_BASE_ONLY</x:v>
      </x:c>
      <x:c r="X41" s="391" t="str">
        <x:v>产品/发布材料证明车型采用或具备，但未逐项写明“标配”</x:v>
      </x:c>
      <x:c r="Y41" s="391" t="str">
        <x:v>2026-08-04</x:v>
      </x:c>
    </x:row>
    <x:row r="42" ht="50" customHeight="1">
      <x:c r="A42" s="19" t="str">
        <x:v>B31C-D037</x:v>
      </x:c>
      <x:c r="B42" s="19" t="str">
        <x:v>B31-F037</x:v>
      </x:c>
      <x:c r="C42" s="19" t="str">
        <x:v>PC-N90-MAX-CAND</x:v>
      </x:c>
      <x:c r="D42" s="19" t="str">
        <x:v>heat_pump_hvac</x:v>
      </x:c>
      <x:c r="E42" s="19" t="str">
        <x:v>COMFORT</x:v>
      </x:c>
      <x:c r="F42" s="19" t="str">
        <x:v>EQUIPPED_STANDARD_UNCONFIRMED</x:v>
      </x:c>
      <x:c r="G42" s="19" t="str">
        <x:v>DIRECT_CLAIM</x:v>
      </x:c>
      <x:c r="H42" s="19" t="str">
        <x:v>HARDWARE_ROOT</x:v>
      </x:c>
      <x:c r="I42" s="19" t="str">
        <x:v>ENGINEERING_BASE_PROVISIONAL</x:v>
      </x:c>
      <x:c r="J42" s="19" t="n">
        <x:f>IF(I42="RELEASE_STANDARD_LOCKED",1,0)</x:f>
        <x:v>0</x:v>
      </x:c>
      <x:c r="K42" s="19" t="n">
        <x:f>IF(OR(I42="RELEASE_STANDARD_LOCKED",I42="ENGINEERING_BASE_PROVISIONAL",I42="ENGINEERING_BASE_CHAPTER_SCOPE_CANDIDATE",I42="ENGINEERING_BASE_CAPABILITY"),1,0)</x:f>
        <x:v>1</x:v>
      </x:c>
      <x:c r="L42" s="19" t="n">
        <x:f>IF(AND(J42=1,H42="HARDWARE_ROOT"),1,0)</x:f>
        <x:v>0</x:v>
      </x:c>
      <x:c r="M42" s="19" t="n">
        <x:f>IF(AND(K42=1,H42="HARDWARE_ROOT"),1,0)</x:f>
        <x:v>1</x:v>
      </x:c>
      <x:c r="N42" s="19" t="n">
        <x:f>IF(COUNTIFS('62_App售价桥闸门'!$A$6:$A$9,C42,'62_App售价桥闸门'!$K$6:$K$9,1)&gt;0,1,0)</x:f>
        <x:v>0</x:v>
      </x:c>
      <x:c r="O42" s="19" t="n">
        <x:f>IF(COUNTIFS('62_App售价桥闸门'!$A$6:$A$9,C42,'62_App售价桥闸门'!$M$6:$M$9,1)&gt;0,1,0)</x:f>
        <x:v>0</x:v>
      </x:c>
      <x:c r="P42" s="19" t="str">
        <x:v>BOM_HVAC</x:v>
      </x:c>
      <x:c r="Q42" s="19" t="str">
        <x:v>热泵空调与分区温控</x:v>
      </x:c>
      <x:c r="R42" s="19" t="str">
        <x:f>IF(M42=1,C42&amp;"|"&amp;P42,"")</x:f>
        <x:v>PC-N90-MAX-CAND|BOM_HVAC</x:v>
      </x:c>
      <x:c r="S42" s="19" t="str">
        <x:v>B31-C057</x:v>
      </x:c>
      <x:c r="T42" s="19" t="str">
        <x:v>B31_SRC_N90_WEB</x:v>
      </x:c>
      <x:c r="U42" s="19" t="str">
        <x:v>热泵空调，12个面部+5个脚部出风口，三分区独立调温</x:v>
      </x:c>
      <x:c r="V42" s="19" t="str">
        <x:v>搭载/配备/页面展示</x:v>
      </x:c>
      <x:c r="W42" s="19" t="str">
        <x:v>B_ENGINEERING_BASE_ONLY</x:v>
      </x:c>
      <x:c r="X42" s="19" t="str">
        <x:v>产品/发布材料证明车型采用或具备，但未逐项写明“标配”</x:v>
      </x:c>
      <x:c r="Y42" s="19" t="str">
        <x:v>2026-08-04</x:v>
      </x:c>
    </x:row>
    <x:row r="43" ht="50" customHeight="1">
      <x:c r="A43" s="391" t="str">
        <x:v>B31C-D038</x:v>
      </x:c>
      <x:c r="B43" s="391" t="str">
        <x:v>B31-F038</x:v>
      </x:c>
      <x:c r="C43" s="391" t="str">
        <x:v>PC-N90-MAX-CAND</x:v>
      </x:c>
      <x:c r="D43" s="391" t="str">
        <x:v>speaker_count</x:v>
      </x:c>
      <x:c r="E43" s="391" t="str">
        <x:v>CABIN</x:v>
      </x:c>
      <x:c r="F43" s="391" t="str">
        <x:v>EQUIPPED_STANDARD_UNCONFIRMED</x:v>
      </x:c>
      <x:c r="G43" s="391" t="str">
        <x:v>DIRECT_CLAIM</x:v>
      </x:c>
      <x:c r="H43" s="391" t="str">
        <x:v>HARDWARE_ROOT</x:v>
      </x:c>
      <x:c r="I43" s="391" t="str">
        <x:v>ENGINEERING_BASE_PROVISIONAL</x:v>
      </x:c>
      <x:c r="J43" s="391" t="n">
        <x:f>IF(I43="RELEASE_STANDARD_LOCKED",1,0)</x:f>
        <x:v>0</x:v>
      </x:c>
      <x:c r="K43" s="391" t="n">
        <x:f>IF(OR(I43="RELEASE_STANDARD_LOCKED",I43="ENGINEERING_BASE_PROVISIONAL",I43="ENGINEERING_BASE_CHAPTER_SCOPE_CANDIDATE",I43="ENGINEERING_BASE_CAPABILITY"),1,0)</x:f>
        <x:v>1</x:v>
      </x:c>
      <x:c r="L43" s="391" t="n">
        <x:f>IF(AND(J43=1,H43="HARDWARE_ROOT"),1,0)</x:f>
        <x:v>0</x:v>
      </x:c>
      <x:c r="M43" s="391" t="n">
        <x:f>IF(AND(K43=1,H43="HARDWARE_ROOT"),1,0)</x:f>
        <x:v>1</x:v>
      </x:c>
      <x:c r="N43" s="391" t="n">
        <x:f>IF(COUNTIFS('62_App售价桥闸门'!$A$6:$A$9,C43,'62_App售价桥闸门'!$K$6:$K$9,1)&gt;0,1,0)</x:f>
        <x:v>0</x:v>
      </x:c>
      <x:c r="O43" s="391" t="n">
        <x:f>IF(COUNTIFS('62_App售价桥闸门'!$A$6:$A$9,C43,'62_App售价桥闸门'!$M$6:$M$9,1)&gt;0,1,0)</x:f>
        <x:v>0</x:v>
      </x:c>
      <x:c r="P43" s="391" t="str">
        <x:v>BOM_AUDIO</x:v>
      </x:c>
      <x:c r="Q43" s="391" t="str">
        <x:v>车载音响系统</x:v>
      </x:c>
      <x:c r="R43" s="391" t="str">
        <x:f>IF(M43=1,C43&amp;"|"&amp;P43,"")</x:f>
        <x:v>PC-N90-MAX-CAND|BOM_AUDIO</x:v>
      </x:c>
      <x:c r="S43" s="391" t="str">
        <x:v>B31-C058</x:v>
      </x:c>
      <x:c r="T43" s="391" t="str">
        <x:v>B31_SRC_N90_WEB</x:v>
      </x:c>
      <x:c r="U43" s="391" t="str">
        <x:v>25个高品质扬声器，7.1.4声学架构</x:v>
      </x:c>
      <x:c r="V43" s="391" t="str">
        <x:v>搭载/配备/页面展示</x:v>
      </x:c>
      <x:c r="W43" s="391" t="str">
        <x:v>B_ENGINEERING_BASE_ONLY</x:v>
      </x:c>
      <x:c r="X43" s="391" t="str">
        <x:v>产品/发布材料证明车型采用或具备，但未逐项写明“标配”</x:v>
      </x:c>
      <x:c r="Y43" s="391" t="str">
        <x:v>2026-08-04</x:v>
      </x:c>
    </x:row>
    <x:row r="44" ht="50" customHeight="1">
      <x:c r="A44" s="19" t="str">
        <x:v>B31C-D039</x:v>
      </x:c>
      <x:c r="B44" s="19" t="str">
        <x:v>B31-F039</x:v>
      </x:c>
      <x:c r="C44" s="19" t="str">
        <x:v>PC-N90-MAX-CAND</x:v>
      </x:c>
      <x:c r="D44" s="19" t="str">
        <x:v>audio_peak_power</x:v>
      </x:c>
      <x:c r="E44" s="19" t="str">
        <x:v>CABIN</x:v>
      </x:c>
      <x:c r="F44" s="19" t="str">
        <x:v>EQUIPPED_STANDARD_UNCONFIRMED</x:v>
      </x:c>
      <x:c r="G44" s="19" t="str">
        <x:v>DIRECT_CLAIM</x:v>
      </x:c>
      <x:c r="H44" s="19" t="str">
        <x:v>HARDWARE_SUPPORT</x:v>
      </x:c>
      <x:c r="I44" s="19" t="str">
        <x:v>ENGINEERING_BASE_PROVISIONAL</x:v>
      </x:c>
      <x:c r="J44" s="19" t="n">
        <x:f>IF(I44="RELEASE_STANDARD_LOCKED",1,0)</x:f>
        <x:v>0</x:v>
      </x:c>
      <x:c r="K44" s="19" t="n">
        <x:f>IF(OR(I44="RELEASE_STANDARD_LOCKED",I44="ENGINEERING_BASE_PROVISIONAL",I44="ENGINEERING_BASE_CHAPTER_SCOPE_CANDIDATE",I44="ENGINEERING_BASE_CAPABILITY"),1,0)</x:f>
        <x:v>1</x:v>
      </x:c>
      <x:c r="L44" s="19" t="n">
        <x:f>IF(AND(J44=1,H44="HARDWARE_ROOT"),1,0)</x:f>
        <x:v>0</x:v>
      </x:c>
      <x:c r="M44" s="19" t="n">
        <x:f>IF(AND(K44=1,H44="HARDWARE_ROOT"),1,0)</x:f>
        <x:v>0</x:v>
      </x:c>
      <x:c r="N44" s="19" t="n">
        <x:f>IF(COUNTIFS('62_App售价桥闸门'!$A$6:$A$9,C44,'62_App售价桥闸门'!$K$6:$K$9,1)&gt;0,1,0)</x:f>
        <x:v>0</x:v>
      </x:c>
      <x:c r="O44" s="19" t="n">
        <x:f>IF(COUNTIFS('62_App售价桥闸门'!$A$6:$A$9,C44,'62_App售价桥闸门'!$M$6:$M$9,1)&gt;0,1,0)</x:f>
        <x:v>0</x:v>
      </x:c>
      <x:c r="P44" s="19" t="str">
        <x:v>BOM_AUDIO</x:v>
      </x:c>
      <x:c r="Q44" s="19" t="str">
        <x:v>车载音响系统</x:v>
      </x:c>
      <x:c r="R44" s="19" t="str">
        <x:f>IF(M44=1,C44&amp;"|"&amp;P44,"")</x:f>
      </x:c>
      <x:c r="S44" s="19" t="str">
        <x:v>B31-C059</x:v>
      </x:c>
      <x:c r="T44" s="19" t="str">
        <x:v>B31_SRC_N90_WEB</x:v>
      </x:c>
      <x:c r="U44" s="19" t="str">
        <x:v>峰值功率4890W</x:v>
      </x:c>
      <x:c r="V44" s="19" t="str">
        <x:v>搭载/配备/页面展示</x:v>
      </x:c>
      <x:c r="W44" s="19" t="str">
        <x:v>B_ENGINEERING_BASE_ONLY</x:v>
      </x:c>
      <x:c r="X44" s="19" t="str">
        <x:v>产品/发布材料证明车型采用或具备，但未逐项写明“标配”</x:v>
      </x:c>
      <x:c r="Y44" s="19" t="str">
        <x:v>2026-08-04</x:v>
      </x:c>
    </x:row>
    <x:row r="45" ht="50" customHeight="1">
      <x:c r="A45" s="391" t="str">
        <x:v>B31C-D040</x:v>
      </x:c>
      <x:c r="B45" s="391" t="str">
        <x:v>B31-F040</x:v>
      </x:c>
      <x:c r="C45" s="391" t="str">
        <x:v>PC-N90-MAX-CAND</x:v>
      </x:c>
      <x:c r="D45" s="391" t="str">
        <x:v>ecosystem_ports</x:v>
      </x:c>
      <x:c r="E45" s="391" t="str">
        <x:v>CABIN</x:v>
      </x:c>
      <x:c r="F45" s="391" t="str">
        <x:v>EQUIPPED_STANDARD_UNCONFIRMED</x:v>
      </x:c>
      <x:c r="G45" s="391" t="str">
        <x:v>DIRECT_CLAIM</x:v>
      </x:c>
      <x:c r="H45" s="391" t="str">
        <x:v>HARDWARE_ROOT</x:v>
      </x:c>
      <x:c r="I45" s="391" t="str">
        <x:v>ENGINEERING_BASE_PROVISIONAL</x:v>
      </x:c>
      <x:c r="J45" s="391" t="n">
        <x:f>IF(I45="RELEASE_STANDARD_LOCKED",1,0)</x:f>
        <x:v>0</x:v>
      </x:c>
      <x:c r="K45" s="391" t="n">
        <x:f>IF(OR(I45="RELEASE_STANDARD_LOCKED",I45="ENGINEERING_BASE_PROVISIONAL",I45="ENGINEERING_BASE_CHAPTER_SCOPE_CANDIDATE",I45="ENGINEERING_BASE_CAPABILITY"),1,0)</x:f>
        <x:v>1</x:v>
      </x:c>
      <x:c r="L45" s="391" t="n">
        <x:f>IF(AND(J45=1,H45="HARDWARE_ROOT"),1,0)</x:f>
        <x:v>0</x:v>
      </x:c>
      <x:c r="M45" s="391" t="n">
        <x:f>IF(AND(K45=1,H45="HARDWARE_ROOT"),1,0)</x:f>
        <x:v>1</x:v>
      </x:c>
      <x:c r="N45" s="391" t="n">
        <x:f>IF(COUNTIFS('62_App售价桥闸门'!$A$6:$A$9,C45,'62_App售价桥闸门'!$K$6:$K$9,1)&gt;0,1,0)</x:f>
        <x:v>0</x:v>
      </x:c>
      <x:c r="O45" s="391" t="n">
        <x:f>IF(COUNTIFS('62_App售价桥闸门'!$A$6:$A$9,C45,'62_App售价桥闸门'!$M$6:$M$9,1)&gt;0,1,0)</x:f>
        <x:v>0</x:v>
      </x:c>
      <x:c r="P45" s="391" t="str">
        <x:v>BOM_CABIN_PORTS</x:v>
      </x:c>
      <x:c r="Q45" s="391" t="str">
        <x:v>座舱生态与电源接口</x:v>
      </x:c>
      <x:c r="R45" s="391" t="str">
        <x:f>IF(M45=1,C45&amp;"|"&amp;P45,"")</x:f>
        <x:v>PC-N90-MAX-CAND|BOM_CABIN_PORTS</x:v>
      </x:c>
      <x:c r="S45" s="391" t="str">
        <x:v>B31-C060</x:v>
      </x:c>
      <x:c r="T45" s="391" t="str">
        <x:v>B31_SRC_N90_WEB</x:v>
      </x:c>
      <x:c r="U45" s="391" t="str">
        <x:v>全车12个生态接口</x:v>
      </x:c>
      <x:c r="V45" s="391" t="str">
        <x:v>搭载/配备/页面展示</x:v>
      </x:c>
      <x:c r="W45" s="391" t="str">
        <x:v>B_ENGINEERING_BASE_ONLY</x:v>
      </x:c>
      <x:c r="X45" s="391" t="str">
        <x:v>产品/发布材料证明车型采用或具备，但未逐项写明“标配”</x:v>
      </x:c>
      <x:c r="Y45" s="391" t="str">
        <x:v>2026-08-04</x:v>
      </x:c>
    </x:row>
    <x:row r="46" ht="50" customHeight="1">
      <x:c r="A46" s="19" t="str">
        <x:v>B31C-D041</x:v>
      </x:c>
      <x:c r="B46" s="19" t="str">
        <x:v>B31-F041</x:v>
      </x:c>
      <x:c r="C46" s="19" t="str">
        <x:v>PC-N90-MAX-CAND</x:v>
      </x:c>
      <x:c r="D46" s="19" t="str">
        <x:v>power_ports</x:v>
      </x:c>
      <x:c r="E46" s="19" t="str">
        <x:v>CABIN</x:v>
      </x:c>
      <x:c r="F46" s="19" t="str">
        <x:v>EQUIPPED_STANDARD_UNCONFIRMED</x:v>
      </x:c>
      <x:c r="G46" s="19" t="str">
        <x:v>DIRECT_CLAIM</x:v>
      </x:c>
      <x:c r="H46" s="19" t="str">
        <x:v>HARDWARE_SUPPORT</x:v>
      </x:c>
      <x:c r="I46" s="19" t="str">
        <x:v>ENGINEERING_BASE_PROVISIONAL</x:v>
      </x:c>
      <x:c r="J46" s="19" t="n">
        <x:f>IF(I46="RELEASE_STANDARD_LOCKED",1,0)</x:f>
        <x:v>0</x:v>
      </x:c>
      <x:c r="K46" s="19" t="n">
        <x:f>IF(OR(I46="RELEASE_STANDARD_LOCKED",I46="ENGINEERING_BASE_PROVISIONAL",I46="ENGINEERING_BASE_CHAPTER_SCOPE_CANDIDATE",I46="ENGINEERING_BASE_CAPABILITY"),1,0)</x:f>
        <x:v>1</x:v>
      </x:c>
      <x:c r="L46" s="19" t="n">
        <x:f>IF(AND(J46=1,H46="HARDWARE_ROOT"),1,0)</x:f>
        <x:v>0</x:v>
      </x:c>
      <x:c r="M46" s="19" t="n">
        <x:f>IF(AND(K46=1,H46="HARDWARE_ROOT"),1,0)</x:f>
        <x:v>0</x:v>
      </x:c>
      <x:c r="N46" s="19" t="n">
        <x:f>IF(COUNTIFS('62_App售价桥闸门'!$A$6:$A$9,C46,'62_App售价桥闸门'!$K$6:$K$9,1)&gt;0,1,0)</x:f>
        <x:v>0</x:v>
      </x:c>
      <x:c r="O46" s="19" t="n">
        <x:f>IF(COUNTIFS('62_App售价桥闸门'!$A$6:$A$9,C46,'62_App售价桥闸门'!$M$6:$M$9,1)&gt;0,1,0)</x:f>
        <x:v>0</x:v>
      </x:c>
      <x:c r="P46" s="19" t="str">
        <x:v>BOM_CABIN_PORTS</x:v>
      </x:c>
      <x:c r="Q46" s="19" t="str">
        <x:v>座舱生态与电源接口</x:v>
      </x:c>
      <x:c r="R46" s="19" t="str">
        <x:f>IF(M46=1,C46&amp;"|"&amp;P46,"")</x:f>
      </x:c>
      <x:c r="S46" s="19" t="str">
        <x:v>B31-C061</x:v>
      </x:c>
      <x:c r="T46" s="19" t="str">
        <x:v>B31_SRC_N90_WEB</x:v>
      </x:c>
      <x:c r="U46" s="19" t="str">
        <x:v>全车14个电源接口</x:v>
      </x:c>
      <x:c r="V46" s="19" t="str">
        <x:v>搭载/配备/页面展示</x:v>
      </x:c>
      <x:c r="W46" s="19" t="str">
        <x:v>B_ENGINEERING_BASE_ONLY</x:v>
      </x:c>
      <x:c r="X46" s="19" t="str">
        <x:v>产品/发布材料证明车型采用或具备，但未逐项写明“标配”</x:v>
      </x:c>
      <x:c r="Y46" s="19" t="str">
        <x:v>2026-08-04</x:v>
      </x:c>
    </x:row>
    <x:row r="47" ht="50" customHeight="1">
      <x:c r="A47" s="391" t="str">
        <x:v>B31C-D042</x:v>
      </x:c>
      <x:c r="B47" s="391" t="str">
        <x:v>B31-F042</x:v>
      </x:c>
      <x:c r="C47" s="391" t="str">
        <x:v>PC-N90-MAX-CAND</x:v>
      </x:c>
      <x:c r="D47" s="391" t="str">
        <x:v>cabin_220v</x:v>
      </x:c>
      <x:c r="E47" s="391" t="str">
        <x:v>CABIN</x:v>
      </x:c>
      <x:c r="F47" s="391" t="str">
        <x:v>EQUIPPED_STANDARD_UNCONFIRMED</x:v>
      </x:c>
      <x:c r="G47" s="391" t="str">
        <x:v>DIRECT_CLAIM</x:v>
      </x:c>
      <x:c r="H47" s="391" t="str">
        <x:v>HARDWARE_ROOT</x:v>
      </x:c>
      <x:c r="I47" s="391" t="str">
        <x:v>ENGINEERING_BASE_PROVISIONAL</x:v>
      </x:c>
      <x:c r="J47" s="391" t="n">
        <x:f>IF(I47="RELEASE_STANDARD_LOCKED",1,0)</x:f>
        <x:v>0</x:v>
      </x:c>
      <x:c r="K47" s="391" t="n">
        <x:f>IF(OR(I47="RELEASE_STANDARD_LOCKED",I47="ENGINEERING_BASE_PROVISIONAL",I47="ENGINEERING_BASE_CHAPTER_SCOPE_CANDIDATE",I47="ENGINEERING_BASE_CAPABILITY"),1,0)</x:f>
        <x:v>1</x:v>
      </x:c>
      <x:c r="L47" s="391" t="n">
        <x:f>IF(AND(J47=1,H47="HARDWARE_ROOT"),1,0)</x:f>
        <x:v>0</x:v>
      </x:c>
      <x:c r="M47" s="391" t="n">
        <x:f>IF(AND(K47=1,H47="HARDWARE_ROOT"),1,0)</x:f>
        <x:v>1</x:v>
      </x:c>
      <x:c r="N47" s="391" t="n">
        <x:f>IF(COUNTIFS('62_App售价桥闸门'!$A$6:$A$9,C47,'62_App售价桥闸门'!$K$6:$K$9,1)&gt;0,1,0)</x:f>
        <x:v>0</x:v>
      </x:c>
      <x:c r="O47" s="391" t="n">
        <x:f>IF(COUNTIFS('62_App售价桥闸门'!$A$6:$A$9,C47,'62_App售价桥闸门'!$M$6:$M$9,1)&gt;0,1,0)</x:f>
        <x:v>0</x:v>
      </x:c>
      <x:c r="P47" s="391" t="str">
        <x:v>BOM_CABIN_220V</x:v>
      </x:c>
      <x:c r="Q47" s="391" t="str">
        <x:v>车内220V供电</x:v>
      </x:c>
      <x:c r="R47" s="391" t="str">
        <x:f>IF(M47=1,C47&amp;"|"&amp;P47,"")</x:f>
        <x:v>PC-N90-MAX-CAND|BOM_CABIN_220V</x:v>
      </x:c>
      <x:c r="S47" s="391" t="str">
        <x:v>B31-C062</x:v>
      </x:c>
      <x:c r="T47" s="391" t="str">
        <x:v>B31_SRC_N90_WEB</x:v>
      </x:c>
      <x:c r="U47" s="391" t="str">
        <x:v>支持220V电源输出</x:v>
      </x:c>
      <x:c r="V47" s="391" t="str">
        <x:v>搭载/配备/页面展示</x:v>
      </x:c>
      <x:c r="W47" s="391" t="str">
        <x:v>B_ENGINEERING_BASE_ONLY</x:v>
      </x:c>
      <x:c r="X47" s="391" t="str">
        <x:v>产品/发布材料证明车型采用或具备，但未逐项写明“标配”</x:v>
      </x:c>
      <x:c r="Y47" s="391" t="str">
        <x:v>2026-08-04</x:v>
      </x:c>
    </x:row>
    <x:row r="48" ht="50" customHeight="1">
      <x:c r="A48" s="19" t="str">
        <x:v>B31C-D043</x:v>
      </x:c>
      <x:c r="B48" s="19" t="str">
        <x:v>B31-F043</x:v>
      </x:c>
      <x:c r="C48" s="19" t="str">
        <x:v>PC-N90-MAX-CAND</x:v>
      </x:c>
      <x:c r="D48" s="19" t="str">
        <x:v>drive_layout</x:v>
      </x:c>
      <x:c r="E48" s="19" t="str">
        <x:v>POWERTRAIN</x:v>
      </x:c>
      <x:c r="F48" s="19" t="str">
        <x:v>EQUIPPED_STANDARD_UNCONFIRMED</x:v>
      </x:c>
      <x:c r="G48" s="19" t="str">
        <x:v>DIRECT_CLAIM</x:v>
      </x:c>
      <x:c r="H48" s="19" t="str">
        <x:v>HARDWARE_ROOT</x:v>
      </x:c>
      <x:c r="I48" s="19" t="str">
        <x:v>ENGINEERING_BASE_PROVISIONAL</x:v>
      </x:c>
      <x:c r="J48" s="19" t="n">
        <x:f>IF(I48="RELEASE_STANDARD_LOCKED",1,0)</x:f>
        <x:v>0</x:v>
      </x:c>
      <x:c r="K48" s="19" t="n">
        <x:f>IF(OR(I48="RELEASE_STANDARD_LOCKED",I48="ENGINEERING_BASE_PROVISIONAL",I48="ENGINEERING_BASE_CHAPTER_SCOPE_CANDIDATE",I48="ENGINEERING_BASE_CAPABILITY"),1,0)</x:f>
        <x:v>1</x:v>
      </x:c>
      <x:c r="L48" s="19" t="n">
        <x:f>IF(AND(J48=1,H48="HARDWARE_ROOT"),1,0)</x:f>
        <x:v>0</x:v>
      </x:c>
      <x:c r="M48" s="19" t="n">
        <x:f>IF(AND(K48=1,H48="HARDWARE_ROOT"),1,0)</x:f>
        <x:v>1</x:v>
      </x:c>
      <x:c r="N48" s="19" t="n">
        <x:f>IF(COUNTIFS('62_App售价桥闸门'!$A$6:$A$9,C48,'62_App售价桥闸门'!$K$6:$K$9,1)&gt;0,1,0)</x:f>
        <x:v>0</x:v>
      </x:c>
      <x:c r="O48" s="19" t="n">
        <x:f>IF(COUNTIFS('62_App售价桥闸门'!$A$6:$A$9,C48,'62_App售价桥闸门'!$M$6:$M$9,1)&gt;0,1,0)</x:f>
        <x:v>0</x:v>
      </x:c>
      <x:c r="P48" s="19" t="str">
        <x:v>BOM_E_DRIVE</x:v>
      </x:c>
      <x:c r="Q48" s="19" t="str">
        <x:v>双电机四驱电驱总成</x:v>
      </x:c>
      <x:c r="R48" s="19" t="str">
        <x:f>IF(M48=1,C48&amp;"|"&amp;P48,"")</x:f>
        <x:v>PC-N90-MAX-CAND|BOM_E_DRIVE</x:v>
      </x:c>
      <x:c r="S48" s="19" t="str">
        <x:v>B31-C063</x:v>
      </x:c>
      <x:c r="T48" s="19" t="str">
        <x:v>B31_SRC_N90_WEB</x:v>
      </x:c>
      <x:c r="U48" s="19" t="str">
        <x:v>双电机四驱</x:v>
      </x:c>
      <x:c r="V48" s="19" t="str">
        <x:v>搭载/配备/页面展示</x:v>
      </x:c>
      <x:c r="W48" s="19" t="str">
        <x:v>B_ENGINEERING_BASE_ONLY</x:v>
      </x:c>
      <x:c r="X48" s="19" t="str">
        <x:v>产品/发布材料证明车型采用或具备，但未逐项写明“标配”</x:v>
      </x:c>
      <x:c r="Y48" s="19" t="str">
        <x:v>2026-08-04</x:v>
      </x:c>
    </x:row>
    <x:row r="49" ht="50" customHeight="1">
      <x:c r="A49" s="391" t="str">
        <x:v>B31C-D044</x:v>
      </x:c>
      <x:c r="B49" s="391" t="str">
        <x:v>B31-F044</x:v>
      </x:c>
      <x:c r="C49" s="391" t="str">
        <x:v>PC-N90-MAX-CAND</x:v>
      </x:c>
      <x:c r="D49" s="391" t="str">
        <x:v>peak_power_total</x:v>
      </x:c>
      <x:c r="E49" s="391" t="str">
        <x:v>POWERTRAIN</x:v>
      </x:c>
      <x:c r="F49" s="391" t="str">
        <x:v>EQUIPPED_STANDARD_UNCONFIRMED</x:v>
      </x:c>
      <x:c r="G49" s="391" t="str">
        <x:v>DIRECT_CLAIM</x:v>
      </x:c>
      <x:c r="H49" s="391" t="str">
        <x:v>SPEC_METRIC</x:v>
      </x:c>
      <x:c r="I49" s="391" t="str">
        <x:v>ENGINEERING_BASE_PROVISIONAL</x:v>
      </x:c>
      <x:c r="J49" s="391" t="n">
        <x:f>IF(I49="RELEASE_STANDARD_LOCKED",1,0)</x:f>
        <x:v>0</x:v>
      </x:c>
      <x:c r="K49" s="391" t="n">
        <x:f>IF(OR(I49="RELEASE_STANDARD_LOCKED",I49="ENGINEERING_BASE_PROVISIONAL",I49="ENGINEERING_BASE_CHAPTER_SCOPE_CANDIDATE",I49="ENGINEERING_BASE_CAPABILITY"),1,0)</x:f>
        <x:v>1</x:v>
      </x:c>
      <x:c r="L49" s="391" t="n">
        <x:f>IF(AND(J49=1,H49="HARDWARE_ROOT"),1,0)</x:f>
        <x:v>0</x:v>
      </x:c>
      <x:c r="M49" s="391" t="n">
        <x:f>IF(AND(K49=1,H49="HARDWARE_ROOT"),1,0)</x:f>
        <x:v>0</x:v>
      </x:c>
      <x:c r="N49" s="391" t="n">
        <x:f>IF(COUNTIFS('62_App售价桥闸门'!$A$6:$A$9,C49,'62_App售价桥闸门'!$K$6:$K$9,1)&gt;0,1,0)</x:f>
        <x:v>0</x:v>
      </x:c>
      <x:c r="O49" s="391" t="n">
        <x:f>IF(COUNTIFS('62_App售价桥闸门'!$A$6:$A$9,C49,'62_App售价桥闸门'!$M$6:$M$9,1)&gt;0,1,0)</x:f>
        <x:v>0</x:v>
      </x:c>
      <x:c r="P49" s="391" t="str">
        <x:v>BOM_E_DRIVE</x:v>
      </x:c>
      <x:c r="Q49" s="391" t="str">
        <x:v>双电机四驱电驱总成</x:v>
      </x:c>
      <x:c r="R49" s="391" t="str">
        <x:f>IF(M49=1,C49&amp;"|"&amp;P49,"")</x:f>
      </x:c>
      <x:c r="S49" s="391" t="str">
        <x:v>B31-C064</x:v>
      </x:c>
      <x:c r="T49" s="391" t="str">
        <x:v>B31_SRC_N90_WEB</x:v>
      </x:c>
      <x:c r="U49" s="391" t="str">
        <x:v>310kW峰值功率</x:v>
      </x:c>
      <x:c r="V49" s="391" t="str">
        <x:v>搭载/配备/页面展示</x:v>
      </x:c>
      <x:c r="W49" s="391" t="str">
        <x:v>B_ENGINEERING_BASE_ONLY</x:v>
      </x:c>
      <x:c r="X49" s="391" t="str">
        <x:v>产品/发布材料证明车型采用或具备，但未逐项写明“标配”</x:v>
      </x:c>
      <x:c r="Y49" s="391" t="str">
        <x:v>2026-08-04</x:v>
      </x:c>
    </x:row>
    <x:row r="50" ht="50" customHeight="1">
      <x:c r="A50" s="19" t="str">
        <x:v>B31C-D045</x:v>
      </x:c>
      <x:c r="B50" s="19" t="str">
        <x:v>B31-F045</x:v>
      </x:c>
      <x:c r="C50" s="19" t="str">
        <x:v>PC-N90-MAX-CAND</x:v>
      </x:c>
      <x:c r="D50" s="19" t="str">
        <x:v>zero_to_100</x:v>
      </x:c>
      <x:c r="E50" s="19" t="str">
        <x:v>POWERTRAIN</x:v>
      </x:c>
      <x:c r="F50" s="19" t="str">
        <x:v>EQUIPPED_STANDARD_UNCONFIRMED</x:v>
      </x:c>
      <x:c r="G50" s="19" t="str">
        <x:v>DIRECT_CLAIM</x:v>
      </x:c>
      <x:c r="H50" s="19" t="str">
        <x:v>SPEC_METRIC</x:v>
      </x:c>
      <x:c r="I50" s="19" t="str">
        <x:v>ENGINEERING_BASE_PROVISIONAL</x:v>
      </x:c>
      <x:c r="J50" s="19" t="n">
        <x:f>IF(I50="RELEASE_STANDARD_LOCKED",1,0)</x:f>
        <x:v>0</x:v>
      </x:c>
      <x:c r="K50" s="19" t="n">
        <x:f>IF(OR(I50="RELEASE_STANDARD_LOCKED",I50="ENGINEERING_BASE_PROVISIONAL",I50="ENGINEERING_BASE_CHAPTER_SCOPE_CANDIDATE",I50="ENGINEERING_BASE_CAPABILITY"),1,0)</x:f>
        <x:v>1</x:v>
      </x:c>
      <x:c r="L50" s="19" t="n">
        <x:f>IF(AND(J50=1,H50="HARDWARE_ROOT"),1,0)</x:f>
        <x:v>0</x:v>
      </x:c>
      <x:c r="M50" s="19" t="n">
        <x:f>IF(AND(K50=1,H50="HARDWARE_ROOT"),1,0)</x:f>
        <x:v>0</x:v>
      </x:c>
      <x:c r="N50" s="19" t="n">
        <x:f>IF(COUNTIFS('62_App售价桥闸门'!$A$6:$A$9,C50,'62_App售价桥闸门'!$K$6:$K$9,1)&gt;0,1,0)</x:f>
        <x:v>0</x:v>
      </x:c>
      <x:c r="O50" s="19" t="n">
        <x:f>IF(COUNTIFS('62_App售价桥闸门'!$A$6:$A$9,C50,'62_App售价桥闸门'!$M$6:$M$9,1)&gt;0,1,0)</x:f>
        <x:v>0</x:v>
      </x:c>
      <x:c r="P50" s="19" t="str">
        <x:v>BOM_E_DRIVE</x:v>
      </x:c>
      <x:c r="Q50" s="19" t="str">
        <x:v>双电机四驱电驱总成</x:v>
      </x:c>
      <x:c r="R50" s="19" t="str">
        <x:f>IF(M50=1,C50&amp;"|"&amp;P50,"")</x:f>
      </x:c>
      <x:c r="S50" s="19" t="str">
        <x:v>B31-C065</x:v>
      </x:c>
      <x:c r="T50" s="19" t="str">
        <x:v>B31_SRC_N90_WEB</x:v>
      </x:c>
      <x:c r="U50" s="19" t="str">
        <x:v>5.9s零百加速</x:v>
      </x:c>
      <x:c r="V50" s="19" t="str">
        <x:v>搭载/配备/页面展示</x:v>
      </x:c>
      <x:c r="W50" s="19" t="str">
        <x:v>B_ENGINEERING_BASE_ONLY</x:v>
      </x:c>
      <x:c r="X50" s="19" t="str">
        <x:v>产品/发布材料证明车型采用或具备，但未逐项写明“标配”</x:v>
      </x:c>
      <x:c r="Y50" s="19" t="str">
        <x:v>2026-08-04</x:v>
      </x:c>
    </x:row>
    <x:row r="51" ht="50" customHeight="1">
      <x:c r="A51" s="391" t="str">
        <x:v>B31C-D046</x:v>
      </x:c>
      <x:c r="B51" s="391" t="str">
        <x:v>B31-F046</x:v>
      </x:c>
      <x:c r="C51" s="391" t="str">
        <x:v>PC-N90-MAX-CAND</x:v>
      </x:c>
      <x:c r="D51" s="391" t="str">
        <x:v>top_speed</x:v>
      </x:c>
      <x:c r="E51" s="391" t="str">
        <x:v>POWERTRAIN</x:v>
      </x:c>
      <x:c r="F51" s="391" t="str">
        <x:v>EQUIPPED_STANDARD_UNCONFIRMED</x:v>
      </x:c>
      <x:c r="G51" s="391" t="str">
        <x:v>DIRECT_CLAIM</x:v>
      </x:c>
      <x:c r="H51" s="391" t="str">
        <x:v>SPEC_METRIC</x:v>
      </x:c>
      <x:c r="I51" s="391" t="str">
        <x:v>ENGINEERING_BASE_PROVISIONAL</x:v>
      </x:c>
      <x:c r="J51" s="391" t="n">
        <x:f>IF(I51="RELEASE_STANDARD_LOCKED",1,0)</x:f>
        <x:v>0</x:v>
      </x:c>
      <x:c r="K51" s="391" t="n">
        <x:f>IF(OR(I51="RELEASE_STANDARD_LOCKED",I51="ENGINEERING_BASE_PROVISIONAL",I51="ENGINEERING_BASE_CHAPTER_SCOPE_CANDIDATE",I51="ENGINEERING_BASE_CAPABILITY"),1,0)</x:f>
        <x:v>1</x:v>
      </x:c>
      <x:c r="L51" s="391" t="n">
        <x:f>IF(AND(J51=1,H51="HARDWARE_ROOT"),1,0)</x:f>
        <x:v>0</x:v>
      </x:c>
      <x:c r="M51" s="391" t="n">
        <x:f>IF(AND(K51=1,H51="HARDWARE_ROOT"),1,0)</x:f>
        <x:v>0</x:v>
      </x:c>
      <x:c r="N51" s="391" t="n">
        <x:f>IF(COUNTIFS('62_App售价桥闸门'!$A$6:$A$9,C51,'62_App售价桥闸门'!$K$6:$K$9,1)&gt;0,1,0)</x:f>
        <x:v>0</x:v>
      </x:c>
      <x:c r="O51" s="391" t="n">
        <x:f>IF(COUNTIFS('62_App售价桥闸门'!$A$6:$A$9,C51,'62_App售价桥闸门'!$M$6:$M$9,1)&gt;0,1,0)</x:f>
        <x:v>0</x:v>
      </x:c>
      <x:c r="P51" s="391" t="str">
        <x:v>BOM_E_DRIVE</x:v>
      </x:c>
      <x:c r="Q51" s="391" t="str">
        <x:v>双电机四驱电驱总成</x:v>
      </x:c>
      <x:c r="R51" s="391" t="str">
        <x:f>IF(M51=1,C51&amp;"|"&amp;P51,"")</x:f>
      </x:c>
      <x:c r="S51" s="391" t="str">
        <x:v>B31-C066</x:v>
      </x:c>
      <x:c r="T51" s="391" t="str">
        <x:v>B31_SRC_N90_WEB</x:v>
      </x:c>
      <x:c r="U51" s="391" t="str">
        <x:v>190km/h最高时速</x:v>
      </x:c>
      <x:c r="V51" s="391" t="str">
        <x:v>搭载/配备/页面展示</x:v>
      </x:c>
      <x:c r="W51" s="391" t="str">
        <x:v>B_ENGINEERING_BASE_ONLY</x:v>
      </x:c>
      <x:c r="X51" s="391" t="str">
        <x:v>产品/发布材料证明车型采用或具备，但未逐项写明“标配”</x:v>
      </x:c>
      <x:c r="Y51" s="391" t="str">
        <x:v>2026-08-04</x:v>
      </x:c>
    </x:row>
    <x:row r="52" ht="50" customHeight="1">
      <x:c r="A52" s="19" t="str">
        <x:v>B31C-D047</x:v>
      </x:c>
      <x:c r="B52" s="19" t="str">
        <x:v>B31-F047</x:v>
      </x:c>
      <x:c r="C52" s="19" t="str">
        <x:v>PC-N90-MAX-CAND</x:v>
      </x:c>
      <x:c r="D52" s="19" t="str">
        <x:v>battery_capacity</x:v>
      </x:c>
      <x:c r="E52" s="19" t="str">
        <x:v>ENERGY</x:v>
      </x:c>
      <x:c r="F52" s="19" t="str">
        <x:v>EQUIPPED_STANDARD_UNCONFIRMED</x:v>
      </x:c>
      <x:c r="G52" s="19" t="str">
        <x:v>DIRECT_CLAIM</x:v>
      </x:c>
      <x:c r="H52" s="19" t="str">
        <x:v>HARDWARE_ROOT</x:v>
      </x:c>
      <x:c r="I52" s="19" t="str">
        <x:v>ENGINEERING_BASE_PROVISIONAL</x:v>
      </x:c>
      <x:c r="J52" s="19" t="n">
        <x:f>IF(I52="RELEASE_STANDARD_LOCKED",1,0)</x:f>
        <x:v>0</x:v>
      </x:c>
      <x:c r="K52" s="19" t="n">
        <x:f>IF(OR(I52="RELEASE_STANDARD_LOCKED",I52="ENGINEERING_BASE_PROVISIONAL",I52="ENGINEERING_BASE_CHAPTER_SCOPE_CANDIDATE",I52="ENGINEERING_BASE_CAPABILITY"),1,0)</x:f>
        <x:v>1</x:v>
      </x:c>
      <x:c r="L52" s="19" t="n">
        <x:f>IF(AND(J52=1,H52="HARDWARE_ROOT"),1,0)</x:f>
        <x:v>0</x:v>
      </x:c>
      <x:c r="M52" s="19" t="n">
        <x:f>IF(AND(K52=1,H52="HARDWARE_ROOT"),1,0)</x:f>
        <x:v>1</x:v>
      </x:c>
      <x:c r="N52" s="19" t="n">
        <x:f>IF(COUNTIFS('62_App售价桥闸门'!$A$6:$A$9,C52,'62_App售价桥闸门'!$K$6:$K$9,1)&gt;0,1,0)</x:f>
        <x:v>0</x:v>
      </x:c>
      <x:c r="O52" s="19" t="n">
        <x:f>IF(COUNTIFS('62_App售价桥闸门'!$A$6:$A$9,C52,'62_App售价桥闸门'!$M$6:$M$9,1)&gt;0,1,0)</x:f>
        <x:v>0</x:v>
      </x:c>
      <x:c r="P52" s="19" t="str">
        <x:v>BOM_BATTERY_PACK</x:v>
      </x:c>
      <x:c r="Q52" s="19" t="str">
        <x:v>动力电池包与高压系统</x:v>
      </x:c>
      <x:c r="R52" s="19" t="str">
        <x:f>IF(M52=1,C52&amp;"|"&amp;P52,"")</x:f>
        <x:v>PC-N90-MAX-CAND|BOM_BATTERY_PACK</x:v>
      </x:c>
      <x:c r="S52" s="19" t="str">
        <x:v>B31-C067</x:v>
      </x:c>
      <x:c r="T52" s="19" t="str">
        <x:v>B31_SRC_N90_WEB</x:v>
      </x:c>
      <x:c r="U52" s="19" t="str">
        <x:v>76kWh小米龙甲电池</x:v>
      </x:c>
      <x:c r="V52" s="19" t="str">
        <x:v>搭载/配备/页面展示</x:v>
      </x:c>
      <x:c r="W52" s="19" t="str">
        <x:v>B_ENGINEERING_BASE_ONLY</x:v>
      </x:c>
      <x:c r="X52" s="19" t="str">
        <x:v>产品/发布材料证明车型采用或具备，但未逐项写明“标配”</x:v>
      </x:c>
      <x:c r="Y52" s="19" t="str">
        <x:v>2026-08-04</x:v>
      </x:c>
    </x:row>
    <x:row r="53" ht="50" customHeight="1">
      <x:c r="A53" s="391" t="str">
        <x:v>B31C-D048</x:v>
      </x:c>
      <x:c r="B53" s="391" t="str">
        <x:v>B31-F048</x:v>
      </x:c>
      <x:c r="C53" s="391" t="str">
        <x:v>PC-N90-MAX-CAND</x:v>
      </x:c>
      <x:c r="D53" s="391" t="str">
        <x:v>battery_chemistry</x:v>
      </x:c>
      <x:c r="E53" s="391" t="str">
        <x:v>ENERGY</x:v>
      </x:c>
      <x:c r="F53" s="391" t="str">
        <x:v>EQUIPPED_STANDARD_UNCONFIRMED</x:v>
      </x:c>
      <x:c r="G53" s="391" t="str">
        <x:v>DIRECT_CLAIM</x:v>
      </x:c>
      <x:c r="H53" s="391" t="str">
        <x:v>HARDWARE_SUPPORT</x:v>
      </x:c>
      <x:c r="I53" s="391" t="str">
        <x:v>ENGINEERING_BASE_PROVISIONAL</x:v>
      </x:c>
      <x:c r="J53" s="391" t="n">
        <x:f>IF(I53="RELEASE_STANDARD_LOCKED",1,0)</x:f>
        <x:v>0</x:v>
      </x:c>
      <x:c r="K53" s="391" t="n">
        <x:f>IF(OR(I53="RELEASE_STANDARD_LOCKED",I53="ENGINEERING_BASE_PROVISIONAL",I53="ENGINEERING_BASE_CHAPTER_SCOPE_CANDIDATE",I53="ENGINEERING_BASE_CAPABILITY"),1,0)</x:f>
        <x:v>1</x:v>
      </x:c>
      <x:c r="L53" s="391" t="n">
        <x:f>IF(AND(J53=1,H53="HARDWARE_ROOT"),1,0)</x:f>
        <x:v>0</x:v>
      </x:c>
      <x:c r="M53" s="391" t="n">
        <x:f>IF(AND(K53=1,H53="HARDWARE_ROOT"),1,0)</x:f>
        <x:v>0</x:v>
      </x:c>
      <x:c r="N53" s="391" t="n">
        <x:f>IF(COUNTIFS('62_App售价桥闸门'!$A$6:$A$9,C53,'62_App售价桥闸门'!$K$6:$K$9,1)&gt;0,1,0)</x:f>
        <x:v>0</x:v>
      </x:c>
      <x:c r="O53" s="391" t="n">
        <x:f>IF(COUNTIFS('62_App售价桥闸门'!$A$6:$A$9,C53,'62_App售价桥闸门'!$M$6:$M$9,1)&gt;0,1,0)</x:f>
        <x:v>0</x:v>
      </x:c>
      <x:c r="P53" s="391" t="str">
        <x:v>BOM_BATTERY_PACK</x:v>
      </x:c>
      <x:c r="Q53" s="391" t="str">
        <x:v>动力电池包与高压系统</x:v>
      </x:c>
      <x:c r="R53" s="391" t="str">
        <x:f>IF(M53=1,C53&amp;"|"&amp;P53,"")</x:f>
      </x:c>
      <x:c r="S53" s="391" t="str">
        <x:v>B31-C068</x:v>
      </x:c>
      <x:c r="T53" s="391" t="str">
        <x:v>B31_SRC_N90_WEB</x:v>
      </x:c>
      <x:c r="U53" s="391" t="str">
        <x:v>三元锂电芯</x:v>
      </x:c>
      <x:c r="V53" s="391" t="str">
        <x:v>搭载/配备/页面展示</x:v>
      </x:c>
      <x:c r="W53" s="391" t="str">
        <x:v>B_ENGINEERING_BASE_ONLY</x:v>
      </x:c>
      <x:c r="X53" s="391" t="str">
        <x:v>产品/发布材料证明车型采用或具备，但未逐项写明“标配”</x:v>
      </x:c>
      <x:c r="Y53" s="391" t="str">
        <x:v>2026-08-04</x:v>
      </x:c>
    </x:row>
    <x:row r="54" ht="50" customHeight="1">
      <x:c r="A54" s="19" t="str">
        <x:v>B31C-D049</x:v>
      </x:c>
      <x:c r="B54" s="19" t="str">
        <x:v>B31-F049</x:v>
      </x:c>
      <x:c r="C54" s="19" t="str">
        <x:v>PC-N90-MAX-CAND</x:v>
      </x:c>
      <x:c r="D54" s="19" t="str">
        <x:v>cltc_ev_range</x:v>
      </x:c>
      <x:c r="E54" s="19" t="str">
        <x:v>ENERGY</x:v>
      </x:c>
      <x:c r="F54" s="19" t="str">
        <x:v>EQUIPPED_STANDARD_UNCONFIRMED</x:v>
      </x:c>
      <x:c r="G54" s="19" t="str">
        <x:v>DIRECT_CLAIM</x:v>
      </x:c>
      <x:c r="H54" s="19" t="str">
        <x:v>SPEC_METRIC</x:v>
      </x:c>
      <x:c r="I54" s="19" t="str">
        <x:v>ENGINEERING_BASE_PROVISIONAL</x:v>
      </x:c>
      <x:c r="J54" s="19" t="n">
        <x:f>IF(I54="RELEASE_STANDARD_LOCKED",1,0)</x:f>
        <x:v>0</x:v>
      </x:c>
      <x:c r="K54" s="19" t="n">
        <x:f>IF(OR(I54="RELEASE_STANDARD_LOCKED",I54="ENGINEERING_BASE_PROVISIONAL",I54="ENGINEERING_BASE_CHAPTER_SCOPE_CANDIDATE",I54="ENGINEERING_BASE_CAPABILITY"),1,0)</x:f>
        <x:v>1</x:v>
      </x:c>
      <x:c r="L54" s="19" t="n">
        <x:f>IF(AND(J54=1,H54="HARDWARE_ROOT"),1,0)</x:f>
        <x:v>0</x:v>
      </x:c>
      <x:c r="M54" s="19" t="n">
        <x:f>IF(AND(K54=1,H54="HARDWARE_ROOT"),1,0)</x:f>
        <x:v>0</x:v>
      </x:c>
      <x:c r="N54" s="19" t="n">
        <x:f>IF(COUNTIFS('62_App售价桥闸门'!$A$6:$A$9,C54,'62_App售价桥闸门'!$K$6:$K$9,1)&gt;0,1,0)</x:f>
        <x:v>0</x:v>
      </x:c>
      <x:c r="O54" s="19" t="n">
        <x:f>IF(COUNTIFS('62_App售价桥闸门'!$A$6:$A$9,C54,'62_App售价桥闸门'!$M$6:$M$9,1)&gt;0,1,0)</x:f>
        <x:v>0</x:v>
      </x:c>
      <x:c r="P54" s="19" t="str">
        <x:v>BOM_BATTERY_PACK</x:v>
      </x:c>
      <x:c r="Q54" s="19" t="str">
        <x:v>动力电池包与高压系统</x:v>
      </x:c>
      <x:c r="R54" s="19" t="str">
        <x:f>IF(M54=1,C54&amp;"|"&amp;P54,"")</x:f>
      </x:c>
      <x:c r="S54" s="19" t="str">
        <x:v>B31-C069</x:v>
      </x:c>
      <x:c r="T54" s="19" t="str">
        <x:v>B31_SRC_N90_WEB</x:v>
      </x:c>
      <x:c r="U54" s="19" t="str">
        <x:v>464km CLTC纯电续航</x:v>
      </x:c>
      <x:c r="V54" s="19" t="str">
        <x:v>搭载/配备/页面展示</x:v>
      </x:c>
      <x:c r="W54" s="19" t="str">
        <x:v>B_ENGINEERING_BASE_ONLY</x:v>
      </x:c>
      <x:c r="X54" s="19" t="str">
        <x:v>产品/发布材料证明车型采用或具备，但未逐项写明“标配”</x:v>
      </x:c>
      <x:c r="Y54" s="19" t="str">
        <x:v>2026-08-04</x:v>
      </x:c>
    </x:row>
    <x:row r="55" ht="50" customHeight="1">
      <x:c r="A55" s="391" t="str">
        <x:v>B31C-D050</x:v>
      </x:c>
      <x:c r="B55" s="391" t="str">
        <x:v>B31-F050</x:v>
      </x:c>
      <x:c r="C55" s="391" t="str">
        <x:v>PC-N90-MAX-CAND</x:v>
      </x:c>
      <x:c r="D55" s="391" t="str">
        <x:v>cltc_combined_range</x:v>
      </x:c>
      <x:c r="E55" s="391" t="str">
        <x:v>ENERGY</x:v>
      </x:c>
      <x:c r="F55" s="391" t="str">
        <x:v>EQUIPPED_STANDARD_UNCONFIRMED</x:v>
      </x:c>
      <x:c r="G55" s="391" t="str">
        <x:v>DIRECT_CLAIM</x:v>
      </x:c>
      <x:c r="H55" s="391" t="str">
        <x:v>SPEC_METRIC</x:v>
      </x:c>
      <x:c r="I55" s="391" t="str">
        <x:v>ENGINEERING_BASE_PROVISIONAL</x:v>
      </x:c>
      <x:c r="J55" s="391" t="n">
        <x:f>IF(I55="RELEASE_STANDARD_LOCKED",1,0)</x:f>
        <x:v>0</x:v>
      </x:c>
      <x:c r="K55" s="391" t="n">
        <x:f>IF(OR(I55="RELEASE_STANDARD_LOCKED",I55="ENGINEERING_BASE_PROVISIONAL",I55="ENGINEERING_BASE_CHAPTER_SCOPE_CANDIDATE",I55="ENGINEERING_BASE_CAPABILITY"),1,0)</x:f>
        <x:v>1</x:v>
      </x:c>
      <x:c r="L55" s="391" t="n">
        <x:f>IF(AND(J55=1,H55="HARDWARE_ROOT"),1,0)</x:f>
        <x:v>0</x:v>
      </x:c>
      <x:c r="M55" s="391" t="n">
        <x:f>IF(AND(K55=1,H55="HARDWARE_ROOT"),1,0)</x:f>
        <x:v>0</x:v>
      </x:c>
      <x:c r="N55" s="391" t="n">
        <x:f>IF(COUNTIFS('62_App售价桥闸门'!$A$6:$A$9,C55,'62_App售价桥闸门'!$K$6:$K$9,1)&gt;0,1,0)</x:f>
        <x:v>0</x:v>
      </x:c>
      <x:c r="O55" s="391" t="n">
        <x:f>IF(COUNTIFS('62_App售价桥闸门'!$A$6:$A$9,C55,'62_App售价桥闸门'!$M$6:$M$9,1)&gt;0,1,0)</x:f>
        <x:v>0</x:v>
      </x:c>
      <x:c r="P55" s="391" t="str">
        <x:v>BOM_BATTERY_PACK</x:v>
      </x:c>
      <x:c r="Q55" s="391" t="str">
        <x:v>动力电池包与高压系统</x:v>
      </x:c>
      <x:c r="R55" s="391" t="str">
        <x:f>IF(M55=1,C55&amp;"|"&amp;P55,"")</x:f>
      </x:c>
      <x:c r="S55" s="391" t="str">
        <x:v>B31-C070</x:v>
      </x:c>
      <x:c r="T55" s="391" t="str">
        <x:v>B31_SRC_N90_WEB</x:v>
      </x:c>
      <x:c r="U55" s="391" t="str">
        <x:v>1705km CLTC综合续航</x:v>
      </x:c>
      <x:c r="V55" s="391" t="str">
        <x:v>搭载/配备/页面展示</x:v>
      </x:c>
      <x:c r="W55" s="391" t="str">
        <x:v>B_ENGINEERING_BASE_ONLY</x:v>
      </x:c>
      <x:c r="X55" s="391" t="str">
        <x:v>产品/发布材料证明车型采用或具备，但未逐项写明“标配”</x:v>
      </x:c>
      <x:c r="Y55" s="391" t="str">
        <x:v>2026-08-04</x:v>
      </x:c>
    </x:row>
    <x:row r="56" ht="50" customHeight="1">
      <x:c r="A56" s="19" t="str">
        <x:v>B31C-D051</x:v>
      </x:c>
      <x:c r="B56" s="19" t="str">
        <x:v>B31-F051</x:v>
      </x:c>
      <x:c r="C56" s="19" t="str">
        <x:v>PC-N90-MAX-CAND</x:v>
      </x:c>
      <x:c r="D56" s="19" t="str">
        <x:v>fast_charge_15min_range</x:v>
      </x:c>
      <x:c r="E56" s="19" t="str">
        <x:v>ENERGY</x:v>
      </x:c>
      <x:c r="F56" s="19" t="str">
        <x:v>EQUIPPED_STANDARD_UNCONFIRMED</x:v>
      </x:c>
      <x:c r="G56" s="19" t="str">
        <x:v>DIRECT_CLAIM</x:v>
      </x:c>
      <x:c r="H56" s="19" t="str">
        <x:v>SPEC_METRIC</x:v>
      </x:c>
      <x:c r="I56" s="19" t="str">
        <x:v>ENGINEERING_BASE_PROVISIONAL</x:v>
      </x:c>
      <x:c r="J56" s="19" t="n">
        <x:f>IF(I56="RELEASE_STANDARD_LOCKED",1,0)</x:f>
        <x:v>0</x:v>
      </x:c>
      <x:c r="K56" s="19" t="n">
        <x:f>IF(OR(I56="RELEASE_STANDARD_LOCKED",I56="ENGINEERING_BASE_PROVISIONAL",I56="ENGINEERING_BASE_CHAPTER_SCOPE_CANDIDATE",I56="ENGINEERING_BASE_CAPABILITY"),1,0)</x:f>
        <x:v>1</x:v>
      </x:c>
      <x:c r="L56" s="19" t="n">
        <x:f>IF(AND(J56=1,H56="HARDWARE_ROOT"),1,0)</x:f>
        <x:v>0</x:v>
      </x:c>
      <x:c r="M56" s="19" t="n">
        <x:f>IF(AND(K56=1,H56="HARDWARE_ROOT"),1,0)</x:f>
        <x:v>0</x:v>
      </x:c>
      <x:c r="N56" s="19" t="n">
        <x:f>IF(COUNTIFS('62_App售价桥闸门'!$A$6:$A$9,C56,'62_App售价桥闸门'!$K$6:$K$9,1)&gt;0,1,0)</x:f>
        <x:v>0</x:v>
      </x:c>
      <x:c r="O56" s="19" t="n">
        <x:f>IF(COUNTIFS('62_App售价桥闸门'!$A$6:$A$9,C56,'62_App售价桥闸门'!$M$6:$M$9,1)&gt;0,1,0)</x:f>
        <x:v>0</x:v>
      </x:c>
      <x:c r="P56" s="19" t="str">
        <x:v>BOM_BATTERY_PACK</x:v>
      </x:c>
      <x:c r="Q56" s="19" t="str">
        <x:v>动力电池包与高压系统</x:v>
      </x:c>
      <x:c r="R56" s="19" t="str">
        <x:f>IF(M56=1,C56&amp;"|"&amp;P56,"")</x:f>
      </x:c>
      <x:c r="S56" s="19" t="str">
        <x:v>B31-C071</x:v>
      </x:c>
      <x:c r="T56" s="19" t="str">
        <x:v>B31_SRC_N90_WEB</x:v>
      </x:c>
      <x:c r="U56" s="19" t="str">
        <x:v>15分钟充电最高补能CLTC里程285km</x:v>
      </x:c>
      <x:c r="V56" s="19" t="str">
        <x:v>最高补能</x:v>
      </x:c>
      <x:c r="W56" s="19" t="str">
        <x:v>B_ENGINEERING_BASE_ONLY</x:v>
      </x:c>
      <x:c r="X56" s="19" t="str">
        <x:v>产品/发布材料证明车型采用或具备，但未逐项写明“标配”</x:v>
      </x:c>
      <x:c r="Y56" s="19" t="str">
        <x:v>2026-08-04</x:v>
      </x:c>
    </x:row>
    <x:row r="57" ht="50" customHeight="1">
      <x:c r="A57" s="391" t="str">
        <x:v>B31C-D052</x:v>
      </x:c>
      <x:c r="B57" s="391" t="str">
        <x:v>B31-F052</x:v>
      </x:c>
      <x:c r="C57" s="391" t="str">
        <x:v>PC-N90-MAX-CAND</x:v>
      </x:c>
      <x:c r="D57" s="391" t="str">
        <x:v>charge_sustaining_fuel</x:v>
      </x:c>
      <x:c r="E57" s="391" t="str">
        <x:v>ENERGY</x:v>
      </x:c>
      <x:c r="F57" s="391" t="str">
        <x:v>EQUIPPED_STANDARD_UNCONFIRMED</x:v>
      </x:c>
      <x:c r="G57" s="391" t="str">
        <x:v>DIRECT_CLAIM</x:v>
      </x:c>
      <x:c r="H57" s="391" t="str">
        <x:v>SPEC_METRIC</x:v>
      </x:c>
      <x:c r="I57" s="391" t="str">
        <x:v>ENGINEERING_BASE_PROVISIONAL</x:v>
      </x:c>
      <x:c r="J57" s="391" t="n">
        <x:f>IF(I57="RELEASE_STANDARD_LOCKED",1,0)</x:f>
        <x:v>0</x:v>
      </x:c>
      <x:c r="K57" s="391" t="n">
        <x:f>IF(OR(I57="RELEASE_STANDARD_LOCKED",I57="ENGINEERING_BASE_PROVISIONAL",I57="ENGINEERING_BASE_CHAPTER_SCOPE_CANDIDATE",I57="ENGINEERING_BASE_CAPABILITY"),1,0)</x:f>
        <x:v>1</x:v>
      </x:c>
      <x:c r="L57" s="391" t="n">
        <x:f>IF(AND(J57=1,H57="HARDWARE_ROOT"),1,0)</x:f>
        <x:v>0</x:v>
      </x:c>
      <x:c r="M57" s="391" t="n">
        <x:f>IF(AND(K57=1,H57="HARDWARE_ROOT"),1,0)</x:f>
        <x:v>0</x:v>
      </x:c>
      <x:c r="N57" s="391" t="n">
        <x:f>IF(COUNTIFS('62_App售价桥闸门'!$A$6:$A$9,C57,'62_App售价桥闸门'!$K$6:$K$9,1)&gt;0,1,0)</x:f>
        <x:v>0</x:v>
      </x:c>
      <x:c r="O57" s="391" t="n">
        <x:f>IF(COUNTIFS('62_App售价桥闸门'!$A$6:$A$9,C57,'62_App售价桥闸门'!$M$6:$M$9,1)&gt;0,1,0)</x:f>
        <x:v>0</x:v>
      </x:c>
      <x:c r="P57" s="391" t="str">
        <x:v>BOM_RANGE_EXTENDER_EFFICIENCY</x:v>
      </x:c>
      <x:c r="Q57" s="391" t="str">
        <x:v>增程能耗与燃油适应性</x:v>
      </x:c>
      <x:c r="R57" s="391" t="str">
        <x:f>IF(M57=1,C57&amp;"|"&amp;P57,"")</x:f>
      </x:c>
      <x:c r="S57" s="391" t="str">
        <x:v>B31-C072</x:v>
      </x:c>
      <x:c r="T57" s="391" t="str">
        <x:v>B31_SRC_N90_WEB</x:v>
      </x:c>
      <x:c r="U57" s="391" t="str">
        <x:v>亏电油耗仅6.26L/100km</x:v>
      </x:c>
      <x:c r="V57" s="391" t="str">
        <x:v>搭载/配备/页面展示</x:v>
      </x:c>
      <x:c r="W57" s="391" t="str">
        <x:v>B_ENGINEERING_BASE_ONLY</x:v>
      </x:c>
      <x:c r="X57" s="391" t="str">
        <x:v>产品/发布材料证明车型采用或具备，但未逐项写明“标配”</x:v>
      </x:c>
      <x:c r="Y57" s="391" t="str">
        <x:v>2026-08-04</x:v>
      </x:c>
    </x:row>
    <x:row r="58" ht="50" customHeight="1">
      <x:c r="A58" s="19" t="str">
        <x:v>B31C-D053</x:v>
      </x:c>
      <x:c r="B58" s="19" t="str">
        <x:v>B31-F053</x:v>
      </x:c>
      <x:c r="C58" s="19" t="str">
        <x:v>PC-N90-MAX-CAND</x:v>
      </x:c>
      <x:c r="D58" s="19" t="str">
        <x:v>fuel_grade_support</x:v>
      </x:c>
      <x:c r="E58" s="19" t="str">
        <x:v>ENERGY</x:v>
      </x:c>
      <x:c r="F58" s="19" t="str">
        <x:v>SERIES_CAPABILITY</x:v>
      </x:c>
      <x:c r="G58" s="19" t="str">
        <x:v>DIRECT_CLAIM</x:v>
      </x:c>
      <x:c r="H58" s="19" t="str">
        <x:v>CAPABILITY_NON_COST</x:v>
      </x:c>
      <x:c r="I58" s="19" t="str">
        <x:v>ENGINEERING_BASE_CAPABILITY</x:v>
      </x:c>
      <x:c r="J58" s="19" t="n">
        <x:f>IF(I58="RELEASE_STANDARD_LOCKED",1,0)</x:f>
        <x:v>0</x:v>
      </x:c>
      <x:c r="K58" s="19" t="n">
        <x:f>IF(OR(I58="RELEASE_STANDARD_LOCKED",I58="ENGINEERING_BASE_PROVISIONAL",I58="ENGINEERING_BASE_CHAPTER_SCOPE_CANDIDATE",I58="ENGINEERING_BASE_CAPABILITY"),1,0)</x:f>
        <x:v>1</x:v>
      </x:c>
      <x:c r="L58" s="19" t="n">
        <x:f>IF(AND(J58=1,H58="HARDWARE_ROOT"),1,0)</x:f>
        <x:v>0</x:v>
      </x:c>
      <x:c r="M58" s="19" t="n">
        <x:f>IF(AND(K58=1,H58="HARDWARE_ROOT"),1,0)</x:f>
        <x:v>0</x:v>
      </x:c>
      <x:c r="N58" s="19" t="n">
        <x:f>IF(COUNTIFS('62_App售价桥闸门'!$A$6:$A$9,C58,'62_App售价桥闸门'!$K$6:$K$9,1)&gt;0,1,0)</x:f>
        <x:v>0</x:v>
      </x:c>
      <x:c r="O58" s="19" t="n">
        <x:f>IF(COUNTIFS('62_App售价桥闸门'!$A$6:$A$9,C58,'62_App售价桥闸门'!$M$6:$M$9,1)&gt;0,1,0)</x:f>
        <x:v>0</x:v>
      </x:c>
      <x:c r="P58" s="19" t="str">
        <x:v>BOM_RANGE_EXTENDER_EFFICIENCY</x:v>
      </x:c>
      <x:c r="Q58" s="19" t="str">
        <x:v>增程能耗与燃油适应性</x:v>
      </x:c>
      <x:c r="R58" s="19" t="str">
        <x:f>IF(M58=1,C58&amp;"|"&amp;P58,"")</x:f>
      </x:c>
      <x:c r="S58" s="19" t="str">
        <x:v>B31-C073</x:v>
      </x:c>
      <x:c r="T58" s="19" t="str">
        <x:v>B31_SRC_N90_WEB</x:v>
      </x:c>
      <x:c r="U58" s="19" t="str">
        <x:v>支持92号、95号、98号汽油</x:v>
      </x:c>
      <x:c r="V58" s="19" t="str">
        <x:v>支持</x:v>
      </x:c>
      <x:c r="W58" s="19" t="str">
        <x:v>B_ENGINEERING_BASE_ONLY</x:v>
      </x:c>
      <x:c r="X58" s="19" t="str">
        <x:v>能力主张可进入工程底座，不单独形成商业标配或新增成本</x:v>
      </x:c>
      <x:c r="Y58" s="19" t="str">
        <x:v>2026-08-04</x:v>
      </x:c>
    </x:row>
    <x:row r="59" ht="50" customHeight="1">
      <x:c r="A59" s="391" t="str">
        <x:v>B31C-D054</x:v>
      </x:c>
      <x:c r="B59" s="391" t="str">
        <x:v>B31-F054</x:v>
      </x:c>
      <x:c r="C59" s="391" t="str">
        <x:v>PC-N90-MAX-CAND</x:v>
      </x:c>
      <x:c r="D59" s="391" t="str">
        <x:v>fuel_tank</x:v>
      </x:c>
      <x:c r="E59" s="391" t="str">
        <x:v>ENERGY</x:v>
      </x:c>
      <x:c r="F59" s="391" t="str">
        <x:v>EQUIPPED_STANDARD_UNCONFIRMED</x:v>
      </x:c>
      <x:c r="G59" s="391" t="str">
        <x:v>DIRECT_CLAIM</x:v>
      </x:c>
      <x:c r="H59" s="391" t="str">
        <x:v>HARDWARE_ROOT</x:v>
      </x:c>
      <x:c r="I59" s="391" t="str">
        <x:v>ENGINEERING_BASE_PROVISIONAL</x:v>
      </x:c>
      <x:c r="J59" s="391" t="n">
        <x:f>IF(I59="RELEASE_STANDARD_LOCKED",1,0)</x:f>
        <x:v>0</x:v>
      </x:c>
      <x:c r="K59" s="391" t="n">
        <x:f>IF(OR(I59="RELEASE_STANDARD_LOCKED",I59="ENGINEERING_BASE_PROVISIONAL",I59="ENGINEERING_BASE_CHAPTER_SCOPE_CANDIDATE",I59="ENGINEERING_BASE_CAPABILITY"),1,0)</x:f>
        <x:v>1</x:v>
      </x:c>
      <x:c r="L59" s="391" t="n">
        <x:f>IF(AND(J59=1,H59="HARDWARE_ROOT"),1,0)</x:f>
        <x:v>0</x:v>
      </x:c>
      <x:c r="M59" s="391" t="n">
        <x:f>IF(AND(K59=1,H59="HARDWARE_ROOT"),1,0)</x:f>
        <x:v>1</x:v>
      </x:c>
      <x:c r="N59" s="391" t="n">
        <x:f>IF(COUNTIFS('62_App售价桥闸门'!$A$6:$A$9,C59,'62_App售价桥闸门'!$K$6:$K$9,1)&gt;0,1,0)</x:f>
        <x:v>0</x:v>
      </x:c>
      <x:c r="O59" s="391" t="n">
        <x:f>IF(COUNTIFS('62_App售价桥闸门'!$A$6:$A$9,C59,'62_App售价桥闸门'!$M$6:$M$9,1)&gt;0,1,0)</x:f>
        <x:v>0</x:v>
      </x:c>
      <x:c r="P59" s="391" t="str">
        <x:v>BOM_FUEL_TANK</x:v>
      </x:c>
      <x:c r="Q59" s="391" t="str">
        <x:v>燃油箱系统</x:v>
      </x:c>
      <x:c r="R59" s="391" t="str">
        <x:f>IF(M59=1,C59&amp;"|"&amp;P59,"")</x:f>
        <x:v>PC-N90-MAX-CAND|BOM_FUEL_TANK</x:v>
      </x:c>
      <x:c r="S59" s="391" t="str">
        <x:v>B31-C074</x:v>
      </x:c>
      <x:c r="T59" s="391" t="str">
        <x:v>B31_SRC_N90_WEB</x:v>
      </x:c>
      <x:c r="U59" s="391" t="str">
        <x:v>60L大油箱</x:v>
      </x:c>
      <x:c r="V59" s="391" t="str">
        <x:v>搭载/配备/页面展示</x:v>
      </x:c>
      <x:c r="W59" s="391" t="str">
        <x:v>B_ENGINEERING_BASE_ONLY</x:v>
      </x:c>
      <x:c r="X59" s="391" t="str">
        <x:v>产品/发布材料证明车型采用或具备，但未逐项写明“标配”</x:v>
      </x:c>
      <x:c r="Y59" s="391" t="str">
        <x:v>2026-08-04</x:v>
      </x:c>
    </x:row>
    <x:row r="60" ht="50" customHeight="1">
      <x:c r="A60" s="19" t="str">
        <x:v>B31C-D055</x:v>
      </x:c>
      <x:c r="B60" s="19" t="str">
        <x:v>B31-F055</x:v>
      </x:c>
      <x:c r="C60" s="19" t="str">
        <x:v>PC-N90-MAX-CAND</x:v>
      </x:c>
      <x:c r="D60" s="19" t="str">
        <x:v>v2l_power</x:v>
      </x:c>
      <x:c r="E60" s="19" t="str">
        <x:v>ENERGY</x:v>
      </x:c>
      <x:c r="F60" s="19" t="str">
        <x:v>SERIES_CAPABILITY</x:v>
      </x:c>
      <x:c r="G60" s="19" t="str">
        <x:v>DIRECT_CLAIM</x:v>
      </x:c>
      <x:c r="H60" s="19" t="str">
        <x:v>HARDWARE_ROOT</x:v>
      </x:c>
      <x:c r="I60" s="19" t="str">
        <x:v>ENGINEERING_BASE_CAPABILITY</x:v>
      </x:c>
      <x:c r="J60" s="19" t="n">
        <x:f>IF(I60="RELEASE_STANDARD_LOCKED",1,0)</x:f>
        <x:v>0</x:v>
      </x:c>
      <x:c r="K60" s="19" t="n">
        <x:f>IF(OR(I60="RELEASE_STANDARD_LOCKED",I60="ENGINEERING_BASE_PROVISIONAL",I60="ENGINEERING_BASE_CHAPTER_SCOPE_CANDIDATE",I60="ENGINEERING_BASE_CAPABILITY"),1,0)</x:f>
        <x:v>1</x:v>
      </x:c>
      <x:c r="L60" s="19" t="n">
        <x:f>IF(AND(J60=1,H60="HARDWARE_ROOT"),1,0)</x:f>
        <x:v>0</x:v>
      </x:c>
      <x:c r="M60" s="19" t="n">
        <x:f>IF(AND(K60=1,H60="HARDWARE_ROOT"),1,0)</x:f>
        <x:v>1</x:v>
      </x:c>
      <x:c r="N60" s="19" t="n">
        <x:f>IF(COUNTIFS('62_App售价桥闸门'!$A$6:$A$9,C60,'62_App售价桥闸门'!$K$6:$K$9,1)&gt;0,1,0)</x:f>
        <x:v>0</x:v>
      </x:c>
      <x:c r="O60" s="19" t="n">
        <x:f>IF(COUNTIFS('62_App售价桥闸门'!$A$6:$A$9,C60,'62_App售价桥闸门'!$M$6:$M$9,1)&gt;0,1,0)</x:f>
        <x:v>0</x:v>
      </x:c>
      <x:c r="P60" s="19" t="str">
        <x:v>BOM_V2L</x:v>
      </x:c>
      <x:c r="Q60" s="19" t="str">
        <x:v>对外放电系统</x:v>
      </x:c>
      <x:c r="R60" s="19" t="str">
        <x:f>IF(M60=1,C60&amp;"|"&amp;P60,"")</x:f>
        <x:v>PC-N90-MAX-CAND|BOM_V2L</x:v>
      </x:c>
      <x:c r="S60" s="19" t="str">
        <x:v>B31-C075</x:v>
      </x:c>
      <x:c r="T60" s="19" t="str">
        <x:v>B31_SRC_N90_WEB</x:v>
      </x:c>
      <x:c r="U60" s="19" t="str">
        <x:v>支持车外6.6kW对外放电</x:v>
      </x:c>
      <x:c r="V60" s="19" t="str">
        <x:v>支持</x:v>
      </x:c>
      <x:c r="W60" s="19" t="str">
        <x:v>B_ENGINEERING_BASE_ONLY</x:v>
      </x:c>
      <x:c r="X60" s="19" t="str">
        <x:v>能力主张可进入工程底座，不单独形成商业标配或新增成本</x:v>
      </x:c>
      <x:c r="Y60" s="19" t="str">
        <x:v>2026-08-04</x:v>
      </x:c>
    </x:row>
    <x:row r="61" ht="50" customHeight="1">
      <x:c r="A61" s="391" t="str">
        <x:v>B31C-D056</x:v>
      </x:c>
      <x:c r="B61" s="391" t="str">
        <x:v>B31-F056</x:v>
      </x:c>
      <x:c r="C61" s="391" t="str">
        <x:v>PC-N90-MAX-CAND</x:v>
      </x:c>
      <x:c r="D61" s="391" t="str">
        <x:v>suspension_layout</x:v>
      </x:c>
      <x:c r="E61" s="391" t="str">
        <x:v>CHASSIS</x:v>
      </x:c>
      <x:c r="F61" s="391" t="str">
        <x:v>EQUIPPED_STANDARD_UNCONFIRMED</x:v>
      </x:c>
      <x:c r="G61" s="391" t="str">
        <x:v>DIRECT_CLAIM</x:v>
      </x:c>
      <x:c r="H61" s="391" t="str">
        <x:v>HARDWARE_ROOT</x:v>
      </x:c>
      <x:c r="I61" s="391" t="str">
        <x:v>ENGINEERING_BASE_PROVISIONAL</x:v>
      </x:c>
      <x:c r="J61" s="391" t="n">
        <x:f>IF(I61="RELEASE_STANDARD_LOCKED",1,0)</x:f>
        <x:v>0</x:v>
      </x:c>
      <x:c r="K61" s="391" t="n">
        <x:f>IF(OR(I61="RELEASE_STANDARD_LOCKED",I61="ENGINEERING_BASE_PROVISIONAL",I61="ENGINEERING_BASE_CHAPTER_SCOPE_CANDIDATE",I61="ENGINEERING_BASE_CAPABILITY"),1,0)</x:f>
        <x:v>1</x:v>
      </x:c>
      <x:c r="L61" s="391" t="n">
        <x:f>IF(AND(J61=1,H61="HARDWARE_ROOT"),1,0)</x:f>
        <x:v>0</x:v>
      </x:c>
      <x:c r="M61" s="391" t="n">
        <x:f>IF(AND(K61=1,H61="HARDWARE_ROOT"),1,0)</x:f>
        <x:v>1</x:v>
      </x:c>
      <x:c r="N61" s="391" t="n">
        <x:f>IF(COUNTIFS('62_App售价桥闸门'!$A$6:$A$9,C61,'62_App售价桥闸门'!$K$6:$K$9,1)&gt;0,1,0)</x:f>
        <x:v>0</x:v>
      </x:c>
      <x:c r="O61" s="391" t="n">
        <x:f>IF(COUNTIFS('62_App售价桥闸门'!$A$6:$A$9,C61,'62_App售价桥闸门'!$M$6:$M$9,1)&gt;0,1,0)</x:f>
        <x:v>0</x:v>
      </x:c>
      <x:c r="P61" s="391" t="str">
        <x:v>BOM_CHASSIS_ARCH</x:v>
      </x:c>
      <x:c r="Q61" s="391" t="str">
        <x:v>基础悬架结构</x:v>
      </x:c>
      <x:c r="R61" s="391" t="str">
        <x:f>IF(M61=1,C61&amp;"|"&amp;P61,"")</x:f>
        <x:v>PC-N90-MAX-CAND|BOM_CHASSIS_ARCH</x:v>
      </x:c>
      <x:c r="S61" s="391" t="str">
        <x:v>B31-C076</x:v>
      </x:c>
      <x:c r="T61" s="391" t="str">
        <x:v>B31_SRC_N90_WEB</x:v>
      </x:c>
      <x:c r="U61" s="391" t="str">
        <x:v>前双叉臂+后多连杆独立悬架</x:v>
      </x:c>
      <x:c r="V61" s="391" t="str">
        <x:v>搭载/配备/页面展示</x:v>
      </x:c>
      <x:c r="W61" s="391" t="str">
        <x:v>B_ENGINEERING_BASE_ONLY</x:v>
      </x:c>
      <x:c r="X61" s="391" t="str">
        <x:v>产品/发布材料证明车型采用或具备，但未逐项写明“标配”</x:v>
      </x:c>
      <x:c r="Y61" s="391" t="str">
        <x:v>2026-08-04</x:v>
      </x:c>
    </x:row>
    <x:row r="62" ht="50" customHeight="1">
      <x:c r="A62" s="19" t="str">
        <x:v>B31C-D057</x:v>
      </x:c>
      <x:c r="B62" s="19" t="str">
        <x:v>B31-F057</x:v>
      </x:c>
      <x:c r="C62" s="19" t="str">
        <x:v>PC-N90-MAX-CAND</x:v>
      </x:c>
      <x:c r="D62" s="19" t="str">
        <x:v>air_suspension</x:v>
      </x:c>
      <x:c r="E62" s="19" t="str">
        <x:v>CHASSIS</x:v>
      </x:c>
      <x:c r="F62" s="19" t="str">
        <x:v>EQUIPPED_STANDARD_UNCONFIRMED</x:v>
      </x:c>
      <x:c r="G62" s="19" t="str">
        <x:v>DIRECT_CLAIM</x:v>
      </x:c>
      <x:c r="H62" s="19" t="str">
        <x:v>HARDWARE_ROOT</x:v>
      </x:c>
      <x:c r="I62" s="19" t="str">
        <x:v>ENGINEERING_BASE_PROVISIONAL</x:v>
      </x:c>
      <x:c r="J62" s="19" t="n">
        <x:f>IF(I62="RELEASE_STANDARD_LOCKED",1,0)</x:f>
        <x:v>0</x:v>
      </x:c>
      <x:c r="K62" s="19" t="n">
        <x:f>IF(OR(I62="RELEASE_STANDARD_LOCKED",I62="ENGINEERING_BASE_PROVISIONAL",I62="ENGINEERING_BASE_CHAPTER_SCOPE_CANDIDATE",I62="ENGINEERING_BASE_CAPABILITY"),1,0)</x:f>
        <x:v>1</x:v>
      </x:c>
      <x:c r="L62" s="19" t="n">
        <x:f>IF(AND(J62=1,H62="HARDWARE_ROOT"),1,0)</x:f>
        <x:v>0</x:v>
      </x:c>
      <x:c r="M62" s="19" t="n">
        <x:f>IF(AND(K62=1,H62="HARDWARE_ROOT"),1,0)</x:f>
        <x:v>1</x:v>
      </x:c>
      <x:c r="N62" s="19" t="n">
        <x:f>IF(COUNTIFS('62_App售价桥闸门'!$A$6:$A$9,C62,'62_App售价桥闸门'!$K$6:$K$9,1)&gt;0,1,0)</x:f>
        <x:v>0</x:v>
      </x:c>
      <x:c r="O62" s="19" t="n">
        <x:f>IF(COUNTIFS('62_App售价桥闸门'!$A$6:$A$9,C62,'62_App售价桥闸门'!$M$6:$M$9,1)&gt;0,1,0)</x:f>
        <x:v>0</x:v>
      </x:c>
      <x:c r="P62" s="19" t="str">
        <x:v>BOM_AIR_SUSPENSION_CDC</x:v>
      </x:c>
      <x:c r="Q62" s="19" t="str">
        <x:v>空气悬架与连续阻尼减振</x:v>
      </x:c>
      <x:c r="R62" s="19" t="str">
        <x:f>IF(M62=1,C62&amp;"|"&amp;P62,"")</x:f>
        <x:v>PC-N90-MAX-CAND|BOM_AIR_SUSPENSION_CDC</x:v>
      </x:c>
      <x:c r="S62" s="19" t="str">
        <x:v>B31-C077</x:v>
      </x:c>
      <x:c r="T62" s="19" t="str">
        <x:v>B31_SRC_N90_WEB</x:v>
      </x:c>
      <x:c r="U62" s="19" t="str">
        <x:v>空气弹簧+连续阻尼可变减振器</x:v>
      </x:c>
      <x:c r="V62" s="19" t="str">
        <x:v>搭载/配备/页面展示</x:v>
      </x:c>
      <x:c r="W62" s="19" t="str">
        <x:v>B_ENGINEERING_BASE_ONLY</x:v>
      </x:c>
      <x:c r="X62" s="19" t="str">
        <x:v>产品/发布材料证明车型采用或具备，但未逐项写明“标配”</x:v>
      </x:c>
      <x:c r="Y62" s="19" t="str">
        <x:v>2026-08-04</x:v>
      </x:c>
    </x:row>
    <x:row r="63" ht="50" customHeight="1">
      <x:c r="A63" s="391" t="str">
        <x:v>B31C-D058</x:v>
      </x:c>
      <x:c r="B63" s="391" t="str">
        <x:v>B31-F058</x:v>
      </x:c>
      <x:c r="C63" s="391" t="str">
        <x:v>PC-N90-MAX-CAND</x:v>
      </x:c>
      <x:c r="D63" s="391" t="str">
        <x:v>adaptive_damper</x:v>
      </x:c>
      <x:c r="E63" s="391" t="str">
        <x:v>CHASSIS</x:v>
      </x:c>
      <x:c r="F63" s="391" t="str">
        <x:v>EQUIPPED_STANDARD_UNCONFIRMED</x:v>
      </x:c>
      <x:c r="G63" s="391" t="str">
        <x:v>DIRECT_CLAIM</x:v>
      </x:c>
      <x:c r="H63" s="391" t="str">
        <x:v>HARDWARE_SUPPORT</x:v>
      </x:c>
      <x:c r="I63" s="391" t="str">
        <x:v>ENGINEERING_BASE_PROVISIONAL</x:v>
      </x:c>
      <x:c r="J63" s="391" t="n">
        <x:f>IF(I63="RELEASE_STANDARD_LOCKED",1,0)</x:f>
        <x:v>0</x:v>
      </x:c>
      <x:c r="K63" s="391" t="n">
        <x:f>IF(OR(I63="RELEASE_STANDARD_LOCKED",I63="ENGINEERING_BASE_PROVISIONAL",I63="ENGINEERING_BASE_CHAPTER_SCOPE_CANDIDATE",I63="ENGINEERING_BASE_CAPABILITY"),1,0)</x:f>
        <x:v>1</x:v>
      </x:c>
      <x:c r="L63" s="391" t="n">
        <x:f>IF(AND(J63=1,H63="HARDWARE_ROOT"),1,0)</x:f>
        <x:v>0</x:v>
      </x:c>
      <x:c r="M63" s="391" t="n">
        <x:f>IF(AND(K63=1,H63="HARDWARE_ROOT"),1,0)</x:f>
        <x:v>0</x:v>
      </x:c>
      <x:c r="N63" s="391" t="n">
        <x:f>IF(COUNTIFS('62_App售价桥闸门'!$A$6:$A$9,C63,'62_App售价桥闸门'!$K$6:$K$9,1)&gt;0,1,0)</x:f>
        <x:v>0</x:v>
      </x:c>
      <x:c r="O63" s="391" t="n">
        <x:f>IF(COUNTIFS('62_App售价桥闸门'!$A$6:$A$9,C63,'62_App售价桥闸门'!$M$6:$M$9,1)&gt;0,1,0)</x:f>
        <x:v>0</x:v>
      </x:c>
      <x:c r="P63" s="391" t="str">
        <x:v>BOM_AIR_SUSPENSION_CDC</x:v>
      </x:c>
      <x:c r="Q63" s="391" t="str">
        <x:v>空气悬架与连续阻尼减振</x:v>
      </x:c>
      <x:c r="R63" s="391" t="str">
        <x:f>IF(M63=1,C63&amp;"|"&amp;P63,"")</x:f>
      </x:c>
      <x:c r="S63" s="391" t="str">
        <x:v>B31-C078</x:v>
      </x:c>
      <x:c r="T63" s="391" t="str">
        <x:v>B31_SRC_N90_WEB</x:v>
      </x:c>
      <x:c r="U63" s="391" t="str">
        <x:v>空气弹簧+连续阻尼可变减振器</x:v>
      </x:c>
      <x:c r="V63" s="391" t="str">
        <x:v>搭载/配备/页面展示</x:v>
      </x:c>
      <x:c r="W63" s="391" t="str">
        <x:v>B_ENGINEERING_BASE_ONLY</x:v>
      </x:c>
      <x:c r="X63" s="391" t="str">
        <x:v>产品/发布材料证明车型采用或具备，但未逐项写明“标配”</x:v>
      </x:c>
      <x:c r="Y63" s="391" t="str">
        <x:v>2026-08-04</x:v>
      </x:c>
    </x:row>
    <x:row r="64" ht="50" customHeight="1">
      <x:c r="A64" s="19" t="str">
        <x:v>B31C-D059</x:v>
      </x:c>
      <x:c r="B64" s="19" t="str">
        <x:v>B31-F059</x:v>
      </x:c>
      <x:c r="C64" s="19" t="str">
        <x:v>PC-N90-MAX-CAND</x:v>
      </x:c>
      <x:c r="D64" s="19" t="str">
        <x:v>hydraulic_bushing_count</x:v>
      </x:c>
      <x:c r="E64" s="19" t="str">
        <x:v>CHASSIS</x:v>
      </x:c>
      <x:c r="F64" s="19" t="str">
        <x:v>EQUIPPED_STANDARD_UNCONFIRMED</x:v>
      </x:c>
      <x:c r="G64" s="19" t="str">
        <x:v>DIRECT_CLAIM</x:v>
      </x:c>
      <x:c r="H64" s="19" t="str">
        <x:v>HARDWARE_ROOT</x:v>
      </x:c>
      <x:c r="I64" s="19" t="str">
        <x:v>ENGINEERING_BASE_PROVISIONAL</x:v>
      </x:c>
      <x:c r="J64" s="19" t="n">
        <x:f>IF(I64="RELEASE_STANDARD_LOCKED",1,0)</x:f>
        <x:v>0</x:v>
      </x:c>
      <x:c r="K64" s="19" t="n">
        <x:f>IF(OR(I64="RELEASE_STANDARD_LOCKED",I64="ENGINEERING_BASE_PROVISIONAL",I64="ENGINEERING_BASE_CHAPTER_SCOPE_CANDIDATE",I64="ENGINEERING_BASE_CAPABILITY"),1,0)</x:f>
        <x:v>1</x:v>
      </x:c>
      <x:c r="L64" s="19" t="n">
        <x:f>IF(AND(J64=1,H64="HARDWARE_ROOT"),1,0)</x:f>
        <x:v>0</x:v>
      </x:c>
      <x:c r="M64" s="19" t="n">
        <x:f>IF(AND(K64=1,H64="HARDWARE_ROOT"),1,0)</x:f>
        <x:v>1</x:v>
      </x:c>
      <x:c r="N64" s="19" t="n">
        <x:f>IF(COUNTIFS('62_App售价桥闸门'!$A$6:$A$9,C64,'62_App售价桥闸门'!$K$6:$K$9,1)&gt;0,1,0)</x:f>
        <x:v>0</x:v>
      </x:c>
      <x:c r="O64" s="19" t="n">
        <x:f>IF(COUNTIFS('62_App售价桥闸门'!$A$6:$A$9,C64,'62_App售价桥闸门'!$M$6:$M$9,1)&gt;0,1,0)</x:f>
        <x:v>0</x:v>
      </x:c>
      <x:c r="P64" s="19" t="str">
        <x:v>BOM_HYDRAULIC_BUSHING</x:v>
      </x:c>
      <x:c r="Q64" s="19" t="str">
        <x:v>液压衬套</x:v>
      </x:c>
      <x:c r="R64" s="19" t="str">
        <x:f>IF(M64=1,C64&amp;"|"&amp;P64,"")</x:f>
        <x:v>PC-N90-MAX-CAND|BOM_HYDRAULIC_BUSHING</x:v>
      </x:c>
      <x:c r="S64" s="19" t="str">
        <x:v>B31-C079</x:v>
      </x:c>
      <x:c r="T64" s="19" t="str">
        <x:v>B31_SRC_N90_WEB</x:v>
      </x:c>
      <x:c r="U64" s="19" t="str">
        <x:v>全车4个液压衬套</x:v>
      </x:c>
      <x:c r="V64" s="19" t="str">
        <x:v>搭载/配备/页面展示</x:v>
      </x:c>
      <x:c r="W64" s="19" t="str">
        <x:v>B_ENGINEERING_BASE_ONLY</x:v>
      </x:c>
      <x:c r="X64" s="19" t="str">
        <x:v>产品/发布材料证明车型采用或具备，但未逐项写明“标配”</x:v>
      </x:c>
      <x:c r="Y64" s="19" t="str">
        <x:v>2026-08-04</x:v>
      </x:c>
    </x:row>
    <x:row r="65" ht="50" customHeight="1">
      <x:c r="A65" s="391" t="str">
        <x:v>B31C-D060</x:v>
      </x:c>
      <x:c r="B65" s="391" t="str">
        <x:v>B31-F060</x:v>
      </x:c>
      <x:c r="C65" s="391" t="str">
        <x:v>PC-N90-MAX-CAND</x:v>
      </x:c>
      <x:c r="D65" s="391" t="str">
        <x:v>brake_control</x:v>
      </x:c>
      <x:c r="E65" s="391" t="str">
        <x:v>CHASSIS</x:v>
      </x:c>
      <x:c r="F65" s="391" t="str">
        <x:v>EQUIPPED_STANDARD_UNCONFIRMED</x:v>
      </x:c>
      <x:c r="G65" s="391" t="str">
        <x:v>DIRECT_CLAIM</x:v>
      </x:c>
      <x:c r="H65" s="391" t="str">
        <x:v>HARDWARE_ROOT</x:v>
      </x:c>
      <x:c r="I65" s="391" t="str">
        <x:v>ENGINEERING_BASE_PROVISIONAL</x:v>
      </x:c>
      <x:c r="J65" s="391" t="n">
        <x:f>IF(I65="RELEASE_STANDARD_LOCKED",1,0)</x:f>
        <x:v>0</x:v>
      </x:c>
      <x:c r="K65" s="391" t="n">
        <x:f>IF(OR(I65="RELEASE_STANDARD_LOCKED",I65="ENGINEERING_BASE_PROVISIONAL",I65="ENGINEERING_BASE_CHAPTER_SCOPE_CANDIDATE",I65="ENGINEERING_BASE_CAPABILITY"),1,0)</x:f>
        <x:v>1</x:v>
      </x:c>
      <x:c r="L65" s="391" t="n">
        <x:f>IF(AND(J65=1,H65="HARDWARE_ROOT"),1,0)</x:f>
        <x:v>0</x:v>
      </x:c>
      <x:c r="M65" s="391" t="n">
        <x:f>IF(AND(K65=1,H65="HARDWARE_ROOT"),1,0)</x:f>
        <x:v>1</x:v>
      </x:c>
      <x:c r="N65" s="391" t="n">
        <x:f>IF(COUNTIFS('62_App售价桥闸门'!$A$6:$A$9,C65,'62_App售价桥闸门'!$K$6:$K$9,1)&gt;0,1,0)</x:f>
        <x:v>0</x:v>
      </x:c>
      <x:c r="O65" s="391" t="n">
        <x:f>IF(COUNTIFS('62_App售价桥闸门'!$A$6:$A$9,C65,'62_App售价桥闸门'!$M$6:$M$9,1)&gt;0,1,0)</x:f>
        <x:v>0</x:v>
      </x:c>
      <x:c r="P65" s="391" t="str">
        <x:v>BOM_BRAKING</x:v>
      </x:c>
      <x:c r="Q65" s="391" t="str">
        <x:v>制动系统</x:v>
      </x:c>
      <x:c r="R65" s="391" t="str">
        <x:f>IF(M65=1,C65&amp;"|"&amp;P65,"")</x:f>
        <x:v>PC-N90-MAX-CAND|BOM_BRAKING</x:v>
      </x:c>
      <x:c r="S65" s="391" t="str">
        <x:v>B31-C080</x:v>
      </x:c>
      <x:c r="T65" s="391" t="str">
        <x:v>B31_SRC_N90_WEB</x:v>
      </x:c>
      <x:c r="U65" s="391" t="str">
        <x:v>博世ESP 10.0车身稳定系统、博世DPB智能制动助力器</x:v>
      </x:c>
      <x:c r="V65" s="391" t="str">
        <x:v>搭载/配备/页面展示</x:v>
      </x:c>
      <x:c r="W65" s="391" t="str">
        <x:v>B_ENGINEERING_BASE_ONLY</x:v>
      </x:c>
      <x:c r="X65" s="391" t="str">
        <x:v>产品/发布材料证明车型采用或具备，但未逐项写明“标配”</x:v>
      </x:c>
      <x:c r="Y65" s="391" t="str">
        <x:v>2026-08-04</x:v>
      </x:c>
    </x:row>
    <x:row r="66" ht="50" customHeight="1">
      <x:c r="A66" s="19" t="str">
        <x:v>B31C-D061</x:v>
      </x:c>
      <x:c r="B66" s="19" t="str">
        <x:v>B31-F061</x:v>
      </x:c>
      <x:c r="C66" s="19" t="str">
        <x:v>PC-N90-MAX-CAND</x:v>
      </x:c>
      <x:c r="D66" s="19" t="str">
        <x:v>tire_width_front_rear</x:v>
      </x:c>
      <x:c r="E66" s="19" t="str">
        <x:v>CHASSIS</x:v>
      </x:c>
      <x:c r="F66" s="19" t="str">
        <x:v>EQUIPPED_STANDARD_UNCONFIRMED</x:v>
      </x:c>
      <x:c r="G66" s="19" t="str">
        <x:v>DIRECT_CLAIM</x:v>
      </x:c>
      <x:c r="H66" s="19" t="str">
        <x:v>HARDWARE_ROOT</x:v>
      </x:c>
      <x:c r="I66" s="19" t="str">
        <x:v>ENGINEERING_BASE_PROVISIONAL</x:v>
      </x:c>
      <x:c r="J66" s="19" t="n">
        <x:f>IF(I66="RELEASE_STANDARD_LOCKED",1,0)</x:f>
        <x:v>0</x:v>
      </x:c>
      <x:c r="K66" s="19" t="n">
        <x:f>IF(OR(I66="RELEASE_STANDARD_LOCKED",I66="ENGINEERING_BASE_PROVISIONAL",I66="ENGINEERING_BASE_CHAPTER_SCOPE_CANDIDATE",I66="ENGINEERING_BASE_CAPABILITY"),1,0)</x:f>
        <x:v>1</x:v>
      </x:c>
      <x:c r="L66" s="19" t="n">
        <x:f>IF(AND(J66=1,H66="HARDWARE_ROOT"),1,0)</x:f>
        <x:v>0</x:v>
      </x:c>
      <x:c r="M66" s="19" t="n">
        <x:f>IF(AND(K66=1,H66="HARDWARE_ROOT"),1,0)</x:f>
        <x:v>1</x:v>
      </x:c>
      <x:c r="N66" s="19" t="n">
        <x:f>IF(COUNTIFS('62_App售价桥闸门'!$A$6:$A$9,C66,'62_App售价桥闸门'!$K$6:$K$9,1)&gt;0,1,0)</x:f>
        <x:v>0</x:v>
      </x:c>
      <x:c r="O66" s="19" t="n">
        <x:f>IF(COUNTIFS('62_App售价桥闸门'!$A$6:$A$9,C66,'62_App售价桥闸门'!$M$6:$M$9,1)&gt;0,1,0)</x:f>
        <x:v>0</x:v>
      </x:c>
      <x:c r="P66" s="19" t="str">
        <x:v>BOM_TIRE_WHEEL_BASE</x:v>
      </x:c>
      <x:c r="Q66" s="19" t="str">
        <x:v>基础轮胎与行驶系统</x:v>
      </x:c>
      <x:c r="R66" s="19" t="str">
        <x:f>IF(M66=1,C66&amp;"|"&amp;P66,"")</x:f>
        <x:v>PC-N90-MAX-CAND|BOM_TIRE_WHEEL_BASE</x:v>
      </x:c>
      <x:c r="S66" s="19" t="str">
        <x:v>B31-C081</x:v>
      </x:c>
      <x:c r="T66" s="19" t="str">
        <x:v>B31_SRC_N90_WEB</x:v>
      </x:c>
      <x:c r="U66" s="19" t="str">
        <x:v>前255mm、后265mm静音宽胎</x:v>
      </x:c>
      <x:c r="V66" s="19" t="str">
        <x:v>搭载/配备/页面展示</x:v>
      </x:c>
      <x:c r="W66" s="19" t="str">
        <x:v>B_ENGINEERING_BASE_ONLY</x:v>
      </x:c>
      <x:c r="X66" s="19" t="str">
        <x:v>产品/发布材料证明车型采用或具备，但未逐项写明“标配”</x:v>
      </x:c>
      <x:c r="Y66" s="19" t="str">
        <x:v>2026-08-04</x:v>
      </x:c>
    </x:row>
    <x:row r="67" ht="50" customHeight="1">
      <x:c r="A67" s="391" t="str">
        <x:v>B31C-D062</x:v>
      </x:c>
      <x:c r="B67" s="391" t="str">
        <x:v>B31-F062</x:v>
      </x:c>
      <x:c r="C67" s="391" t="str">
        <x:v>PC-N90-MAX-CAND</x:v>
      </x:c>
      <x:c r="D67" s="391" t="str">
        <x:v>turning_radius</x:v>
      </x:c>
      <x:c r="E67" s="391" t="str">
        <x:v>CHASSIS</x:v>
      </x:c>
      <x:c r="F67" s="391" t="str">
        <x:v>EQUIPPED_STANDARD_UNCONFIRMED</x:v>
      </x:c>
      <x:c r="G67" s="391" t="str">
        <x:v>DIRECT_CLAIM</x:v>
      </x:c>
      <x:c r="H67" s="391" t="str">
        <x:v>SPEC_METRIC</x:v>
      </x:c>
      <x:c r="I67" s="391" t="str">
        <x:v>ENGINEERING_BASE_PROVISIONAL</x:v>
      </x:c>
      <x:c r="J67" s="391" t="n">
        <x:f>IF(I67="RELEASE_STANDARD_LOCKED",1,0)</x:f>
        <x:v>0</x:v>
      </x:c>
      <x:c r="K67" s="391" t="n">
        <x:f>IF(OR(I67="RELEASE_STANDARD_LOCKED",I67="ENGINEERING_BASE_PROVISIONAL",I67="ENGINEERING_BASE_CHAPTER_SCOPE_CANDIDATE",I67="ENGINEERING_BASE_CAPABILITY"),1,0)</x:f>
        <x:v>1</x:v>
      </x:c>
      <x:c r="L67" s="391" t="n">
        <x:f>IF(AND(J67=1,H67="HARDWARE_ROOT"),1,0)</x:f>
        <x:v>0</x:v>
      </x:c>
      <x:c r="M67" s="391" t="n">
        <x:f>IF(AND(K67=1,H67="HARDWARE_ROOT"),1,0)</x:f>
        <x:v>0</x:v>
      </x:c>
      <x:c r="N67" s="391" t="n">
        <x:f>IF(COUNTIFS('62_App售价桥闸门'!$A$6:$A$9,C67,'62_App售价桥闸门'!$K$6:$K$9,1)&gt;0,1,0)</x:f>
        <x:v>0</x:v>
      </x:c>
      <x:c r="O67" s="391" t="n">
        <x:f>IF(COUNTIFS('62_App售价桥闸门'!$A$6:$A$9,C67,'62_App售价桥闸门'!$M$6:$M$9,1)&gt;0,1,0)</x:f>
        <x:v>0</x:v>
      </x:c>
      <x:c r="P67" s="391" t="str">
        <x:v>BOM_TIRE_WHEEL_BASE</x:v>
      </x:c>
      <x:c r="Q67" s="391" t="str">
        <x:v>基础轮胎与行驶系统</x:v>
      </x:c>
      <x:c r="R67" s="391" t="str">
        <x:f>IF(M67=1,C67&amp;"|"&amp;P67,"")</x:f>
      </x:c>
      <x:c r="S67" s="391" t="str">
        <x:v>B31-C082</x:v>
      </x:c>
      <x:c r="T67" s="391" t="str">
        <x:v>B31_SRC_N90_WEB</x:v>
      </x:c>
      <x:c r="U67" s="391" t="str">
        <x:v>仅5.95m转弯半径</x:v>
      </x:c>
      <x:c r="V67" s="391" t="str">
        <x:v>搭载/配备/页面展示</x:v>
      </x:c>
      <x:c r="W67" s="391" t="str">
        <x:v>B_ENGINEERING_BASE_ONLY</x:v>
      </x:c>
      <x:c r="X67" s="391" t="str">
        <x:v>产品/发布材料证明车型采用或具备，但未逐项写明“标配”</x:v>
      </x:c>
      <x:c r="Y67" s="391" t="str">
        <x:v>2026-08-04</x:v>
      </x:c>
    </x:row>
    <x:row r="68" ht="50" customHeight="1">
      <x:c r="A68" s="19" t="str">
        <x:v>B31C-D063</x:v>
      </x:c>
      <x:c r="B68" s="19" t="str">
        <x:v>B31-F063</x:v>
      </x:c>
      <x:c r="C68" s="19" t="str">
        <x:v>PC-N90-MAX-CAND</x:v>
      </x:c>
      <x:c r="D68" s="19" t="str">
        <x:v>braking_100_0</x:v>
      </x:c>
      <x:c r="E68" s="19" t="str">
        <x:v>CHASSIS</x:v>
      </x:c>
      <x:c r="F68" s="19" t="str">
        <x:v>EQUIPPED_STANDARD_UNCONFIRMED</x:v>
      </x:c>
      <x:c r="G68" s="19" t="str">
        <x:v>DIRECT_CLAIM</x:v>
      </x:c>
      <x:c r="H68" s="19" t="str">
        <x:v>SPEC_METRIC</x:v>
      </x:c>
      <x:c r="I68" s="19" t="str">
        <x:v>ENGINEERING_BASE_PROVISIONAL</x:v>
      </x:c>
      <x:c r="J68" s="19" t="n">
        <x:f>IF(I68="RELEASE_STANDARD_LOCKED",1,0)</x:f>
        <x:v>0</x:v>
      </x:c>
      <x:c r="K68" s="19" t="n">
        <x:f>IF(OR(I68="RELEASE_STANDARD_LOCKED",I68="ENGINEERING_BASE_PROVISIONAL",I68="ENGINEERING_BASE_CHAPTER_SCOPE_CANDIDATE",I68="ENGINEERING_BASE_CAPABILITY"),1,0)</x:f>
        <x:v>1</x:v>
      </x:c>
      <x:c r="L68" s="19" t="n">
        <x:f>IF(AND(J68=1,H68="HARDWARE_ROOT"),1,0)</x:f>
        <x:v>0</x:v>
      </x:c>
      <x:c r="M68" s="19" t="n">
        <x:f>IF(AND(K68=1,H68="HARDWARE_ROOT"),1,0)</x:f>
        <x:v>0</x:v>
      </x:c>
      <x:c r="N68" s="19" t="n">
        <x:f>IF(COUNTIFS('62_App售价桥闸门'!$A$6:$A$9,C68,'62_App售价桥闸门'!$K$6:$K$9,1)&gt;0,1,0)</x:f>
        <x:v>0</x:v>
      </x:c>
      <x:c r="O68" s="19" t="n">
        <x:f>IF(COUNTIFS('62_App售价桥闸门'!$A$6:$A$9,C68,'62_App售价桥闸门'!$M$6:$M$9,1)&gt;0,1,0)</x:f>
        <x:v>0</x:v>
      </x:c>
      <x:c r="P68" s="19" t="str">
        <x:v>BOM_BRAKING</x:v>
      </x:c>
      <x:c r="Q68" s="19" t="str">
        <x:v>制动系统</x:v>
      </x:c>
      <x:c r="R68" s="19" t="str">
        <x:f>IF(M68=1,C68&amp;"|"&amp;P68,"")</x:f>
      </x:c>
      <x:c r="S68" s="19" t="str">
        <x:v>B31-C083</x:v>
      </x:c>
      <x:c r="T68" s="19" t="str">
        <x:v>B31_SRC_N90_WEB</x:v>
      </x:c>
      <x:c r="U68" s="19" t="str">
        <x:v>100-0km/h制动距离38.57m</x:v>
      </x:c>
      <x:c r="V68" s="19" t="str">
        <x:v>搭载/配备/页面展示</x:v>
      </x:c>
      <x:c r="W68" s="19" t="str">
        <x:v>B_ENGINEERING_BASE_ONLY</x:v>
      </x:c>
      <x:c r="X68" s="19" t="str">
        <x:v>产品/发布材料证明车型采用或具备，但未逐项写明“标配”</x:v>
      </x:c>
      <x:c r="Y68" s="19" t="str">
        <x:v>2026-08-04</x:v>
      </x:c>
    </x:row>
    <x:row r="69" ht="50" customHeight="1">
      <x:c r="A69" s="391" t="str">
        <x:v>B31C-D064</x:v>
      </x:c>
      <x:c r="B69" s="391" t="str">
        <x:v>B31-F064</x:v>
      </x:c>
      <x:c r="C69" s="391" t="str">
        <x:v>PC-N90-MAX-CAND</x:v>
      </x:c>
      <x:c r="D69" s="391" t="str">
        <x:v>blowout_stability_speed</x:v>
      </x:c>
      <x:c r="E69" s="391" t="str">
        <x:v>SAFETY</x:v>
      </x:c>
      <x:c r="F69" s="391" t="str">
        <x:v>EQUIPPED_STANDARD_UNCONFIRMED</x:v>
      </x:c>
      <x:c r="G69" s="391" t="str">
        <x:v>DIRECT_CLAIM</x:v>
      </x:c>
      <x:c r="H69" s="391" t="str">
        <x:v>SPEC_METRIC</x:v>
      </x:c>
      <x:c r="I69" s="391" t="str">
        <x:v>ENGINEERING_BASE_PROVISIONAL</x:v>
      </x:c>
      <x:c r="J69" s="391" t="n">
        <x:f>IF(I69="RELEASE_STANDARD_LOCKED",1,0)</x:f>
        <x:v>0</x:v>
      </x:c>
      <x:c r="K69" s="391" t="n">
        <x:f>IF(OR(I69="RELEASE_STANDARD_LOCKED",I69="ENGINEERING_BASE_PROVISIONAL",I69="ENGINEERING_BASE_CHAPTER_SCOPE_CANDIDATE",I69="ENGINEERING_BASE_CAPABILITY"),1,0)</x:f>
        <x:v>1</x:v>
      </x:c>
      <x:c r="L69" s="391" t="n">
        <x:f>IF(AND(J69=1,H69="HARDWARE_ROOT"),1,0)</x:f>
        <x:v>0</x:v>
      </x:c>
      <x:c r="M69" s="391" t="n">
        <x:f>IF(AND(K69=1,H69="HARDWARE_ROOT"),1,0)</x:f>
        <x:v>0</x:v>
      </x:c>
      <x:c r="N69" s="391" t="n">
        <x:f>IF(COUNTIFS('62_App售价桥闸门'!$A$6:$A$9,C69,'62_App售价桥闸门'!$K$6:$K$9,1)&gt;0,1,0)</x:f>
        <x:v>0</x:v>
      </x:c>
      <x:c r="O69" s="391" t="n">
        <x:f>IF(COUNTIFS('62_App售价桥闸门'!$A$6:$A$9,C69,'62_App售价桥闸门'!$M$6:$M$9,1)&gt;0,1,0)</x:f>
        <x:v>0</x:v>
      </x:c>
      <x:c r="P69" s="391" t="str">
        <x:v>BOM_TIRE_WHEEL_BASE</x:v>
      </x:c>
      <x:c r="Q69" s="391" t="str">
        <x:v>基础轮胎与行驶系统</x:v>
      </x:c>
      <x:c r="R69" s="391" t="str">
        <x:f>IF(M69=1,C69&amp;"|"&amp;P69,"")</x:f>
      </x:c>
      <x:c r="S69" s="391" t="str">
        <x:v>B31-C084</x:v>
      </x:c>
      <x:c r="T69" s="391" t="str">
        <x:v>B31_SRC_N90_WEB</x:v>
      </x:c>
      <x:c r="U69" s="391" t="str">
        <x:v>160km/h高速爆胎稳定控制</x:v>
      </x:c>
      <x:c r="V69" s="391" t="str">
        <x:v>搭载/配备/页面展示</x:v>
      </x:c>
      <x:c r="W69" s="391" t="str">
        <x:v>B_ENGINEERING_BASE_ONLY</x:v>
      </x:c>
      <x:c r="X69" s="391" t="str">
        <x:v>产品/发布材料证明车型采用或具备，但未逐项写明“标配”</x:v>
      </x:c>
      <x:c r="Y69" s="391" t="str">
        <x:v>2026-08-04</x:v>
      </x:c>
    </x:row>
    <x:row r="70" ht="50" customHeight="1">
      <x:c r="A70" s="19" t="str">
        <x:v>B31C-D065</x:v>
      </x:c>
      <x:c r="B70" s="19" t="str">
        <x:v>B31-F065</x:v>
      </x:c>
      <x:c r="C70" s="19" t="str">
        <x:v>PC-N90-MAX-CAND</x:v>
      </x:c>
      <x:c r="D70" s="19" t="str">
        <x:v>integrated_door_ring</x:v>
      </x:c>
      <x:c r="E70" s="19" t="str">
        <x:v>BODY_SAFETY</x:v>
      </x:c>
      <x:c r="F70" s="19" t="str">
        <x:v>EQUIPPED_STANDARD_UNCONFIRMED</x:v>
      </x:c>
      <x:c r="G70" s="19" t="str">
        <x:v>DIRECT_CLAIM</x:v>
      </x:c>
      <x:c r="H70" s="19" t="str">
        <x:v>HARDWARE_ROOT</x:v>
      </x:c>
      <x:c r="I70" s="19" t="str">
        <x:v>ENGINEERING_BASE_PROVISIONAL</x:v>
      </x:c>
      <x:c r="J70" s="19" t="n">
        <x:f>IF(I70="RELEASE_STANDARD_LOCKED",1,0)</x:f>
        <x:v>0</x:v>
      </x:c>
      <x:c r="K70" s="19" t="n">
        <x:f>IF(OR(I70="RELEASE_STANDARD_LOCKED",I70="ENGINEERING_BASE_PROVISIONAL",I70="ENGINEERING_BASE_CHAPTER_SCOPE_CANDIDATE",I70="ENGINEERING_BASE_CAPABILITY"),1,0)</x:f>
        <x:v>1</x:v>
      </x:c>
      <x:c r="L70" s="19" t="n">
        <x:f>IF(AND(J70=1,H70="HARDWARE_ROOT"),1,0)</x:f>
        <x:v>0</x:v>
      </x:c>
      <x:c r="M70" s="19" t="n">
        <x:f>IF(AND(K70=1,H70="HARDWARE_ROOT"),1,0)</x:f>
        <x:v>1</x:v>
      </x:c>
      <x:c r="N70" s="19" t="n">
        <x:f>IF(COUNTIFS('62_App售价桥闸门'!$A$6:$A$9,C70,'62_App售价桥闸门'!$K$6:$K$9,1)&gt;0,1,0)</x:f>
        <x:v>0</x:v>
      </x:c>
      <x:c r="O70" s="19" t="n">
        <x:f>IF(COUNTIFS('62_App售价桥闸门'!$A$6:$A$9,C70,'62_App售价桥闸门'!$M$6:$M$9,1)&gt;0,1,0)</x:f>
        <x:v>0</x:v>
      </x:c>
      <x:c r="P70" s="19" t="str">
        <x:v>BOM_BODY_SAFETY</x:v>
      </x:c>
      <x:c r="Q70" s="19" t="str">
        <x:v>白车身安全结构</x:v>
      </x:c>
      <x:c r="R70" s="19" t="str">
        <x:f>IF(M70=1,C70&amp;"|"&amp;P70,"")</x:f>
        <x:v>PC-N90-MAX-CAND|BOM_BODY_SAFETY</x:v>
      </x:c>
      <x:c r="S70" s="19" t="str">
        <x:v>B31-C085</x:v>
      </x:c>
      <x:c r="T70" s="19" t="str">
        <x:v>B31_SRC_N90_WEB</x:v>
      </x:c>
      <x:c r="U70" s="19" t="str">
        <x:v>13合1热成型门环，贯穿一二三排、覆盖ABCD柱</x:v>
      </x:c>
      <x:c r="V70" s="19" t="str">
        <x:v>搭载/配备/页面展示</x:v>
      </x:c>
      <x:c r="W70" s="19" t="str">
        <x:v>B_ENGINEERING_BASE_ONLY</x:v>
      </x:c>
      <x:c r="X70" s="19" t="str">
        <x:v>产品/发布材料证明车型采用或具备，但未逐项写明“标配”</x:v>
      </x:c>
      <x:c r="Y70" s="19" t="str">
        <x:v>2026-08-04</x:v>
      </x:c>
    </x:row>
    <x:row r="71" ht="50" customHeight="1">
      <x:c r="A71" s="391" t="str">
        <x:v>B31C-D066</x:v>
      </x:c>
      <x:c r="B71" s="391" t="str">
        <x:v>B31-F066</x:v>
      </x:c>
      <x:c r="C71" s="391" t="str">
        <x:v>PC-N90-MAX-CAND</x:v>
      </x:c>
      <x:c r="D71" s="391" t="str">
        <x:v>high_strength_material_ratio</x:v>
      </x:c>
      <x:c r="E71" s="391" t="str">
        <x:v>BODY_SAFETY</x:v>
      </x:c>
      <x:c r="F71" s="391" t="str">
        <x:v>EQUIPPED_STANDARD_UNCONFIRMED</x:v>
      </x:c>
      <x:c r="G71" s="391" t="str">
        <x:v>DIRECT_CLAIM</x:v>
      </x:c>
      <x:c r="H71" s="391" t="str">
        <x:v>HARDWARE_SUPPORT</x:v>
      </x:c>
      <x:c r="I71" s="391" t="str">
        <x:v>ENGINEERING_BASE_PROVISIONAL</x:v>
      </x:c>
      <x:c r="J71" s="391" t="n">
        <x:f>IF(I71="RELEASE_STANDARD_LOCKED",1,0)</x:f>
        <x:v>0</x:v>
      </x:c>
      <x:c r="K71" s="391" t="n">
        <x:f>IF(OR(I71="RELEASE_STANDARD_LOCKED",I71="ENGINEERING_BASE_PROVISIONAL",I71="ENGINEERING_BASE_CHAPTER_SCOPE_CANDIDATE",I71="ENGINEERING_BASE_CAPABILITY"),1,0)</x:f>
        <x:v>1</x:v>
      </x:c>
      <x:c r="L71" s="391" t="n">
        <x:f>IF(AND(J71=1,H71="HARDWARE_ROOT"),1,0)</x:f>
        <x:v>0</x:v>
      </x:c>
      <x:c r="M71" s="391" t="n">
        <x:f>IF(AND(K71=1,H71="HARDWARE_ROOT"),1,0)</x:f>
        <x:v>0</x:v>
      </x:c>
      <x:c r="N71" s="391" t="n">
        <x:f>IF(COUNTIFS('62_App售价桥闸门'!$A$6:$A$9,C71,'62_App售价桥闸门'!$K$6:$K$9,1)&gt;0,1,0)</x:f>
        <x:v>0</x:v>
      </x:c>
      <x:c r="O71" s="391" t="n">
        <x:f>IF(COUNTIFS('62_App售价桥闸门'!$A$6:$A$9,C71,'62_App售价桥闸门'!$M$6:$M$9,1)&gt;0,1,0)</x:f>
        <x:v>0</x:v>
      </x:c>
      <x:c r="P71" s="391" t="str">
        <x:v>BOM_BODY_SAFETY</x:v>
      </x:c>
      <x:c r="Q71" s="391" t="str">
        <x:v>白车身安全结构</x:v>
      </x:c>
      <x:c r="R71" s="391" t="str">
        <x:f>IF(M71=1,C71&amp;"|"&amp;P71,"")</x:f>
      </x:c>
      <x:c r="S71" s="391" t="str">
        <x:v>B31-C086</x:v>
      </x:c>
      <x:c r="T71" s="391" t="str">
        <x:v>B31_SRC_N90_WEB</x:v>
      </x:c>
      <x:c r="U71" s="391" t="str">
        <x:v>90.4%高强度钢和铝合金占比</x:v>
      </x:c>
      <x:c r="V71" s="391" t="str">
        <x:v>搭载/配备/页面展示</x:v>
      </x:c>
      <x:c r="W71" s="391" t="str">
        <x:v>B_ENGINEERING_BASE_ONLY</x:v>
      </x:c>
      <x:c r="X71" s="391" t="str">
        <x:v>产品/发布材料证明车型采用或具备，但未逐项写明“标配”</x:v>
      </x:c>
      <x:c r="Y71" s="391" t="str">
        <x:v>2026-08-04</x:v>
      </x:c>
    </x:row>
    <x:row r="72" ht="50" customHeight="1">
      <x:c r="A72" s="19" t="str">
        <x:v>B31C-D067</x:v>
      </x:c>
      <x:c r="B72" s="19" t="str">
        <x:v>B31-F067</x:v>
      </x:c>
      <x:c r="C72" s="19" t="str">
        <x:v>PC-N90-MAX-CAND</x:v>
      </x:c>
      <x:c r="D72" s="19" t="str">
        <x:v>steel_2200mpa_locations</x:v>
      </x:c>
      <x:c r="E72" s="19" t="str">
        <x:v>BODY_SAFETY</x:v>
      </x:c>
      <x:c r="F72" s="19" t="str">
        <x:v>EQUIPPED_STANDARD_UNCONFIRMED</x:v>
      </x:c>
      <x:c r="G72" s="19" t="str">
        <x:v>DIRECT_CLAIM</x:v>
      </x:c>
      <x:c r="H72" s="19" t="str">
        <x:v>HARDWARE_SUPPORT</x:v>
      </x:c>
      <x:c r="I72" s="19" t="str">
        <x:v>ENGINEERING_BASE_PROVISIONAL</x:v>
      </x:c>
      <x:c r="J72" s="19" t="n">
        <x:f>IF(I72="RELEASE_STANDARD_LOCKED",1,0)</x:f>
        <x:v>0</x:v>
      </x:c>
      <x:c r="K72" s="19" t="n">
        <x:f>IF(OR(I72="RELEASE_STANDARD_LOCKED",I72="ENGINEERING_BASE_PROVISIONAL",I72="ENGINEERING_BASE_CHAPTER_SCOPE_CANDIDATE",I72="ENGINEERING_BASE_CAPABILITY"),1,0)</x:f>
        <x:v>1</x:v>
      </x:c>
      <x:c r="L72" s="19" t="n">
        <x:f>IF(AND(J72=1,H72="HARDWARE_ROOT"),1,0)</x:f>
        <x:v>0</x:v>
      </x:c>
      <x:c r="M72" s="19" t="n">
        <x:f>IF(AND(K72=1,H72="HARDWARE_ROOT"),1,0)</x:f>
        <x:v>0</x:v>
      </x:c>
      <x:c r="N72" s="19" t="n">
        <x:f>IF(COUNTIFS('62_App售价桥闸门'!$A$6:$A$9,C72,'62_App售价桥闸门'!$K$6:$K$9,1)&gt;0,1,0)</x:f>
        <x:v>0</x:v>
      </x:c>
      <x:c r="O72" s="19" t="n">
        <x:f>IF(COUNTIFS('62_App售价桥闸门'!$A$6:$A$9,C72,'62_App售价桥闸门'!$M$6:$M$9,1)&gt;0,1,0)</x:f>
        <x:v>0</x:v>
      </x:c>
      <x:c r="P72" s="19" t="str">
        <x:v>BOM_BODY_SAFETY</x:v>
      </x:c>
      <x:c r="Q72" s="19" t="str">
        <x:v>白车身安全结构</x:v>
      </x:c>
      <x:c r="R72" s="19" t="str">
        <x:f>IF(M72=1,C72&amp;"|"&amp;P72,"")</x:f>
      </x:c>
      <x:c r="S72" s="19" t="str">
        <x:v>B31-C087</x:v>
      </x:c>
      <x:c r="T72" s="19" t="str">
        <x:v>B31_SRC_N90_WEB</x:v>
      </x:c>
      <x:c r="U72" s="19" t="str">
        <x:v>16处2200MPa小米超强钢</x:v>
      </x:c>
      <x:c r="V72" s="19" t="str">
        <x:v>搭载/配备/页面展示</x:v>
      </x:c>
      <x:c r="W72" s="19" t="str">
        <x:v>B_ENGINEERING_BASE_ONLY</x:v>
      </x:c>
      <x:c r="X72" s="19" t="str">
        <x:v>产品/发布材料证明车型采用或具备，但未逐项写明“标配”</x:v>
      </x:c>
      <x:c r="Y72" s="19" t="str">
        <x:v>2026-08-04</x:v>
      </x:c>
    </x:row>
    <x:row r="73" ht="50" customHeight="1">
      <x:c r="A73" s="391" t="str">
        <x:v>B31C-D068</x:v>
      </x:c>
      <x:c r="B73" s="391" t="str">
        <x:v>B31-F068</x:v>
      </x:c>
      <x:c r="C73" s="391" t="str">
        <x:v>PC-N90-MAX-CAND</x:v>
      </x:c>
      <x:c r="D73" s="391" t="str">
        <x:v>roof_crush_load</x:v>
      </x:c>
      <x:c r="E73" s="391" t="str">
        <x:v>BODY_SAFETY</x:v>
      </x:c>
      <x:c r="F73" s="391" t="str">
        <x:v>EQUIPPED_STANDARD_UNCONFIRMED</x:v>
      </x:c>
      <x:c r="G73" s="391" t="str">
        <x:v>DIRECT_CLAIM</x:v>
      </x:c>
      <x:c r="H73" s="391" t="str">
        <x:v>SPEC_METRIC</x:v>
      </x:c>
      <x:c r="I73" s="391" t="str">
        <x:v>ENGINEERING_BASE_PROVISIONAL</x:v>
      </x:c>
      <x:c r="J73" s="391" t="n">
        <x:f>IF(I73="RELEASE_STANDARD_LOCKED",1,0)</x:f>
        <x:v>0</x:v>
      </x:c>
      <x:c r="K73" s="391" t="n">
        <x:f>IF(OR(I73="RELEASE_STANDARD_LOCKED",I73="ENGINEERING_BASE_PROVISIONAL",I73="ENGINEERING_BASE_CHAPTER_SCOPE_CANDIDATE",I73="ENGINEERING_BASE_CAPABILITY"),1,0)</x:f>
        <x:v>1</x:v>
      </x:c>
      <x:c r="L73" s="391" t="n">
        <x:f>IF(AND(J73=1,H73="HARDWARE_ROOT"),1,0)</x:f>
        <x:v>0</x:v>
      </x:c>
      <x:c r="M73" s="391" t="n">
        <x:f>IF(AND(K73=1,H73="HARDWARE_ROOT"),1,0)</x:f>
        <x:v>0</x:v>
      </x:c>
      <x:c r="N73" s="391" t="n">
        <x:f>IF(COUNTIFS('62_App售价桥闸门'!$A$6:$A$9,C73,'62_App售价桥闸门'!$K$6:$K$9,1)&gt;0,1,0)</x:f>
        <x:v>0</x:v>
      </x:c>
      <x:c r="O73" s="391" t="n">
        <x:f>IF(COUNTIFS('62_App售价桥闸门'!$A$6:$A$9,C73,'62_App售价桥闸门'!$M$6:$M$9,1)&gt;0,1,0)</x:f>
        <x:v>0</x:v>
      </x:c>
      <x:c r="P73" s="391" t="str">
        <x:v>BOM_BODY_SAFETY</x:v>
      </x:c>
      <x:c r="Q73" s="391" t="str">
        <x:v>白车身安全结构</x:v>
      </x:c>
      <x:c r="R73" s="391" t="str">
        <x:f>IF(M73=1,C73&amp;"|"&amp;P73,"")</x:f>
      </x:c>
      <x:c r="S73" s="391" t="str">
        <x:v>B31-C088</x:v>
      </x:c>
      <x:c r="T73" s="391" t="str">
        <x:v>B31_SRC_N90_WEB</x:v>
      </x:c>
      <x:c r="U73" s="391" t="str">
        <x:v>顶压载荷高达136.6kN</x:v>
      </x:c>
      <x:c r="V73" s="391" t="str">
        <x:v>搭载/配备/页面展示</x:v>
      </x:c>
      <x:c r="W73" s="391" t="str">
        <x:v>B_ENGINEERING_BASE_ONLY</x:v>
      </x:c>
      <x:c r="X73" s="391" t="str">
        <x:v>产品/发布材料证明车型采用或具备，但未逐项写明“标配”</x:v>
      </x:c>
      <x:c r="Y73" s="391" t="str">
        <x:v>2026-08-04</x:v>
      </x:c>
    </x:row>
    <x:row r="74" ht="50" customHeight="1">
      <x:c r="A74" s="19" t="str">
        <x:v>B31C-D069</x:v>
      </x:c>
      <x:c r="B74" s="19" t="str">
        <x:v>B31-F069</x:v>
      </x:c>
      <x:c r="C74" s="19" t="str">
        <x:v>PC-N90-MAX-CAND</x:v>
      </x:c>
      <x:c r="D74" s="19" t="str">
        <x:v>airbag_count</x:v>
      </x:c>
      <x:c r="E74" s="19" t="str">
        <x:v>SAFETY</x:v>
      </x:c>
      <x:c r="F74" s="19" t="str">
        <x:v>EQUIPPED_STANDARD_UNCONFIRMED</x:v>
      </x:c>
      <x:c r="G74" s="19" t="str">
        <x:v>DIRECT_CLAIM</x:v>
      </x:c>
      <x:c r="H74" s="19" t="str">
        <x:v>HARDWARE_ROOT</x:v>
      </x:c>
      <x:c r="I74" s="19" t="str">
        <x:v>ENGINEERING_BASE_PROVISIONAL</x:v>
      </x:c>
      <x:c r="J74" s="19" t="n">
        <x:f>IF(I74="RELEASE_STANDARD_LOCKED",1,0)</x:f>
        <x:v>0</x:v>
      </x:c>
      <x:c r="K74" s="19" t="n">
        <x:f>IF(OR(I74="RELEASE_STANDARD_LOCKED",I74="ENGINEERING_BASE_PROVISIONAL",I74="ENGINEERING_BASE_CHAPTER_SCOPE_CANDIDATE",I74="ENGINEERING_BASE_CAPABILITY"),1,0)</x:f>
        <x:v>1</x:v>
      </x:c>
      <x:c r="L74" s="19" t="n">
        <x:f>IF(AND(J74=1,H74="HARDWARE_ROOT"),1,0)</x:f>
        <x:v>0</x:v>
      </x:c>
      <x:c r="M74" s="19" t="n">
        <x:f>IF(AND(K74=1,H74="HARDWARE_ROOT"),1,0)</x:f>
        <x:v>1</x:v>
      </x:c>
      <x:c r="N74" s="19" t="n">
        <x:f>IF(COUNTIFS('62_App售价桥闸门'!$A$6:$A$9,C74,'62_App售价桥闸门'!$K$6:$K$9,1)&gt;0,1,0)</x:f>
        <x:v>0</x:v>
      </x:c>
      <x:c r="O74" s="19" t="n">
        <x:f>IF(COUNTIFS('62_App售价桥闸门'!$A$6:$A$9,C74,'62_App售价桥闸门'!$M$6:$M$9,1)&gt;0,1,0)</x:f>
        <x:v>0</x:v>
      </x:c>
      <x:c r="P74" s="19" t="str">
        <x:v>BOM_RESTRAINT</x:v>
      </x:c>
      <x:c r="Q74" s="19" t="str">
        <x:v>乘员约束系统</x:v>
      </x:c>
      <x:c r="R74" s="19" t="str">
        <x:f>IF(M74=1,C74&amp;"|"&amp;P74,"")</x:f>
        <x:v>PC-N90-MAX-CAND|BOM_RESTRAINT</x:v>
      </x:c>
      <x:c r="S74" s="19" t="str">
        <x:v>B31-C089</x:v>
      </x:c>
      <x:c r="T74" s="19" t="str">
        <x:v>B31_SRC_N90_WEB</x:v>
      </x:c>
      <x:c r="U74" s="19" t="str">
        <x:v>全车12个安全气囊</x:v>
      </x:c>
      <x:c r="V74" s="19" t="str">
        <x:v>搭载/配备/页面展示</x:v>
      </x:c>
      <x:c r="W74" s="19" t="str">
        <x:v>B_ENGINEERING_BASE_ONLY</x:v>
      </x:c>
      <x:c r="X74" s="19" t="str">
        <x:v>产品/发布材料证明车型采用或具备，但未逐项写明“标配”</x:v>
      </x:c>
      <x:c r="Y74" s="19" t="str">
        <x:v>2026-08-04</x:v>
      </x:c>
    </x:row>
    <x:row r="75" ht="50" customHeight="1">
      <x:c r="A75" s="391" t="str">
        <x:v>B31C-D070</x:v>
      </x:c>
      <x:c r="B75" s="391" t="str">
        <x:v>B31-F070</x:v>
      </x:c>
      <x:c r="C75" s="391" t="str">
        <x:v>PC-N90-MAX-CAND</x:v>
      </x:c>
      <x:c r="D75" s="391" t="str">
        <x:v>collision_sensor_count</x:v>
      </x:c>
      <x:c r="E75" s="391" t="str">
        <x:v>SAFETY</x:v>
      </x:c>
      <x:c r="F75" s="391" t="str">
        <x:v>EQUIPPED_STANDARD_UNCONFIRMED</x:v>
      </x:c>
      <x:c r="G75" s="391" t="str">
        <x:v>DIRECT_CLAIM</x:v>
      </x:c>
      <x:c r="H75" s="391" t="str">
        <x:v>HARDWARE_SUPPORT</x:v>
      </x:c>
      <x:c r="I75" s="391" t="str">
        <x:v>ENGINEERING_BASE_PROVISIONAL</x:v>
      </x:c>
      <x:c r="J75" s="391" t="n">
        <x:f>IF(I75="RELEASE_STANDARD_LOCKED",1,0)</x:f>
        <x:v>0</x:v>
      </x:c>
      <x:c r="K75" s="391" t="n">
        <x:f>IF(OR(I75="RELEASE_STANDARD_LOCKED",I75="ENGINEERING_BASE_PROVISIONAL",I75="ENGINEERING_BASE_CHAPTER_SCOPE_CANDIDATE",I75="ENGINEERING_BASE_CAPABILITY"),1,0)</x:f>
        <x:v>1</x:v>
      </x:c>
      <x:c r="L75" s="391" t="n">
        <x:f>IF(AND(J75=1,H75="HARDWARE_ROOT"),1,0)</x:f>
        <x:v>0</x:v>
      </x:c>
      <x:c r="M75" s="391" t="n">
        <x:f>IF(AND(K75=1,H75="HARDWARE_ROOT"),1,0)</x:f>
        <x:v>0</x:v>
      </x:c>
      <x:c r="N75" s="391" t="n">
        <x:f>IF(COUNTIFS('62_App售价桥闸门'!$A$6:$A$9,C75,'62_App售价桥闸门'!$K$6:$K$9,1)&gt;0,1,0)</x:f>
        <x:v>0</x:v>
      </x:c>
      <x:c r="O75" s="391" t="n">
        <x:f>IF(COUNTIFS('62_App售价桥闸门'!$A$6:$A$9,C75,'62_App售价桥闸门'!$M$6:$M$9,1)&gt;0,1,0)</x:f>
        <x:v>0</x:v>
      </x:c>
      <x:c r="P75" s="391" t="str">
        <x:v>BOM_RESTRAINT</x:v>
      </x:c>
      <x:c r="Q75" s="391" t="str">
        <x:v>乘员约束系统</x:v>
      </x:c>
      <x:c r="R75" s="391" t="str">
        <x:f>IF(M75=1,C75&amp;"|"&amp;P75,"")</x:f>
      </x:c>
      <x:c r="S75" s="391" t="str">
        <x:v>B31-C090</x:v>
      </x:c>
      <x:c r="T75" s="391" t="str">
        <x:v>B31_SRC_N90_WEB</x:v>
      </x:c>
      <x:c r="U75" s="391" t="str">
        <x:v>全车9个碰撞传感器</x:v>
      </x:c>
      <x:c r="V75" s="391" t="str">
        <x:v>搭载/配备/页面展示</x:v>
      </x:c>
      <x:c r="W75" s="391" t="str">
        <x:v>B_ENGINEERING_BASE_ONLY</x:v>
      </x:c>
      <x:c r="X75" s="391" t="str">
        <x:v>产品/发布材料证明车型采用或具备，但未逐项写明“标配”</x:v>
      </x:c>
      <x:c r="Y75" s="391" t="str">
        <x:v>2026-08-04</x:v>
      </x:c>
    </x:row>
    <x:row r="76" ht="50" customHeight="1">
      <x:c r="A76" s="19" t="str">
        <x:v>B31C-D071</x:v>
      </x:c>
      <x:c r="B76" s="19" t="str">
        <x:v>B31-F071</x:v>
      </x:c>
      <x:c r="C76" s="19" t="str">
        <x:v>PC-N90-MAX-CAND</x:v>
      </x:c>
      <x:c r="D76" s="19" t="str">
        <x:v>curtain_airbag_length</x:v>
      </x:c>
      <x:c r="E76" s="19" t="str">
        <x:v>SAFETY</x:v>
      </x:c>
      <x:c r="F76" s="19" t="str">
        <x:v>EQUIPPED_STANDARD_UNCONFIRMED</x:v>
      </x:c>
      <x:c r="G76" s="19" t="str">
        <x:v>DIRECT_CLAIM</x:v>
      </x:c>
      <x:c r="H76" s="19" t="str">
        <x:v>HARDWARE_SUPPORT</x:v>
      </x:c>
      <x:c r="I76" s="19" t="str">
        <x:v>ENGINEERING_BASE_PROVISIONAL</x:v>
      </x:c>
      <x:c r="J76" s="19" t="n">
        <x:f>IF(I76="RELEASE_STANDARD_LOCKED",1,0)</x:f>
        <x:v>0</x:v>
      </x:c>
      <x:c r="K76" s="19" t="n">
        <x:f>IF(OR(I76="RELEASE_STANDARD_LOCKED",I76="ENGINEERING_BASE_PROVISIONAL",I76="ENGINEERING_BASE_CHAPTER_SCOPE_CANDIDATE",I76="ENGINEERING_BASE_CAPABILITY"),1,0)</x:f>
        <x:v>1</x:v>
      </x:c>
      <x:c r="L76" s="19" t="n">
        <x:f>IF(AND(J76=1,H76="HARDWARE_ROOT"),1,0)</x:f>
        <x:v>0</x:v>
      </x:c>
      <x:c r="M76" s="19" t="n">
        <x:f>IF(AND(K76=1,H76="HARDWARE_ROOT"),1,0)</x:f>
        <x:v>0</x:v>
      </x:c>
      <x:c r="N76" s="19" t="n">
        <x:f>IF(COUNTIFS('62_App售价桥闸门'!$A$6:$A$9,C76,'62_App售价桥闸门'!$K$6:$K$9,1)&gt;0,1,0)</x:f>
        <x:v>0</x:v>
      </x:c>
      <x:c r="O76" s="19" t="n">
        <x:f>IF(COUNTIFS('62_App售价桥闸门'!$A$6:$A$9,C76,'62_App售价桥闸门'!$M$6:$M$9,1)&gt;0,1,0)</x:f>
        <x:v>0</x:v>
      </x:c>
      <x:c r="P76" s="19" t="str">
        <x:v>BOM_RESTRAINT</x:v>
      </x:c>
      <x:c r="Q76" s="19" t="str">
        <x:v>乘员约束系统</x:v>
      </x:c>
      <x:c r="R76" s="19" t="str">
        <x:f>IF(M76=1,C76&amp;"|"&amp;P76,"")</x:f>
      </x:c>
      <x:c r="S76" s="19" t="str">
        <x:v>B31-C091</x:v>
      </x:c>
      <x:c r="T76" s="19" t="str">
        <x:v>B31_SRC_N90_WEB</x:v>
      </x:c>
      <x:c r="U76" s="19" t="str">
        <x:v>3030mm超长侧气帘</x:v>
      </x:c>
      <x:c r="V76" s="19" t="str">
        <x:v>搭载/配备/页面展示</x:v>
      </x:c>
      <x:c r="W76" s="19" t="str">
        <x:v>B_ENGINEERING_BASE_ONLY</x:v>
      </x:c>
      <x:c r="X76" s="19" t="str">
        <x:v>产品/发布材料证明车型采用或具备，但未逐项写明“标配”</x:v>
      </x:c>
      <x:c r="Y76" s="19" t="str">
        <x:v>2026-08-04</x:v>
      </x:c>
    </x:row>
    <x:row r="77" ht="50" customHeight="1">
      <x:c r="A77" s="391" t="str">
        <x:v>B31C-D072</x:v>
      </x:c>
      <x:c r="B77" s="391" t="str">
        <x:v>B31-F072</x:v>
      </x:c>
      <x:c r="C77" s="391" t="str">
        <x:v>PC-N90-MAX-CAND</x:v>
      </x:c>
      <x:c r="D77" s="391" t="str">
        <x:v>max_wading_depth</x:v>
      </x:c>
      <x:c r="E77" s="391" t="str">
        <x:v>SAFETY</x:v>
      </x:c>
      <x:c r="F77" s="391" t="str">
        <x:v>EQUIPPED_STANDARD_UNCONFIRMED</x:v>
      </x:c>
      <x:c r="G77" s="391" t="str">
        <x:v>DIRECT_CLAIM</x:v>
      </x:c>
      <x:c r="H77" s="391" t="str">
        <x:v>SPEC_METRIC</x:v>
      </x:c>
      <x:c r="I77" s="391" t="str">
        <x:v>ENGINEERING_BASE_PROVISIONAL</x:v>
      </x:c>
      <x:c r="J77" s="391" t="n">
        <x:f>IF(I77="RELEASE_STANDARD_LOCKED",1,0)</x:f>
        <x:v>0</x:v>
      </x:c>
      <x:c r="K77" s="391" t="n">
        <x:f>IF(OR(I77="RELEASE_STANDARD_LOCKED",I77="ENGINEERING_BASE_PROVISIONAL",I77="ENGINEERING_BASE_CHAPTER_SCOPE_CANDIDATE",I77="ENGINEERING_BASE_CAPABILITY"),1,0)</x:f>
        <x:v>1</x:v>
      </x:c>
      <x:c r="L77" s="391" t="n">
        <x:f>IF(AND(J77=1,H77="HARDWARE_ROOT"),1,0)</x:f>
        <x:v>0</x:v>
      </x:c>
      <x:c r="M77" s="391" t="n">
        <x:f>IF(AND(K77=1,H77="HARDWARE_ROOT"),1,0)</x:f>
        <x:v>0</x:v>
      </x:c>
      <x:c r="N77" s="391" t="n">
        <x:f>IF(COUNTIFS('62_App售价桥闸门'!$A$6:$A$9,C77,'62_App售价桥闸门'!$K$6:$K$9,1)&gt;0,1,0)</x:f>
        <x:v>0</x:v>
      </x:c>
      <x:c r="O77" s="391" t="n">
        <x:f>IF(COUNTIFS('62_App售价桥闸门'!$A$6:$A$9,C77,'62_App售价桥闸门'!$M$6:$M$9,1)&gt;0,1,0)</x:f>
        <x:v>0</x:v>
      </x:c>
      <x:c r="P77" s="391" t="str">
        <x:v>BOM_WADING_SAFETY</x:v>
      </x:c>
      <x:c r="Q77" s="391" t="str">
        <x:v>涉水感知与脱困系统</x:v>
      </x:c>
      <x:c r="R77" s="391" t="str">
        <x:f>IF(M77=1,C77&amp;"|"&amp;P77,"")</x:f>
      </x:c>
      <x:c r="S77" s="391" t="str">
        <x:v>B31-C092</x:v>
      </x:c>
      <x:c r="T77" s="391" t="str">
        <x:v>B31_SRC_N90_WEB</x:v>
      </x:c>
      <x:c r="U77" s="391" t="str">
        <x:v>750mm最高涉水能力</x:v>
      </x:c>
      <x:c r="V77" s="391" t="str">
        <x:v>搭载/配备/页面展示</x:v>
      </x:c>
      <x:c r="W77" s="391" t="str">
        <x:v>B_ENGINEERING_BASE_ONLY</x:v>
      </x:c>
      <x:c r="X77" s="391" t="str">
        <x:v>产品/发布材料证明车型采用或具备，但未逐项写明“标配”</x:v>
      </x:c>
      <x:c r="Y77" s="391" t="str">
        <x:v>2026-08-04</x:v>
      </x:c>
    </x:row>
    <x:row r="78" ht="50" customHeight="1">
      <x:c r="A78" s="19" t="str">
        <x:v>B31C-D073</x:v>
      </x:c>
      <x:c r="B78" s="19" t="str">
        <x:v>B31-F073</x:v>
      </x:c>
      <x:c r="C78" s="19" t="str">
        <x:v>PC-N90-MAX-CAND</x:v>
      </x:c>
      <x:c r="D78" s="19" t="str">
        <x:v>wading_radar_count</x:v>
      </x:c>
      <x:c r="E78" s="19" t="str">
        <x:v>SAFETY</x:v>
      </x:c>
      <x:c r="F78" s="19" t="str">
        <x:v>EQUIPPED_STANDARD_UNCONFIRMED</x:v>
      </x:c>
      <x:c r="G78" s="19" t="str">
        <x:v>DIRECT_CLAIM</x:v>
      </x:c>
      <x:c r="H78" s="19" t="str">
        <x:v>HARDWARE_ROOT</x:v>
      </x:c>
      <x:c r="I78" s="19" t="str">
        <x:v>ENGINEERING_BASE_PROVISIONAL</x:v>
      </x:c>
      <x:c r="J78" s="19" t="n">
        <x:f>IF(I78="RELEASE_STANDARD_LOCKED",1,0)</x:f>
        <x:v>0</x:v>
      </x:c>
      <x:c r="K78" s="19" t="n">
        <x:f>IF(OR(I78="RELEASE_STANDARD_LOCKED",I78="ENGINEERING_BASE_PROVISIONAL",I78="ENGINEERING_BASE_CHAPTER_SCOPE_CANDIDATE",I78="ENGINEERING_BASE_CAPABILITY"),1,0)</x:f>
        <x:v>1</x:v>
      </x:c>
      <x:c r="L78" s="19" t="n">
        <x:f>IF(AND(J78=1,H78="HARDWARE_ROOT"),1,0)</x:f>
        <x:v>0</x:v>
      </x:c>
      <x:c r="M78" s="19" t="n">
        <x:f>IF(AND(K78=1,H78="HARDWARE_ROOT"),1,0)</x:f>
        <x:v>1</x:v>
      </x:c>
      <x:c r="N78" s="19" t="n">
        <x:f>IF(COUNTIFS('62_App售价桥闸门'!$A$6:$A$9,C78,'62_App售价桥闸门'!$K$6:$K$9,1)&gt;0,1,0)</x:f>
        <x:v>0</x:v>
      </x:c>
      <x:c r="O78" s="19" t="n">
        <x:f>IF(COUNTIFS('62_App售价桥闸门'!$A$6:$A$9,C78,'62_App售价桥闸门'!$M$6:$M$9,1)&gt;0,1,0)</x:f>
        <x:v>0</x:v>
      </x:c>
      <x:c r="P78" s="19" t="str">
        <x:v>BOM_WADING_SAFETY</x:v>
      </x:c>
      <x:c r="Q78" s="19" t="str">
        <x:v>涉水感知与脱困系统</x:v>
      </x:c>
      <x:c r="R78" s="19" t="str">
        <x:f>IF(M78=1,C78&amp;"|"&amp;P78,"")</x:f>
        <x:v>PC-N90-MAX-CAND|BOM_WADING_SAFETY</x:v>
      </x:c>
      <x:c r="S78" s="19" t="str">
        <x:v>B31-C093</x:v>
      </x:c>
      <x:c r="T78" s="19" t="str">
        <x:v>B31_SRC_N90_WEB</x:v>
      </x:c>
      <x:c r="U78" s="19" t="str">
        <x:v>2颗涉水雷达</x:v>
      </x:c>
      <x:c r="V78" s="19" t="str">
        <x:v>搭载/配备/页面展示</x:v>
      </x:c>
      <x:c r="W78" s="19" t="str">
        <x:v>B_ENGINEERING_BASE_ONLY</x:v>
      </x:c>
      <x:c r="X78" s="19" t="str">
        <x:v>产品/发布材料证明车型采用或具备，但未逐项写明“标配”</x:v>
      </x:c>
      <x:c r="Y78" s="19" t="str">
        <x:v>2026-08-04</x:v>
      </x:c>
    </x:row>
    <x:row r="79" ht="50" customHeight="1">
      <x:c r="A79" s="391" t="str">
        <x:v>B31C-D074</x:v>
      </x:c>
      <x:c r="B79" s="391" t="str">
        <x:v>B31-F074</x:v>
      </x:c>
      <x:c r="C79" s="391" t="str">
        <x:v>PC-N90-MAX-CAND</x:v>
      </x:c>
      <x:c r="D79" s="391" t="str">
        <x:v>battery_safety_layers</x:v>
      </x:c>
      <x:c r="E79" s="391" t="str">
        <x:v>SAFETY</x:v>
      </x:c>
      <x:c r="F79" s="391" t="str">
        <x:v>EQUIPPED_STANDARD_UNCONFIRMED</x:v>
      </x:c>
      <x:c r="G79" s="391" t="str">
        <x:v>DIRECT_CLAIM</x:v>
      </x:c>
      <x:c r="H79" s="391" t="str">
        <x:v>HARDWARE_SUPPORT</x:v>
      </x:c>
      <x:c r="I79" s="391" t="str">
        <x:v>ENGINEERING_BASE_PROVISIONAL</x:v>
      </x:c>
      <x:c r="J79" s="391" t="n">
        <x:f>IF(I79="RELEASE_STANDARD_LOCKED",1,0)</x:f>
        <x:v>0</x:v>
      </x:c>
      <x:c r="K79" s="391" t="n">
        <x:f>IF(OR(I79="RELEASE_STANDARD_LOCKED",I79="ENGINEERING_BASE_PROVISIONAL",I79="ENGINEERING_BASE_CHAPTER_SCOPE_CANDIDATE",I79="ENGINEERING_BASE_CAPABILITY"),1,0)</x:f>
        <x:v>1</x:v>
      </x:c>
      <x:c r="L79" s="391" t="n">
        <x:f>IF(AND(J79=1,H79="HARDWARE_ROOT"),1,0)</x:f>
        <x:v>0</x:v>
      </x:c>
      <x:c r="M79" s="391" t="n">
        <x:f>IF(AND(K79=1,H79="HARDWARE_ROOT"),1,0)</x:f>
        <x:v>0</x:v>
      </x:c>
      <x:c r="N79" s="391" t="n">
        <x:f>IF(COUNTIFS('62_App售价桥闸门'!$A$6:$A$9,C79,'62_App售价桥闸门'!$K$6:$K$9,1)&gt;0,1,0)</x:f>
        <x:v>0</x:v>
      </x:c>
      <x:c r="O79" s="391" t="n">
        <x:f>IF(COUNTIFS('62_App售价桥闸门'!$A$6:$A$9,C79,'62_App售价桥闸门'!$M$6:$M$9,1)&gt;0,1,0)</x:f>
        <x:v>0</x:v>
      </x:c>
      <x:c r="P79" s="391" t="str">
        <x:v>BOM_BATTERY_PACK</x:v>
      </x:c>
      <x:c r="Q79" s="391" t="str">
        <x:v>动力电池包与高压系统</x:v>
      </x:c>
      <x:c r="R79" s="391" t="str">
        <x:f>IF(M79=1,C79&amp;"|"&amp;P79,"")</x:f>
      </x:c>
      <x:c r="S79" s="391" t="str">
        <x:v>B31-C094</x:v>
      </x:c>
      <x:c r="T79" s="391" t="str">
        <x:v>B31_SRC_N90_WEB</x:v>
      </x:c>
      <x:c r="U79" s="391" t="str">
        <x:v>18层硬核结构安全防护</x:v>
      </x:c>
      <x:c r="V79" s="391" t="str">
        <x:v>搭载/配备/页面展示</x:v>
      </x:c>
      <x:c r="W79" s="391" t="str">
        <x:v>B_ENGINEERING_BASE_ONLY</x:v>
      </x:c>
      <x:c r="X79" s="391" t="str">
        <x:v>产品/发布材料证明车型采用或具备，但未逐项写明“标配”</x:v>
      </x:c>
      <x:c r="Y79" s="391" t="str">
        <x:v>2026-08-04</x:v>
      </x:c>
    </x:row>
    <x:row r="80" ht="50" customHeight="1">
      <x:c r="A80" s="19" t="str">
        <x:v>B31C-D075</x:v>
      </x:c>
      <x:c r="B80" s="19" t="str">
        <x:v>B31-F075</x:v>
      </x:c>
      <x:c r="C80" s="19" t="str">
        <x:v>PC-N90-MAX-CAND</x:v>
      </x:c>
      <x:c r="D80" s="19" t="str">
        <x:v>battery_bottom_impact</x:v>
      </x:c>
      <x:c r="E80" s="19" t="str">
        <x:v>SAFETY</x:v>
      </x:c>
      <x:c r="F80" s="19" t="str">
        <x:v>EQUIPPED_STANDARD_UNCONFIRMED</x:v>
      </x:c>
      <x:c r="G80" s="19" t="str">
        <x:v>DIRECT_CLAIM</x:v>
      </x:c>
      <x:c r="H80" s="19" t="str">
        <x:v>HARDWARE_SUPPORT</x:v>
      </x:c>
      <x:c r="I80" s="19" t="str">
        <x:v>ENGINEERING_BASE_PROVISIONAL</x:v>
      </x:c>
      <x:c r="J80" s="19" t="n">
        <x:f>IF(I80="RELEASE_STANDARD_LOCKED",1,0)</x:f>
        <x:v>0</x:v>
      </x:c>
      <x:c r="K80" s="19" t="n">
        <x:f>IF(OR(I80="RELEASE_STANDARD_LOCKED",I80="ENGINEERING_BASE_PROVISIONAL",I80="ENGINEERING_BASE_CHAPTER_SCOPE_CANDIDATE",I80="ENGINEERING_BASE_CAPABILITY"),1,0)</x:f>
        <x:v>1</x:v>
      </x:c>
      <x:c r="L80" s="19" t="n">
        <x:f>IF(AND(J80=1,H80="HARDWARE_ROOT"),1,0)</x:f>
        <x:v>0</x:v>
      </x:c>
      <x:c r="M80" s="19" t="n">
        <x:f>IF(AND(K80=1,H80="HARDWARE_ROOT"),1,0)</x:f>
        <x:v>0</x:v>
      </x:c>
      <x:c r="N80" s="19" t="n">
        <x:f>IF(COUNTIFS('62_App售价桥闸门'!$A$6:$A$9,C80,'62_App售价桥闸门'!$K$6:$K$9,1)&gt;0,1,0)</x:f>
        <x:v>0</x:v>
      </x:c>
      <x:c r="O80" s="19" t="n">
        <x:f>IF(COUNTIFS('62_App售价桥闸门'!$A$6:$A$9,C80,'62_App售价桥闸门'!$M$6:$M$9,1)&gt;0,1,0)</x:f>
        <x:v>0</x:v>
      </x:c>
      <x:c r="P80" s="19" t="str">
        <x:v>BOM_BATTERY_PACK</x:v>
      </x:c>
      <x:c r="Q80" s="19" t="str">
        <x:v>动力电池包与高压系统</x:v>
      </x:c>
      <x:c r="R80" s="19" t="str">
        <x:f>IF(M80=1,C80&amp;"|"&amp;P80,"")</x:f>
      </x:c>
      <x:c r="S80" s="19" t="str">
        <x:v>B31-C095</x:v>
      </x:c>
      <x:c r="T80" s="19" t="str">
        <x:v>B31_SRC_N90_WEB</x:v>
      </x:c>
      <x:c r="U80" s="19" t="str">
        <x:v>500J底部撞击能量，电池功能不失效</x:v>
      </x:c>
      <x:c r="V80" s="19" t="str">
        <x:v>搭载/配备/页面展示</x:v>
      </x:c>
      <x:c r="W80" s="19" t="str">
        <x:v>B_ENGINEERING_BASE_ONLY</x:v>
      </x:c>
      <x:c r="X80" s="19" t="str">
        <x:v>产品/发布材料证明车型采用或具备，但未逐项写明“标配”</x:v>
      </x:c>
      <x:c r="Y80" s="19" t="str">
        <x:v>2026-08-04</x:v>
      </x:c>
    </x:row>
    <x:row r="81" ht="50" customHeight="1">
      <x:c r="A81" s="391" t="str">
        <x:v>B31C-D076</x:v>
      </x:c>
      <x:c r="B81" s="391" t="str">
        <x:v>B31-F076</x:v>
      </x:c>
      <x:c r="C81" s="391" t="str">
        <x:v>PC-N90-MAX-CAND</x:v>
      </x:c>
      <x:c r="D81" s="391" t="str">
        <x:v>battery_thermal_propagation</x:v>
      </x:c>
      <x:c r="E81" s="391" t="str">
        <x:v>SAFETY</x:v>
      </x:c>
      <x:c r="F81" s="391" t="str">
        <x:v>EQUIPPED_STANDARD_UNCONFIRMED</x:v>
      </x:c>
      <x:c r="G81" s="391" t="str">
        <x:v>DIRECT_CLAIM</x:v>
      </x:c>
      <x:c r="H81" s="391" t="str">
        <x:v>HARDWARE_SUPPORT</x:v>
      </x:c>
      <x:c r="I81" s="391" t="str">
        <x:v>ENGINEERING_BASE_PROVISIONAL</x:v>
      </x:c>
      <x:c r="J81" s="391" t="n">
        <x:f>IF(I81="RELEASE_STANDARD_LOCKED",1,0)</x:f>
        <x:v>0</x:v>
      </x:c>
      <x:c r="K81" s="391" t="n">
        <x:f>IF(OR(I81="RELEASE_STANDARD_LOCKED",I81="ENGINEERING_BASE_PROVISIONAL",I81="ENGINEERING_BASE_CHAPTER_SCOPE_CANDIDATE",I81="ENGINEERING_BASE_CAPABILITY"),1,0)</x:f>
        <x:v>1</x:v>
      </x:c>
      <x:c r="L81" s="391" t="n">
        <x:f>IF(AND(J81=1,H81="HARDWARE_ROOT"),1,0)</x:f>
        <x:v>0</x:v>
      </x:c>
      <x:c r="M81" s="391" t="n">
        <x:f>IF(AND(K81=1,H81="HARDWARE_ROOT"),1,0)</x:f>
        <x:v>0</x:v>
      </x:c>
      <x:c r="N81" s="391" t="n">
        <x:f>IF(COUNTIFS('62_App售价桥闸门'!$A$6:$A$9,C81,'62_App售价桥闸门'!$K$6:$K$9,1)&gt;0,1,0)</x:f>
        <x:v>0</x:v>
      </x:c>
      <x:c r="O81" s="391" t="n">
        <x:f>IF(COUNTIFS('62_App售价桥闸门'!$A$6:$A$9,C81,'62_App售价桥闸门'!$M$6:$M$9,1)&gt;0,1,0)</x:f>
        <x:v>0</x:v>
      </x:c>
      <x:c r="P81" s="391" t="str">
        <x:v>BOM_BATTERY_PACK</x:v>
      </x:c>
      <x:c r="Q81" s="391" t="str">
        <x:v>动力电池包与高压系统</x:v>
      </x:c>
      <x:c r="R81" s="391" t="str">
        <x:f>IF(M81=1,C81&amp;"|"&amp;P81,"")</x:f>
      </x:c>
      <x:c r="S81" s="391" t="str">
        <x:v>B31-C096</x:v>
      </x:c>
      <x:c r="T81" s="391" t="str">
        <x:v>B31_SRC_N90_WEB</x:v>
      </x:c>
      <x:c r="U81" s="391" t="str">
        <x:v>55℃高温满电热失控无热蔓延</x:v>
      </x:c>
      <x:c r="V81" s="391" t="str">
        <x:v>搭载/配备/页面展示</x:v>
      </x:c>
      <x:c r="W81" s="391" t="str">
        <x:v>B_ENGINEERING_BASE_ONLY</x:v>
      </x:c>
      <x:c r="X81" s="391" t="str">
        <x:v>产品/发布材料证明车型采用或具备，但未逐项写明“标配”</x:v>
      </x:c>
      <x:c r="Y81" s="391" t="str">
        <x:v>2026-08-04</x:v>
      </x:c>
    </x:row>
    <x:row r="82" ht="50" customHeight="1">
      <x:c r="A82" s="19" t="str">
        <x:v>B31C-D077</x:v>
      </x:c>
      <x:c r="B82" s="19" t="str">
        <x:v>B31-F077</x:v>
      </x:c>
      <x:c r="C82" s="19" t="str">
        <x:v>PC-N90-MAX-CAND</x:v>
      </x:c>
      <x:c r="D82" s="19" t="str">
        <x:v>safety_assist_count</x:v>
      </x:c>
      <x:c r="E82" s="19" t="str">
        <x:v>ADAS</x:v>
      </x:c>
      <x:c r="F82" s="19" t="str">
        <x:v>STANDARD_AT_RELEASE</x:v>
      </x:c>
      <x:c r="G82" s="19" t="str">
        <x:v>DIRECT_CLAIM</x:v>
      </x:c>
      <x:c r="H82" s="19" t="str">
        <x:v>SOFTWARE_SYSTEM</x:v>
      </x:c>
      <x:c r="I82" s="19" t="str">
        <x:v>RELEASE_STANDARD_LOCKED</x:v>
      </x:c>
      <x:c r="J82" s="19" t="n">
        <x:f>IF(I82="RELEASE_STANDARD_LOCKED",1,0)</x:f>
        <x:v>1</x:v>
      </x:c>
      <x:c r="K82" s="19" t="n">
        <x:f>IF(OR(I82="RELEASE_STANDARD_LOCKED",I82="ENGINEERING_BASE_PROVISIONAL",I82="ENGINEERING_BASE_CHAPTER_SCOPE_CANDIDATE",I82="ENGINEERING_BASE_CAPABILITY"),1,0)</x:f>
        <x:v>1</x:v>
      </x:c>
      <x:c r="L82" s="19" t="n">
        <x:f>IF(AND(J82=1,H82="HARDWARE_ROOT"),1,0)</x:f>
        <x:v>0</x:v>
      </x:c>
      <x:c r="M82" s="19" t="n">
        <x:f>IF(AND(K82=1,H82="HARDWARE_ROOT"),1,0)</x:f>
        <x:v>0</x:v>
      </x:c>
      <x:c r="N82" s="19" t="n">
        <x:f>IF(COUNTIFS('62_App售价桥闸门'!$A$6:$A$9,C82,'62_App售价桥闸门'!$K$6:$K$9,1)&gt;0,1,0)</x:f>
        <x:v>0</x:v>
      </x:c>
      <x:c r="O82" s="19" t="n">
        <x:f>IF(COUNTIFS('62_App售价桥闸门'!$A$6:$A$9,C82,'62_App售价桥闸门'!$M$6:$M$9,1)&gt;0,1,0)</x:f>
        <x:v>0</x:v>
      </x:c>
      <x:c r="P82" s="19" t="str">
        <x:v>BOM_ADAS_STACK</x:v>
      </x:c>
      <x:c r="Q82" s="19" t="str">
        <x:v>辅助驾驶系统</x:v>
      </x:c>
      <x:c r="R82" s="19" t="str">
        <x:f>IF(M82=1,C82&amp;"|"&amp;P82,"")</x:f>
      </x:c>
      <x:c r="S82" s="19" t="str">
        <x:v>B31-C097</x:v>
      </x:c>
      <x:c r="T82" s="19" t="str">
        <x:v>B31_SRC_N90_WEB</x:v>
      </x:c>
      <x:c r="U82" s="19" t="str">
        <x:v>标配26项安全辅助功能</x:v>
      </x:c>
      <x:c r="V82" s="19" t="str">
        <x:v>标配</x:v>
      </x:c>
      <x:c r="W82" s="19" t="str">
        <x:v>A_DIRECT_OR_EXPLICIT_SCOPE</x:v>
      </x:c>
      <x:c r="X82" s="19" t="str">
        <x:v>仍需App车辆SKU与完整配置修订，才能认定当前在售标配</x:v>
      </x:c>
      <x:c r="Y82" s="19" t="str">
        <x:v>2026-08-04</x:v>
      </x:c>
    </x:row>
    <x:row r="83" ht="50" customHeight="1">
      <x:c r="A83" s="391" t="str">
        <x:v>B31C-D078</x:v>
      </x:c>
      <x:c r="B83" s="391" t="str">
        <x:v>B31-F078</x:v>
      </x:c>
      <x:c r="C83" s="391" t="str">
        <x:v>PC-N90-MAX-CAND</x:v>
      </x:c>
      <x:c r="D83" s="391" t="str">
        <x:v>domain_controller_4in1</x:v>
      </x:c>
      <x:c r="E83" s="391" t="str">
        <x:v>ELECTRONICS</x:v>
      </x:c>
      <x:c r="F83" s="391" t="str">
        <x:v>STANDARD_AT_RELEASE</x:v>
      </x:c>
      <x:c r="G83" s="391" t="str">
        <x:v>DIRECT_CLAIM</x:v>
      </x:c>
      <x:c r="H83" s="391" t="str">
        <x:v>HARDWARE_ROOT</x:v>
      </x:c>
      <x:c r="I83" s="391" t="str">
        <x:v>RELEASE_STANDARD_LOCKED</x:v>
      </x:c>
      <x:c r="J83" s="391" t="n">
        <x:f>IF(I83="RELEASE_STANDARD_LOCKED",1,0)</x:f>
        <x:v>1</x:v>
      </x:c>
      <x:c r="K83" s="391" t="n">
        <x:f>IF(OR(I83="RELEASE_STANDARD_LOCKED",I83="ENGINEERING_BASE_PROVISIONAL",I83="ENGINEERING_BASE_CHAPTER_SCOPE_CANDIDATE",I83="ENGINEERING_BASE_CAPABILITY"),1,0)</x:f>
        <x:v>1</x:v>
      </x:c>
      <x:c r="L83" s="391" t="n">
        <x:f>IF(AND(J83=1,H83="HARDWARE_ROOT"),1,0)</x:f>
        <x:v>1</x:v>
      </x:c>
      <x:c r="M83" s="391" t="n">
        <x:f>IF(AND(K83=1,H83="HARDWARE_ROOT"),1,0)</x:f>
        <x:v>1</x:v>
      </x:c>
      <x:c r="N83" s="391" t="n">
        <x:f>IF(COUNTIFS('62_App售价桥闸门'!$A$6:$A$9,C83,'62_App售价桥闸门'!$K$6:$K$9,1)&gt;0,1,0)</x:f>
        <x:v>0</x:v>
      </x:c>
      <x:c r="O83" s="391" t="n">
        <x:f>IF(COUNTIFS('62_App售价桥闸门'!$A$6:$A$9,C83,'62_App售价桥闸门'!$M$6:$M$9,1)&gt;0,1,0)</x:f>
        <x:v>0</x:v>
      </x:c>
      <x:c r="P83" s="391" t="str">
        <x:v>BOM_ADAS_STACK</x:v>
      </x:c>
      <x:c r="Q83" s="391" t="str">
        <x:v>辅助驾驶系统</x:v>
      </x:c>
      <x:c r="R83" s="391" t="str">
        <x:f>IF(M83=1,C83&amp;"|"&amp;P83,"")</x:f>
        <x:v>PC-N90-MAX-CAND|BOM_ADAS_STACK</x:v>
      </x:c>
      <x:c r="S83" s="391" t="str">
        <x:v>B31-C098</x:v>
      </x:c>
      <x:c r="T83" s="391" t="str">
        <x:v>B31_SRC_N90_WEB</x:v>
      </x:c>
      <x:c r="U83" s="391" t="str">
        <x:v>先进智能，全系标配；四合一域控制模块</x:v>
      </x:c>
      <x:c r="V83" s="391" t="str">
        <x:v>章节“先进智能，全系标配”</x:v>
      </x:c>
      <x:c r="W83" s="391" t="str">
        <x:v>A_DIRECT_OR_EXPLICIT_SCOPE</x:v>
      </x:c>
      <x:c r="X83" s="391" t="str">
        <x:v>仍需App车辆SKU与完整配置修订，才能认定当前在售标配</x:v>
      </x:c>
      <x:c r="Y83" s="391" t="str">
        <x:v>2026-08-04</x:v>
      </x:c>
    </x:row>
    <x:row r="84" ht="50" customHeight="1">
      <x:c r="A84" s="19" t="str">
        <x:v>B31C-D079</x:v>
      </x:c>
      <x:c r="B84" s="19" t="str">
        <x:v>B31-F079</x:v>
      </x:c>
      <x:c r="C84" s="19" t="str">
        <x:v>PC-N90-MAX-CAND</x:v>
      </x:c>
      <x:c r="D84" s="19" t="str">
        <x:v>connectivity</x:v>
      </x:c>
      <x:c r="E84" s="19" t="str">
        <x:v>ELECTRONICS</x:v>
      </x:c>
      <x:c r="F84" s="19" t="str">
        <x:v>STANDARD_AT_RELEASE</x:v>
      </x:c>
      <x:c r="G84" s="19" t="str">
        <x:v>DIRECT_CLAIM</x:v>
      </x:c>
      <x:c r="H84" s="19" t="str">
        <x:v>HARDWARE_ROOT</x:v>
      </x:c>
      <x:c r="I84" s="19" t="str">
        <x:v>RELEASE_STANDARD_LOCKED</x:v>
      </x:c>
      <x:c r="J84" s="19" t="n">
        <x:f>IF(I84="RELEASE_STANDARD_LOCKED",1,0)</x:f>
        <x:v>1</x:v>
      </x:c>
      <x:c r="K84" s="19" t="n">
        <x:f>IF(OR(I84="RELEASE_STANDARD_LOCKED",I84="ENGINEERING_BASE_PROVISIONAL",I84="ENGINEERING_BASE_CHAPTER_SCOPE_CANDIDATE",I84="ENGINEERING_BASE_CAPABILITY"),1,0)</x:f>
        <x:v>1</x:v>
      </x:c>
      <x:c r="L84" s="19" t="n">
        <x:f>IF(AND(J84=1,H84="HARDWARE_ROOT"),1,0)</x:f>
        <x:v>1</x:v>
      </x:c>
      <x:c r="M84" s="19" t="n">
        <x:f>IF(AND(K84=1,H84="HARDWARE_ROOT"),1,0)</x:f>
        <x:v>1</x:v>
      </x:c>
      <x:c r="N84" s="19" t="n">
        <x:f>IF(COUNTIFS('62_App售价桥闸门'!$A$6:$A$9,C84,'62_App售价桥闸门'!$K$6:$K$9,1)&gt;0,1,0)</x:f>
        <x:v>0</x:v>
      </x:c>
      <x:c r="O84" s="19" t="n">
        <x:f>IF(COUNTIFS('62_App售价桥闸门'!$A$6:$A$9,C84,'62_App售价桥闸门'!$M$6:$M$9,1)&gt;0,1,0)</x:f>
        <x:v>0</x:v>
      </x:c>
      <x:c r="P84" s="19" t="str">
        <x:v>BOM_CONNECTIVITY</x:v>
      </x:c>
      <x:c r="Q84" s="19" t="str">
        <x:v>车载通信系统</x:v>
      </x:c>
      <x:c r="R84" s="19" t="str">
        <x:f>IF(M84=1,C84&amp;"|"&amp;P84,"")</x:f>
        <x:v>PC-N90-MAX-CAND|BOM_CONNECTIVITY</x:v>
      </x:c>
      <x:c r="S84" s="19" t="str">
        <x:v>B31-C099</x:v>
      </x:c>
      <x:c r="T84" s="19" t="str">
        <x:v>B31_SRC_N90_WEB</x:v>
      </x:c>
      <x:c r="U84" s="19" t="str">
        <x:v>先进智能，全系标配；支持双5G并行、三蓝牙、双Wi-Fi、Wi-Fi7</x:v>
      </x:c>
      <x:c r="V84" s="19" t="str">
        <x:v>章节“先进智能，全系标配”</x:v>
      </x:c>
      <x:c r="W84" s="19" t="str">
        <x:v>A_DIRECT_OR_EXPLICIT_SCOPE</x:v>
      </x:c>
      <x:c r="X84" s="19" t="str">
        <x:v>仍需App车辆SKU与完整配置修订，才能认定当前在售标配</x:v>
      </x:c>
      <x:c r="Y84" s="19" t="str">
        <x:v>2026-08-04</x:v>
      </x:c>
    </x:row>
    <x:row r="85" ht="50" customHeight="1">
      <x:c r="A85" s="391" t="str">
        <x:v>B31C-D080</x:v>
      </x:c>
      <x:c r="B85" s="391" t="str">
        <x:v>B31-F080</x:v>
      </x:c>
      <x:c r="C85" s="391" t="str">
        <x:v>PC-N90-MAX-CAND</x:v>
      </x:c>
      <x:c r="D85" s="391" t="str">
        <x:v>flyback_low_voltage</x:v>
      </x:c>
      <x:c r="E85" s="391" t="str">
        <x:v>ELECTRONICS</x:v>
      </x:c>
      <x:c r="F85" s="391" t="str">
        <x:v>STANDARD_AT_RELEASE</x:v>
      </x:c>
      <x:c r="G85" s="391" t="str">
        <x:v>DIRECT_CLAIM</x:v>
      </x:c>
      <x:c r="H85" s="391" t="str">
        <x:v>HARDWARE_ROOT</x:v>
      </x:c>
      <x:c r="I85" s="391" t="str">
        <x:v>RELEASE_STANDARD_LOCKED</x:v>
      </x:c>
      <x:c r="J85" s="391" t="n">
        <x:f>IF(I85="RELEASE_STANDARD_LOCKED",1,0)</x:f>
        <x:v>1</x:v>
      </x:c>
      <x:c r="K85" s="391" t="n">
        <x:f>IF(OR(I85="RELEASE_STANDARD_LOCKED",I85="ENGINEERING_BASE_PROVISIONAL",I85="ENGINEERING_BASE_CHAPTER_SCOPE_CANDIDATE",I85="ENGINEERING_BASE_CAPABILITY"),1,0)</x:f>
        <x:v>1</x:v>
      </x:c>
      <x:c r="L85" s="391" t="n">
        <x:f>IF(AND(J85=1,H85="HARDWARE_ROOT"),1,0)</x:f>
        <x:v>1</x:v>
      </x:c>
      <x:c r="M85" s="391" t="n">
        <x:f>IF(AND(K85=1,H85="HARDWARE_ROOT"),1,0)</x:f>
        <x:v>1</x:v>
      </x:c>
      <x:c r="N85" s="391" t="n">
        <x:f>IF(COUNTIFS('62_App售价桥闸门'!$A$6:$A$9,C85,'62_App售价桥闸门'!$K$6:$K$9,1)&gt;0,1,0)</x:f>
        <x:v>0</x:v>
      </x:c>
      <x:c r="O85" s="391" t="n">
        <x:f>IF(COUNTIFS('62_App售价桥闸门'!$A$6:$A$9,C85,'62_App售价桥闸门'!$M$6:$M$9,1)&gt;0,1,0)</x:f>
        <x:v>0</x:v>
      </x:c>
      <x:c r="P85" s="391" t="str">
        <x:v>BOM_LOW_VOLTAGE</x:v>
      </x:c>
      <x:c r="Q85" s="391" t="str">
        <x:v>Flyback低压供电系统</x:v>
      </x:c>
      <x:c r="R85" s="391" t="str">
        <x:f>IF(M85=1,C85&amp;"|"&amp;P85,"")</x:f>
        <x:v>PC-N90-MAX-CAND|BOM_LOW_VOLTAGE</x:v>
      </x:c>
      <x:c r="S85" s="391" t="str">
        <x:v>B31-C100</x:v>
      </x:c>
      <x:c r="T85" s="391" t="str">
        <x:v>B31_SRC_N90_WEB</x:v>
      </x:c>
      <x:c r="U85" s="391" t="str">
        <x:v>先进智能，全系标配；Flyback车载低压供电系统</x:v>
      </x:c>
      <x:c r="V85" s="391" t="str">
        <x:v>章节“先进智能，全系标配”</x:v>
      </x:c>
      <x:c r="W85" s="391" t="str">
        <x:v>A_DIRECT_OR_EXPLICIT_SCOPE</x:v>
      </x:c>
      <x:c r="X85" s="391" t="str">
        <x:v>仍需App车辆SKU与完整配置修订，才能认定当前在售标配</x:v>
      </x:c>
      <x:c r="Y85" s="391" t="str">
        <x:v>2026-08-04</x:v>
      </x:c>
    </x:row>
    <x:row r="86" ht="50" customHeight="1">
      <x:c r="A86" s="19" t="str">
        <x:v>B31C-D081</x:v>
      </x:c>
      <x:c r="B86" s="19" t="str">
        <x:v>B31-F081</x:v>
      </x:c>
      <x:c r="C86" s="19" t="str">
        <x:v>PC-N90-MAX-CAND</x:v>
      </x:c>
      <x:c r="D86" s="19" t="str">
        <x:v>hyperos_cabin</x:v>
      </x:c>
      <x:c r="E86" s="19" t="str">
        <x:v>CABIN</x:v>
      </x:c>
      <x:c r="F86" s="19" t="str">
        <x:v>EQUIPPED_STANDARD_UNCONFIRMED</x:v>
      </x:c>
      <x:c r="G86" s="19" t="str">
        <x:v>DIRECT_CLAIM</x:v>
      </x:c>
      <x:c r="H86" s="19" t="str">
        <x:v>SOFTWARE_SYSTEM</x:v>
      </x:c>
      <x:c r="I86" s="19" t="str">
        <x:v>ENGINEERING_BASE_CHAPTER_SCOPE_CANDIDATE</x:v>
      </x:c>
      <x:c r="J86" s="19" t="n">
        <x:f>IF(I86="RELEASE_STANDARD_LOCKED",1,0)</x:f>
        <x:v>0</x:v>
      </x:c>
      <x:c r="K86" s="19" t="n">
        <x:f>IF(OR(I86="RELEASE_STANDARD_LOCKED",I86="ENGINEERING_BASE_PROVISIONAL",I86="ENGINEERING_BASE_CHAPTER_SCOPE_CANDIDATE",I86="ENGINEERING_BASE_CAPABILITY"),1,0)</x:f>
        <x:v>1</x:v>
      </x:c>
      <x:c r="L86" s="19" t="n">
        <x:f>IF(AND(J86=1,H86="HARDWARE_ROOT"),1,0)</x:f>
        <x:v>0</x:v>
      </x:c>
      <x:c r="M86" s="19" t="n">
        <x:f>IF(AND(K86=1,H86="HARDWARE_ROOT"),1,0)</x:f>
        <x:v>0</x:v>
      </x:c>
      <x:c r="N86" s="19" t="n">
        <x:f>IF(COUNTIFS('62_App售价桥闸门'!$A$6:$A$9,C86,'62_App售价桥闸门'!$K$6:$K$9,1)&gt;0,1,0)</x:f>
        <x:v>0</x:v>
      </x:c>
      <x:c r="O86" s="19" t="n">
        <x:f>IF(COUNTIFS('62_App售价桥闸门'!$A$6:$A$9,C86,'62_App售价桥闸门'!$M$6:$M$9,1)&gt;0,1,0)</x:f>
        <x:v>0</x:v>
      </x:c>
      <x:c r="P86" s="19" t="str">
        <x:v>BOM_SMART_CABIN</x:v>
      </x:c>
      <x:c r="Q86" s="19" t="str">
        <x:v>澎湃智能座舱软件系统</x:v>
      </x:c>
      <x:c r="R86" s="19" t="str">
        <x:f>IF(M86=1,C86&amp;"|"&amp;P86,"")</x:f>
      </x:c>
      <x:c r="S86" s="19" t="str">
        <x:v>B31-C101</x:v>
      </x:c>
      <x:c r="T86" s="19" t="str">
        <x:v>B31_SRC_N90_WEB</x:v>
      </x:c>
      <x:c r="U86" s="19" t="str">
        <x:v>小米澎湃智能座舱，前后排六屏联动；扩展Pad需自行购买</x:v>
      </x:c>
      <x:c r="V86" s="19" t="str">
        <x:v>搭载/配备/页面展示</x:v>
      </x:c>
      <x:c r="W86" s="19" t="str">
        <x:v>B_SCOPE_AMBIGUOUS</x:v>
      </x:c>
      <x:c r="X86" s="19" t="str">
        <x:v>章节标题作用域存在歧义；同章节含需另购副驾Pad，等待版本配置表逐项确认</x:v>
      </x:c>
      <x:c r="Y86" s="19" t="str">
        <x:v>2026-08-04</x:v>
      </x:c>
    </x:row>
    <x:row r="87" ht="50" customHeight="1">
      <x:c r="A87" s="391" t="str">
        <x:v>B31C-D082</x:v>
      </x:c>
      <x:c r="B87" s="391" t="str">
        <x:v>B31-F082</x:v>
      </x:c>
      <x:c r="C87" s="391" t="str">
        <x:v>PC-N90-MAX-CAND</x:v>
      </x:c>
      <x:c r="D87" s="391" t="str">
        <x:v>super_xiaoai</x:v>
      </x:c>
      <x:c r="E87" s="391" t="str">
        <x:v>CABIN</x:v>
      </x:c>
      <x:c r="F87" s="391" t="str">
        <x:v>EQUIPPED_STANDARD_UNCONFIRMED</x:v>
      </x:c>
      <x:c r="G87" s="391" t="str">
        <x:v>DIRECT_CLAIM</x:v>
      </x:c>
      <x:c r="H87" s="391" t="str">
        <x:v>SOFTWARE_SYSTEM</x:v>
      </x:c>
      <x:c r="I87" s="391" t="str">
        <x:v>SUPPRESS_DUPLICATE_STRONGER_FACT</x:v>
      </x:c>
      <x:c r="J87" s="391" t="n">
        <x:f>IF(I87="RELEASE_STANDARD_LOCKED",1,0)</x:f>
        <x:v>0</x:v>
      </x:c>
      <x:c r="K87" s="391" t="n">
        <x:f>IF(OR(I87="RELEASE_STANDARD_LOCKED",I87="ENGINEERING_BASE_PROVISIONAL",I87="ENGINEERING_BASE_CHAPTER_SCOPE_CANDIDATE",I87="ENGINEERING_BASE_CAPABILITY"),1,0)</x:f>
        <x:v>0</x:v>
      </x:c>
      <x:c r="L87" s="391" t="n">
        <x:f>IF(AND(J87=1,H87="HARDWARE_ROOT"),1,0)</x:f>
        <x:v>0</x:v>
      </x:c>
      <x:c r="M87" s="391" t="n">
        <x:f>IF(AND(K87=1,H87="HARDWARE_ROOT"),1,0)</x:f>
        <x:v>0</x:v>
      </x:c>
      <x:c r="N87" s="391" t="n">
        <x:f>IF(COUNTIFS('62_App售价桥闸门'!$A$6:$A$9,C87,'62_App售价桥闸门'!$K$6:$K$9,1)&gt;0,1,0)</x:f>
        <x:v>0</x:v>
      </x:c>
      <x:c r="O87" s="391" t="n">
        <x:f>IF(COUNTIFS('62_App售价桥闸门'!$A$6:$A$9,C87,'62_App售价桥闸门'!$M$6:$M$9,1)&gt;0,1,0)</x:f>
        <x:v>0</x:v>
      </x:c>
      <x:c r="P87" s="391" t="str">
        <x:v>BOM_SMART_CABIN</x:v>
      </x:c>
      <x:c r="Q87" s="391" t="str">
        <x:v>澎湃智能座舱软件系统</x:v>
      </x:c>
      <x:c r="R87" s="391" t="str">
        <x:f>IF(M87=1,C87&amp;"|"&amp;P87,"")</x:f>
      </x:c>
      <x:c r="S87" s="391" t="str">
        <x:v>B31-C102</x:v>
      </x:c>
      <x:c r="T87" s="391" t="str">
        <x:v>B31_SRC_N90_WEB</x:v>
      </x:c>
      <x:c r="U87" s="391" t="str">
        <x:v>超级小爱</x:v>
      </x:c>
      <x:c r="V87" s="391" t="str">
        <x:v>搭载/配备/页面展示</x:v>
      </x:c>
      <x:c r="W87" s="391" t="str">
        <x:v>A_DUPLICATE_CONTROL</x:v>
      </x:c>
      <x:c r="X87" s="391" t="str">
        <x:v>同节点已有更强或更直接事实；防止重复计数</x:v>
      </x:c>
      <x:c r="Y87" s="391" t="str">
        <x:v>2026-08-04</x:v>
      </x:c>
    </x:row>
    <x:row r="88" ht="50" customHeight="1">
      <x:c r="A88" s="19" t="str">
        <x:v>B31C-D083</x:v>
      </x:c>
      <x:c r="B88" s="19" t="str">
        <x:v>B31-F083</x:v>
      </x:c>
      <x:c r="C88" s="19" t="str">
        <x:v>PC-N90-MAX-CAND</x:v>
      </x:c>
      <x:c r="D88" s="19" t="str">
        <x:v>rear_solid_state_lidar</x:v>
      </x:c>
      <x:c r="E88" s="19" t="str">
        <x:v>ADAS</x:v>
      </x:c>
      <x:c r="F88" s="19" t="str">
        <x:v>EQUIPPED_STANDARD_UNCONFIRMED</x:v>
      </x:c>
      <x:c r="G88" s="19" t="str">
        <x:v>DIRECT_CLAIM</x:v>
      </x:c>
      <x:c r="H88" s="19" t="str">
        <x:v>HARDWARE_ROOT</x:v>
      </x:c>
      <x:c r="I88" s="19" t="str">
        <x:v>ENGINEERING_BASE_CHAPTER_SCOPE_CANDIDATE</x:v>
      </x:c>
      <x:c r="J88" s="19" t="n">
        <x:f>IF(I88="RELEASE_STANDARD_LOCKED",1,0)</x:f>
        <x:v>0</x:v>
      </x:c>
      <x:c r="K88" s="19" t="n">
        <x:f>IF(OR(I88="RELEASE_STANDARD_LOCKED",I88="ENGINEERING_BASE_PROVISIONAL",I88="ENGINEERING_BASE_CHAPTER_SCOPE_CANDIDATE",I88="ENGINEERING_BASE_CAPABILITY"),1,0)</x:f>
        <x:v>1</x:v>
      </x:c>
      <x:c r="L88" s="19" t="n">
        <x:f>IF(AND(J88=1,H88="HARDWARE_ROOT"),1,0)</x:f>
        <x:v>0</x:v>
      </x:c>
      <x:c r="M88" s="19" t="n">
        <x:f>IF(AND(K88=1,H88="HARDWARE_ROOT"),1,0)</x:f>
        <x:v>1</x:v>
      </x:c>
      <x:c r="N88" s="19" t="n">
        <x:f>IF(COUNTIFS('62_App售价桥闸门'!$A$6:$A$9,C88,'62_App售价桥闸门'!$K$6:$K$9,1)&gt;0,1,0)</x:f>
        <x:v>0</x:v>
      </x:c>
      <x:c r="O88" s="19" t="n">
        <x:f>IF(COUNTIFS('62_App售价桥闸门'!$A$6:$A$9,C88,'62_App售价桥闸门'!$M$6:$M$9,1)&gt;0,1,0)</x:f>
        <x:v>0</x:v>
      </x:c>
      <x:c r="P88" s="19" t="str">
        <x:v>BOM_REAR_LIDAR</x:v>
      </x:c>
      <x:c r="Q88" s="19" t="str">
        <x:v>后向固态激光雷达</x:v>
      </x:c>
      <x:c r="R88" s="19" t="str">
        <x:f>IF(M88=1,C88&amp;"|"&amp;P88,"")</x:f>
        <x:v>PC-N90-MAX-CAND|BOM_REAR_LIDAR</x:v>
      </x:c>
      <x:c r="S88" s="19" t="str">
        <x:v>B31-C103</x:v>
      </x:c>
      <x:c r="T88" s="19" t="str">
        <x:v>B31_SRC_N90_WEB</x:v>
      </x:c>
      <x:c r="U88" s="19" t="str">
        <x:v>后向固态激光雷达，2cm精度，140°×105°视角</x:v>
      </x:c>
      <x:c r="V88" s="19" t="str">
        <x:v>搭载/配备/页面展示</x:v>
      </x:c>
      <x:c r="W88" s="19" t="str">
        <x:v>B_SCOPE_AMBIGUOUS</x:v>
      </x:c>
      <x:c r="X88" s="19" t="str">
        <x:v>章节标题作用域存在歧义；同章节含需另购副驾Pad，等待版本配置表逐项确认</x:v>
      </x:c>
      <x:c r="Y88" s="19" t="str">
        <x:v>2026-08-04</x:v>
      </x:c>
    </x:row>
    <x:row r="89" ht="50" customHeight="1">
      <x:c r="A89" s="391" t="str">
        <x:v>B31C-D084</x:v>
      </x:c>
      <x:c r="B89" s="391" t="str">
        <x:v>B31-F084</x:v>
      </x:c>
      <x:c r="C89" s="391" t="str">
        <x:v>PC-N90-MAX-CAND</x:v>
      </x:c>
      <x:c r="D89" s="391" t="str">
        <x:v>xiaomi_xla</x:v>
      </x:c>
      <x:c r="E89" s="391" t="str">
        <x:v>ADAS</x:v>
      </x:c>
      <x:c r="F89" s="391" t="str">
        <x:v>STANDARD_AT_RELEASE</x:v>
      </x:c>
      <x:c r="G89" s="391" t="str">
        <x:v>DIRECT_CLAIM</x:v>
      </x:c>
      <x:c r="H89" s="391" t="str">
        <x:v>SOFTWARE_SYSTEM</x:v>
      </x:c>
      <x:c r="I89" s="391" t="str">
        <x:v>RELEASE_STANDARD_LOCKED</x:v>
      </x:c>
      <x:c r="J89" s="391" t="n">
        <x:f>IF(I89="RELEASE_STANDARD_LOCKED",1,0)</x:f>
        <x:v>1</x:v>
      </x:c>
      <x:c r="K89" s="391" t="n">
        <x:f>IF(OR(I89="RELEASE_STANDARD_LOCKED",I89="ENGINEERING_BASE_PROVISIONAL",I89="ENGINEERING_BASE_CHAPTER_SCOPE_CANDIDATE",I89="ENGINEERING_BASE_CAPABILITY"),1,0)</x:f>
        <x:v>1</x:v>
      </x:c>
      <x:c r="L89" s="391" t="n">
        <x:f>IF(AND(J89=1,H89="HARDWARE_ROOT"),1,0)</x:f>
        <x:v>0</x:v>
      </x:c>
      <x:c r="M89" s="391" t="n">
        <x:f>IF(AND(K89=1,H89="HARDWARE_ROOT"),1,0)</x:f>
        <x:v>0</x:v>
      </x:c>
      <x:c r="N89" s="391" t="n">
        <x:f>IF(COUNTIFS('62_App售价桥闸门'!$A$6:$A$9,C89,'62_App售价桥闸门'!$K$6:$K$9,1)&gt;0,1,0)</x:f>
        <x:v>0</x:v>
      </x:c>
      <x:c r="O89" s="391" t="n">
        <x:f>IF(COUNTIFS('62_App售价桥闸门'!$A$6:$A$9,C89,'62_App售价桥闸门'!$M$6:$M$9,1)&gt;0,1,0)</x:f>
        <x:v>0</x:v>
      </x:c>
      <x:c r="P89" s="391" t="str">
        <x:v>BOM_ADAS_STACK</x:v>
      </x:c>
      <x:c r="Q89" s="391" t="str">
        <x:v>辅助驾驶系统</x:v>
      </x:c>
      <x:c r="R89" s="391" t="str">
        <x:f>IF(M89=1,C89&amp;"|"&amp;P89,"")</x:f>
      </x:c>
      <x:c r="S89" s="391" t="str">
        <x:v>B31-C104</x:v>
      </x:c>
      <x:c r="T89" s="391" t="str">
        <x:v>B31_SRC_N90_WEB</x:v>
      </x:c>
      <x:c r="U89" s="391" t="str">
        <x:v>小米XLA认知大模型 全系标配</x:v>
      </x:c>
      <x:c r="V89" s="391" t="str">
        <x:v>全系标配</x:v>
      </x:c>
      <x:c r="W89" s="391" t="str">
        <x:v>A_DIRECT_OR_EXPLICIT_SCOPE</x:v>
      </x:c>
      <x:c r="X89" s="391" t="str">
        <x:v>仍需App车辆SKU与完整配置修订，才能认定当前在售标配</x:v>
      </x:c>
      <x:c r="Y89" s="391" t="str">
        <x:v>2026-08-04</x:v>
      </x:c>
    </x:row>
    <x:row r="90" ht="50" customHeight="1">
      <x:c r="A90" s="19" t="str">
        <x:v>B31C-D085</x:v>
      </x:c>
      <x:c r="B90" s="19" t="str">
        <x:v>B31-F085</x:v>
      </x:c>
      <x:c r="C90" s="19" t="str">
        <x:v>PC-N90-MAX-CAND</x:v>
      </x:c>
      <x:c r="D90" s="19" t="str">
        <x:v>smart_power_doors</x:v>
      </x:c>
      <x:c r="E90" s="19" t="str">
        <x:v>EXTERIOR</x:v>
      </x:c>
      <x:c r="F90" s="19" t="str">
        <x:v>OPTIONAL_AT_RELEASE</x:v>
      </x:c>
      <x:c r="G90" s="19" t="str">
        <x:v>DIRECT_CLAIM</x:v>
      </x:c>
      <x:c r="H90" s="19" t="str">
        <x:v>OPTION_HARDWARE</x:v>
      </x:c>
      <x:c r="I90" s="19" t="str">
        <x:v>OPTION_POOL</x:v>
      </x:c>
      <x:c r="J90" s="19" t="n">
        <x:f>IF(I90="RELEASE_STANDARD_LOCKED",1,0)</x:f>
        <x:v>0</x:v>
      </x:c>
      <x:c r="K90" s="19" t="n">
        <x:f>IF(OR(I90="RELEASE_STANDARD_LOCKED",I90="ENGINEERING_BASE_PROVISIONAL",I90="ENGINEERING_BASE_CHAPTER_SCOPE_CANDIDATE",I90="ENGINEERING_BASE_CAPABILITY"),1,0)</x:f>
        <x:v>0</x:v>
      </x:c>
      <x:c r="L90" s="19" t="n">
        <x:f>IF(AND(J90=1,H90="HARDWARE_ROOT"),1,0)</x:f>
        <x:v>0</x:v>
      </x:c>
      <x:c r="M90" s="19" t="n">
        <x:f>IF(AND(K90=1,H90="HARDWARE_ROOT"),1,0)</x:f>
        <x:v>0</x:v>
      </x:c>
      <x:c r="N90" s="19" t="n">
        <x:f>IF(COUNTIFS('62_App售价桥闸门'!$A$6:$A$9,C90,'62_App售价桥闸门'!$K$6:$K$9,1)&gt;0,1,0)</x:f>
        <x:v>0</x:v>
      </x:c>
      <x:c r="O90" s="19" t="n">
        <x:f>IF(COUNTIFS('62_App售价桥闸门'!$A$6:$A$9,C90,'62_App售价桥闸门'!$M$6:$M$9,1)&gt;0,1,0)</x:f>
        <x:v>0</x:v>
      </x:c>
      <x:c r="P90" s="19" t="str">
        <x:v>OPT_SMART_POWER_DOORS</x:v>
      </x:c>
      <x:c r="Q90" s="19" t="str">
        <x:v>智能电动门选装</x:v>
      </x:c>
      <x:c r="R90" s="19" t="str">
        <x:f>IF(M90=1,C90&amp;"|"&amp;P90,"")</x:f>
      </x:c>
      <x:c r="S90" s="19" t="str">
        <x:v>B31-C105</x:v>
      </x:c>
      <x:c r="T90" s="19" t="str">
        <x:v>B31_SRC_N90_WEB</x:v>
      </x:c>
      <x:c r="U90" s="19" t="str">
        <x:v>可选智能电动门</x:v>
      </x:c>
      <x:c r="V90" s="19" t="str">
        <x:v>可选/可选装</x:v>
      </x:c>
      <x:c r="W90" s="19" t="str">
        <x:v>A_DIRECT_OR_EXPLICIT_SCOPE</x:v>
      </x:c>
      <x:c r="X90" s="19" t="str">
        <x:v>官方选装价格与基础替代关系未发布</x:v>
      </x:c>
      <x:c r="Y90" s="19" t="str">
        <x:v>2026-08-04</x:v>
      </x:c>
    </x:row>
    <x:row r="91" ht="50" customHeight="1">
      <x:c r="A91" s="391" t="str">
        <x:v>B31C-D086</x:v>
      </x:c>
      <x:c r="B91" s="391" t="str">
        <x:v>B31-F086</x:v>
      </x:c>
      <x:c r="C91" s="391" t="str">
        <x:v>PC-N90-MAX-CAND</x:v>
      </x:c>
      <x:c r="D91" s="391" t="str">
        <x:v>power_running_boards</x:v>
      </x:c>
      <x:c r="E91" s="391" t="str">
        <x:v>EXTERIOR</x:v>
      </x:c>
      <x:c r="F91" s="391" t="str">
        <x:v>OPTIONAL_AT_RELEASE</x:v>
      </x:c>
      <x:c r="G91" s="391" t="str">
        <x:v>DIRECT_CLAIM</x:v>
      </x:c>
      <x:c r="H91" s="391" t="str">
        <x:v>OPTION_HARDWARE</x:v>
      </x:c>
      <x:c r="I91" s="391" t="str">
        <x:v>OPTION_POOL</x:v>
      </x:c>
      <x:c r="J91" s="391" t="n">
        <x:f>IF(I91="RELEASE_STANDARD_LOCKED",1,0)</x:f>
        <x:v>0</x:v>
      </x:c>
      <x:c r="K91" s="391" t="n">
        <x:f>IF(OR(I91="RELEASE_STANDARD_LOCKED",I91="ENGINEERING_BASE_PROVISIONAL",I91="ENGINEERING_BASE_CHAPTER_SCOPE_CANDIDATE",I91="ENGINEERING_BASE_CAPABILITY"),1,0)</x:f>
        <x:v>0</x:v>
      </x:c>
      <x:c r="L91" s="391" t="n">
        <x:f>IF(AND(J91=1,H91="HARDWARE_ROOT"),1,0)</x:f>
        <x:v>0</x:v>
      </x:c>
      <x:c r="M91" s="391" t="n">
        <x:f>IF(AND(K91=1,H91="HARDWARE_ROOT"),1,0)</x:f>
        <x:v>0</x:v>
      </x:c>
      <x:c r="N91" s="391" t="n">
        <x:f>IF(COUNTIFS('62_App售价桥闸门'!$A$6:$A$9,C91,'62_App售价桥闸门'!$K$6:$K$9,1)&gt;0,1,0)</x:f>
        <x:v>0</x:v>
      </x:c>
      <x:c r="O91" s="391" t="n">
        <x:f>IF(COUNTIFS('62_App售价桥闸门'!$A$6:$A$9,C91,'62_App售价桥闸门'!$M$6:$M$9,1)&gt;0,1,0)</x:f>
        <x:v>0</x:v>
      </x:c>
      <x:c r="P91" s="391" t="str">
        <x:v>OPT_POWER_RUNNING_BOARDS</x:v>
      </x:c>
      <x:c r="Q91" s="391" t="str">
        <x:v>电动迎宾踏板选装</x:v>
      </x:c>
      <x:c r="R91" s="391" t="str">
        <x:f>IF(M91=1,C91&amp;"|"&amp;P91,"")</x:f>
      </x:c>
      <x:c r="S91" s="391" t="str">
        <x:v>B31-C106</x:v>
      </x:c>
      <x:c r="T91" s="391" t="str">
        <x:v>B31_SRC_N90_WEB</x:v>
      </x:c>
      <x:c r="U91" s="391" t="str">
        <x:v>电动迎宾踏板可选</x:v>
      </x:c>
      <x:c r="V91" s="391" t="str">
        <x:v>可选/可选装</x:v>
      </x:c>
      <x:c r="W91" s="391" t="str">
        <x:v>A_DIRECT_OR_EXPLICIT_SCOPE</x:v>
      </x:c>
      <x:c r="X91" s="391" t="str">
        <x:v>官方选装价格与基础替代关系未发布</x:v>
      </x:c>
      <x:c r="Y91" s="391" t="str">
        <x:v>2026-08-04</x:v>
      </x:c>
    </x:row>
    <x:row r="92" ht="50" customHeight="1">
      <x:c r="A92" s="19" t="str">
        <x:v>B31C-D087</x:v>
      </x:c>
      <x:c r="B92" s="19" t="str">
        <x:v>B31-F087</x:v>
      </x:c>
      <x:c r="C92" s="19" t="str">
        <x:v>PC-N90-MAX-CAND</x:v>
      </x:c>
      <x:c r="D92" s="19" t="str">
        <x:v>front_swivel_seats</x:v>
      </x:c>
      <x:c r="E92" s="19" t="str">
        <x:v>COMFORT</x:v>
      </x:c>
      <x:c r="F92" s="19" t="str">
        <x:v>OPTIONAL_AT_RELEASE</x:v>
      </x:c>
      <x:c r="G92" s="19" t="str">
        <x:v>DIRECT_CLAIM</x:v>
      </x:c>
      <x:c r="H92" s="19" t="str">
        <x:v>OPTION_HARDWARE</x:v>
      </x:c>
      <x:c r="I92" s="19" t="str">
        <x:v>OPTION_POOL</x:v>
      </x:c>
      <x:c r="J92" s="19" t="n">
        <x:f>IF(I92="RELEASE_STANDARD_LOCKED",1,0)</x:f>
        <x:v>0</x:v>
      </x:c>
      <x:c r="K92" s="19" t="n">
        <x:f>IF(OR(I92="RELEASE_STANDARD_LOCKED",I92="ENGINEERING_BASE_PROVISIONAL",I92="ENGINEERING_BASE_CHAPTER_SCOPE_CANDIDATE",I92="ENGINEERING_BASE_CAPABILITY"),1,0)</x:f>
        <x:v>0</x:v>
      </x:c>
      <x:c r="L92" s="19" t="n">
        <x:f>IF(AND(J92=1,H92="HARDWARE_ROOT"),1,0)</x:f>
        <x:v>0</x:v>
      </x:c>
      <x:c r="M92" s="19" t="n">
        <x:f>IF(AND(K92=1,H92="HARDWARE_ROOT"),1,0)</x:f>
        <x:v>0</x:v>
      </x:c>
      <x:c r="N92" s="19" t="n">
        <x:f>IF(COUNTIFS('62_App售价桥闸门'!$A$6:$A$9,C92,'62_App售价桥闸门'!$K$6:$K$9,1)&gt;0,1,0)</x:f>
        <x:v>0</x:v>
      </x:c>
      <x:c r="O92" s="19" t="n">
        <x:f>IF(COUNTIFS('62_App售价桥闸门'!$A$6:$A$9,C92,'62_App售价桥闸门'!$M$6:$M$9,1)&gt;0,1,0)</x:f>
        <x:v>0</x:v>
      </x:c>
      <x:c r="P92" s="19" t="str">
        <x:v>BOM_FRONT_SWIVEL_SEAT</x:v>
      </x:c>
      <x:c r="Q92" s="19" t="str">
        <x:v>前排旋转座椅机构</x:v>
      </x:c>
      <x:c r="R92" s="19" t="str">
        <x:f>IF(M92=1,C92&amp;"|"&amp;P92,"")</x:f>
      </x:c>
      <x:c r="S92" s="19" t="str">
        <x:v>B31-C107</x:v>
      </x:c>
      <x:c r="T92" s="19" t="str">
        <x:v>B31_SRC_N90_WEB</x:v>
      </x:c>
      <x:c r="U92" s="19" t="str">
        <x:v>可选装电动旋转一排座椅</x:v>
      </x:c>
      <x:c r="V92" s="19" t="str">
        <x:v>可选/可选装</x:v>
      </x:c>
      <x:c r="W92" s="19" t="str">
        <x:v>A_DIRECT_OR_EXPLICIT_SCOPE</x:v>
      </x:c>
      <x:c r="X92" s="19" t="str">
        <x:v>官方选装价格与基础替代关系未发布</x:v>
      </x:c>
      <x:c r="Y92" s="19" t="str">
        <x:v>2026-08-04</x:v>
      </x:c>
    </x:row>
    <x:row r="93" ht="50" customHeight="1">
      <x:c r="A93" s="391" t="str">
        <x:v>B31C-D088</x:v>
      </x:c>
      <x:c r="B93" s="391" t="str">
        <x:v>B31-F088</x:v>
      </x:c>
      <x:c r="C93" s="391" t="str">
        <x:v>PC-N90-MAX-CAND</x:v>
      </x:c>
      <x:c r="D93" s="391" t="str">
        <x:v>zero_gravity_seats</x:v>
      </x:c>
      <x:c r="E93" s="391" t="str">
        <x:v>COMFORT</x:v>
      </x:c>
      <x:c r="F93" s="391" t="str">
        <x:v>OPTIONAL_AT_RELEASE</x:v>
      </x:c>
      <x:c r="G93" s="391" t="str">
        <x:v>DIRECT_CLAIM</x:v>
      </x:c>
      <x:c r="H93" s="391" t="str">
        <x:v>OPTION_HARDWARE</x:v>
      </x:c>
      <x:c r="I93" s="391" t="str">
        <x:v>OPTION_POOL</x:v>
      </x:c>
      <x:c r="J93" s="391" t="n">
        <x:f>IF(I93="RELEASE_STANDARD_LOCKED",1,0)</x:f>
        <x:v>0</x:v>
      </x:c>
      <x:c r="K93" s="391" t="n">
        <x:f>IF(OR(I93="RELEASE_STANDARD_LOCKED",I93="ENGINEERING_BASE_PROVISIONAL",I93="ENGINEERING_BASE_CHAPTER_SCOPE_CANDIDATE",I93="ENGINEERING_BASE_CAPABILITY"),1,0)</x:f>
        <x:v>0</x:v>
      </x:c>
      <x:c r="L93" s="391" t="n">
        <x:f>IF(AND(J93=1,H93="HARDWARE_ROOT"),1,0)</x:f>
        <x:v>0</x:v>
      </x:c>
      <x:c r="M93" s="391" t="n">
        <x:f>IF(AND(K93=1,H93="HARDWARE_ROOT"),1,0)</x:f>
        <x:v>0</x:v>
      </x:c>
      <x:c r="N93" s="391" t="n">
        <x:f>IF(COUNTIFS('62_App售价桥闸门'!$A$6:$A$9,C93,'62_App售价桥闸门'!$K$6:$K$9,1)&gt;0,1,0)</x:f>
        <x:v>0</x:v>
      </x:c>
      <x:c r="O93" s="391" t="n">
        <x:f>IF(COUNTIFS('62_App售价桥闸门'!$A$6:$A$9,C93,'62_App售价桥闸门'!$M$6:$M$9,1)&gt;0,1,0)</x:f>
        <x:v>0</x:v>
      </x:c>
      <x:c r="P93" s="391" t="str">
        <x:v>BOM_ZERO_GRAVITY_SEAT</x:v>
      </x:c>
      <x:c r="Q93" s="391" t="str">
        <x:v>零重力座椅机构</x:v>
      </x:c>
      <x:c r="R93" s="391" t="str">
        <x:f>IF(M93=1,C93&amp;"|"&amp;P93,"")</x:f>
      </x:c>
      <x:c r="S93" s="391" t="str">
        <x:v>B31-C108</x:v>
      </x:c>
      <x:c r="T93" s="391" t="str">
        <x:v>B31_SRC_N90_WEB</x:v>
      </x:c>
      <x:c r="U93" s="391" t="str">
        <x:v>全车最多可选4把零重力座椅</x:v>
      </x:c>
      <x:c r="V93" s="391" t="str">
        <x:v>可选/可选装</x:v>
      </x:c>
      <x:c r="W93" s="391" t="str">
        <x:v>A_DIRECT_OR_EXPLICIT_SCOPE</x:v>
      </x:c>
      <x:c r="X93" s="391" t="str">
        <x:v>官方选装价格与基础替代关系未发布</x:v>
      </x:c>
      <x:c r="Y93" s="391" t="str">
        <x:v>2026-08-04</x:v>
      </x:c>
    </x:row>
    <x:row r="94" ht="50" customHeight="1">
      <x:c r="A94" s="19" t="str">
        <x:v>B31C-D089</x:v>
      </x:c>
      <x:c r="B94" s="19" t="str">
        <x:v>B31-F089</x:v>
      </x:c>
      <x:c r="C94" s="19" t="str">
        <x:v>PC-N90-MAX-CAND</x:v>
      </x:c>
      <x:c r="D94" s="19" t="str">
        <x:v>wheel_designs_21</x:v>
      </x:c>
      <x:c r="E94" s="19" t="str">
        <x:v>EXTERIOR</x:v>
      </x:c>
      <x:c r="F94" s="19" t="str">
        <x:v>OPTIONAL_AT_RELEASE</x:v>
      </x:c>
      <x:c r="G94" s="19" t="str">
        <x:v>DIRECT_CLAIM</x:v>
      </x:c>
      <x:c r="H94" s="19" t="str">
        <x:v>OPTION_HARDWARE</x:v>
      </x:c>
      <x:c r="I94" s="19" t="str">
        <x:v>OPTION_POOL</x:v>
      </x:c>
      <x:c r="J94" s="19" t="n">
        <x:f>IF(I94="RELEASE_STANDARD_LOCKED",1,0)</x:f>
        <x:v>0</x:v>
      </x:c>
      <x:c r="K94" s="19" t="n">
        <x:f>IF(OR(I94="RELEASE_STANDARD_LOCKED",I94="ENGINEERING_BASE_PROVISIONAL",I94="ENGINEERING_BASE_CHAPTER_SCOPE_CANDIDATE",I94="ENGINEERING_BASE_CAPABILITY"),1,0)</x:f>
        <x:v>0</x:v>
      </x:c>
      <x:c r="L94" s="19" t="n">
        <x:f>IF(AND(J94=1,H94="HARDWARE_ROOT"),1,0)</x:f>
        <x:v>0</x:v>
      </x:c>
      <x:c r="M94" s="19" t="n">
        <x:f>IF(AND(K94=1,H94="HARDWARE_ROOT"),1,0)</x:f>
        <x:v>0</x:v>
      </x:c>
      <x:c r="N94" s="19" t="n">
        <x:f>IF(COUNTIFS('62_App售价桥闸门'!$A$6:$A$9,C94,'62_App售价桥闸门'!$K$6:$K$9,1)&gt;0,1,0)</x:f>
        <x:v>0</x:v>
      </x:c>
      <x:c r="O94" s="19" t="n">
        <x:f>IF(COUNTIFS('62_App售价桥闸门'!$A$6:$A$9,C94,'62_App售价桥闸门'!$M$6:$M$9,1)&gt;0,1,0)</x:f>
        <x:v>0</x:v>
      </x:c>
      <x:c r="P94" s="19" t="str">
        <x:v>OPT_WHEEL_DESIGN</x:v>
      </x:c>
      <x:c r="Q94" s="19" t="str">
        <x:v>21英寸轮毂造型选择</x:v>
      </x:c>
      <x:c r="R94" s="19" t="str">
        <x:f>IF(M94=1,C94&amp;"|"&amp;P94,"")</x:f>
      </x:c>
      <x:c r="S94" s="19" t="str">
        <x:v>B31-C109</x:v>
      </x:c>
      <x:c r="T94" s="19" t="str">
        <x:v>B31_SRC_N90_WEB</x:v>
      </x:c>
      <x:c r="U94" s="19" t="str">
        <x:v>四款轮毂设计可选</x:v>
      </x:c>
      <x:c r="V94" s="19" t="str">
        <x:v>可选/可选装</x:v>
      </x:c>
      <x:c r="W94" s="19" t="str">
        <x:v>A_DIRECT_OR_EXPLICIT_SCOPE</x:v>
      </x:c>
      <x:c r="X94" s="19" t="str">
        <x:v>官方选装价格与基础替代关系未发布</x:v>
      </x:c>
      <x:c r="Y94" s="19" t="str">
        <x:v>2026-08-04</x:v>
      </x:c>
    </x:row>
    <x:row r="95" ht="50" customHeight="1">
      <x:c r="A95" s="391" t="str">
        <x:v>B31C-D090</x:v>
      </x:c>
      <x:c r="B95" s="391" t="str">
        <x:v>B31-F090</x:v>
      </x:c>
      <x:c r="C95" s="391" t="str">
        <x:v>PC-N90-MAX-CAND</x:v>
      </x:c>
      <x:c r="D95" s="391" t="str">
        <x:v>grille_trim</x:v>
      </x:c>
      <x:c r="E95" s="391" t="str">
        <x:v>EXTERIOR</x:v>
      </x:c>
      <x:c r="F95" s="391" t="str">
        <x:v>OPTIONAL_AT_RELEASE</x:v>
      </x:c>
      <x:c r="G95" s="391" t="str">
        <x:v>DIRECT_CLAIM</x:v>
      </x:c>
      <x:c r="H95" s="391" t="str">
        <x:v>OPTION_HARDWARE</x:v>
      </x:c>
      <x:c r="I95" s="391" t="str">
        <x:v>OPTION_POOL</x:v>
      </x:c>
      <x:c r="J95" s="391" t="n">
        <x:f>IF(I95="RELEASE_STANDARD_LOCKED",1,0)</x:f>
        <x:v>0</x:v>
      </x:c>
      <x:c r="K95" s="391" t="n">
        <x:f>IF(OR(I95="RELEASE_STANDARD_LOCKED",I95="ENGINEERING_BASE_PROVISIONAL",I95="ENGINEERING_BASE_CHAPTER_SCOPE_CANDIDATE",I95="ENGINEERING_BASE_CAPABILITY"),1,0)</x:f>
        <x:v>0</x:v>
      </x:c>
      <x:c r="L95" s="391" t="n">
        <x:f>IF(AND(J95=1,H95="HARDWARE_ROOT"),1,0)</x:f>
        <x:v>0</x:v>
      </x:c>
      <x:c r="M95" s="391" t="n">
        <x:f>IF(AND(K95=1,H95="HARDWARE_ROOT"),1,0)</x:f>
        <x:v>0</x:v>
      </x:c>
      <x:c r="N95" s="391" t="n">
        <x:f>IF(COUNTIFS('62_App售价桥闸门'!$A$6:$A$9,C95,'62_App售价桥闸门'!$K$6:$K$9,1)&gt;0,1,0)</x:f>
        <x:v>0</x:v>
      </x:c>
      <x:c r="O95" s="391" t="n">
        <x:f>IF(COUNTIFS('62_App售价桥闸门'!$A$6:$A$9,C95,'62_App售价桥闸门'!$M$6:$M$9,1)&gt;0,1,0)</x:f>
        <x:v>0</x:v>
      </x:c>
      <x:c r="P95" s="391" t="str">
        <x:v>OPT_GRILLE_TRIM</x:v>
      </x:c>
      <x:c r="Q95" s="391" t="str">
        <x:v>前格栅饰板选择</x:v>
      </x:c>
      <x:c r="R95" s="391" t="str">
        <x:f>IF(M95=1,C95&amp;"|"&amp;P95,"")</x:f>
      </x:c>
      <x:c r="S95" s="391" t="str">
        <x:v>B31-C110</x:v>
      </x:c>
      <x:c r="T95" s="391" t="str">
        <x:v>B31_SRC_N90_WEB</x:v>
      </x:c>
      <x:c r="U95" s="391" t="str">
        <x:v>前格栅饰板提供多种替换方案可选</x:v>
      </x:c>
      <x:c r="V95" s="391" t="str">
        <x:v>可选/可选装</x:v>
      </x:c>
      <x:c r="W95" s="391" t="str">
        <x:v>A_DIRECT_OR_EXPLICIT_SCOPE</x:v>
      </x:c>
      <x:c r="X95" s="391" t="str">
        <x:v>官方选装价格与基础替代关系未发布</x:v>
      </x:c>
      <x:c r="Y95" s="391" t="str">
        <x:v>2026-08-04</x:v>
      </x:c>
    </x:row>
    <x:row r="96" ht="50" customHeight="1">
      <x:c r="A96" s="19" t="str">
        <x:v>B31C-D091</x:v>
      </x:c>
      <x:c r="B96" s="19" t="str">
        <x:v>B31-F091</x:v>
      </x:c>
      <x:c r="C96" s="19" t="str">
        <x:v>PC-N90-MAX-CAND</x:v>
      </x:c>
      <x:c r="D96" s="19" t="str">
        <x:v>vehicle_table</x:v>
      </x:c>
      <x:c r="E96" s="19" t="str">
        <x:v>ACCESSORY</x:v>
      </x:c>
      <x:c r="F96" s="19" t="str">
        <x:v>SEPARATE_PURCHASE</x:v>
      </x:c>
      <x:c r="G96" s="19" t="str">
        <x:v>DIRECT_CLAIM</x:v>
      </x:c>
      <x:c r="H96" s="19" t="str">
        <x:v>ACCESSORY</x:v>
      </x:c>
      <x:c r="I96" s="19" t="str">
        <x:v>ACCESSORY_POOL</x:v>
      </x:c>
      <x:c r="J96" s="19" t="n">
        <x:f>IF(I96="RELEASE_STANDARD_LOCKED",1,0)</x:f>
        <x:v>0</x:v>
      </x:c>
      <x:c r="K96" s="19" t="n">
        <x:f>IF(OR(I96="RELEASE_STANDARD_LOCKED",I96="ENGINEERING_BASE_PROVISIONAL",I96="ENGINEERING_BASE_CHAPTER_SCOPE_CANDIDATE",I96="ENGINEERING_BASE_CAPABILITY"),1,0)</x:f>
        <x:v>0</x:v>
      </x:c>
      <x:c r="L96" s="19" t="n">
        <x:f>IF(AND(J96=1,H96="HARDWARE_ROOT"),1,0)</x:f>
        <x:v>0</x:v>
      </x:c>
      <x:c r="M96" s="19" t="n">
        <x:f>IF(AND(K96=1,H96="HARDWARE_ROOT"),1,0)</x:f>
        <x:v>0</x:v>
      </x:c>
      <x:c r="N96" s="19" t="n">
        <x:f>IF(COUNTIFS('62_App售价桥闸门'!$A$6:$A$9,C96,'62_App售价桥闸门'!$K$6:$K$9,1)&gt;0,1,0)</x:f>
        <x:v>0</x:v>
      </x:c>
      <x:c r="O96" s="19" t="n">
        <x:f>IF(COUNTIFS('62_App售价桥闸门'!$A$6:$A$9,C96,'62_App售价桥闸门'!$M$6:$M$9,1)&gt;0,1,0)</x:f>
        <x:v>0</x:v>
      </x:c>
      <x:c r="P96" s="19" t="str">
        <x:v>ACC_VEHICLE_TABLE</x:v>
      </x:c>
      <x:c r="Q96" s="19" t="str">
        <x:v>车载桌板附件</x:v>
      </x:c>
      <x:c r="R96" s="19" t="str">
        <x:f>IF(M96=1,C96&amp;"|"&amp;P96,"")</x:f>
      </x:c>
      <x:c r="S96" s="19" t="str">
        <x:v>B31-C111</x:v>
      </x:c>
      <x:c r="T96" s="19" t="str">
        <x:v>B31_SRC_N90_WEB</x:v>
      </x:c>
      <x:c r="U96" s="19" t="str">
        <x:v>车载桌板需单独购买</x:v>
      </x:c>
      <x:c r="V96" s="19" t="str">
        <x:v>需单独/自行购买</x:v>
      </x:c>
      <x:c r="W96" s="19" t="str">
        <x:v>A_DIRECT_OR_EXPLICIT_SCOPE</x:v>
      </x:c>
      <x:c r="X96" s="19" t="str">
        <x:v>附件另购价格未发布；禁止并入整车基础BOM</x:v>
      </x:c>
      <x:c r="Y96" s="19" t="str">
        <x:v>2026-08-04</x:v>
      </x:c>
    </x:row>
    <x:row r="97" ht="50" customHeight="1">
      <x:c r="A97" s="391" t="str">
        <x:v>B31C-D092</x:v>
      </x:c>
      <x:c r="B97" s="391" t="str">
        <x:v>B31-F092</x:v>
      </x:c>
      <x:c r="C97" s="391" t="str">
        <x:v>PC-N90-MAX-CAND</x:v>
      </x:c>
      <x:c r="D97" s="391" t="str">
        <x:v>mattress</x:v>
      </x:c>
      <x:c r="E97" s="391" t="str">
        <x:v>ACCESSORY</x:v>
      </x:c>
      <x:c r="F97" s="391" t="str">
        <x:v>SEPARATE_PURCHASE</x:v>
      </x:c>
      <x:c r="G97" s="391" t="str">
        <x:v>DIRECT_CLAIM</x:v>
      </x:c>
      <x:c r="H97" s="391" t="str">
        <x:v>ACCESSORY</x:v>
      </x:c>
      <x:c r="I97" s="391" t="str">
        <x:v>ACCESSORY_POOL</x:v>
      </x:c>
      <x:c r="J97" s="391" t="n">
        <x:f>IF(I97="RELEASE_STANDARD_LOCKED",1,0)</x:f>
        <x:v>0</x:v>
      </x:c>
      <x:c r="K97" s="391" t="n">
        <x:f>IF(OR(I97="RELEASE_STANDARD_LOCKED",I97="ENGINEERING_BASE_PROVISIONAL",I97="ENGINEERING_BASE_CHAPTER_SCOPE_CANDIDATE",I97="ENGINEERING_BASE_CAPABILITY"),1,0)</x:f>
        <x:v>0</x:v>
      </x:c>
      <x:c r="L97" s="391" t="n">
        <x:f>IF(AND(J97=1,H97="HARDWARE_ROOT"),1,0)</x:f>
        <x:v>0</x:v>
      </x:c>
      <x:c r="M97" s="391" t="n">
        <x:f>IF(AND(K97=1,H97="HARDWARE_ROOT"),1,0)</x:f>
        <x:v>0</x:v>
      </x:c>
      <x:c r="N97" s="391" t="n">
        <x:f>IF(COUNTIFS('62_App售价桥闸门'!$A$6:$A$9,C97,'62_App售价桥闸门'!$K$6:$K$9,1)&gt;0,1,0)</x:f>
        <x:v>0</x:v>
      </x:c>
      <x:c r="O97" s="391" t="n">
        <x:f>IF(COUNTIFS('62_App售价桥闸门'!$A$6:$A$9,C97,'62_App售价桥闸门'!$M$6:$M$9,1)&gt;0,1,0)</x:f>
        <x:v>0</x:v>
      </x:c>
      <x:c r="P97" s="391" t="str">
        <x:v>ACC_MATTRESS</x:v>
      </x:c>
      <x:c r="Q97" s="391" t="str">
        <x:v>专用床垫附件</x:v>
      </x:c>
      <x:c r="R97" s="391" t="str">
        <x:f>IF(M97=1,C97&amp;"|"&amp;P97,"")</x:f>
      </x:c>
      <x:c r="S97" s="391" t="str">
        <x:v>B31-C112</x:v>
      </x:c>
      <x:c r="T97" s="391" t="str">
        <x:v>B31_SRC_N90_WEB</x:v>
      </x:c>
      <x:c r="U97" s="391" t="str">
        <x:v>床垫需要单独购买</x:v>
      </x:c>
      <x:c r="V97" s="391" t="str">
        <x:v>需单独/自行购买</x:v>
      </x:c>
      <x:c r="W97" s="391" t="str">
        <x:v>A_DIRECT_OR_EXPLICIT_SCOPE</x:v>
      </x:c>
      <x:c r="X97" s="391" t="str">
        <x:v>附件另购价格未发布；禁止并入整车基础BOM</x:v>
      </x:c>
      <x:c r="Y97" s="391" t="str">
        <x:v>2026-08-04</x:v>
      </x:c>
    </x:row>
    <x:row r="98" ht="50" customHeight="1">
      <x:c r="A98" s="19" t="str">
        <x:v>B31C-D093</x:v>
      </x:c>
      <x:c r="B98" s="19" t="str">
        <x:v>B31-F093</x:v>
      </x:c>
      <x:c r="C98" s="19" t="str">
        <x:v>PC-N90-MAX-CAND</x:v>
      </x:c>
      <x:c r="D98" s="19" t="str">
        <x:v>privacy_curtains</x:v>
      </x:c>
      <x:c r="E98" s="19" t="str">
        <x:v>ACCESSORY</x:v>
      </x:c>
      <x:c r="F98" s="19" t="str">
        <x:v>SEPARATE_PURCHASE</x:v>
      </x:c>
      <x:c r="G98" s="19" t="str">
        <x:v>DIRECT_CLAIM</x:v>
      </x:c>
      <x:c r="H98" s="19" t="str">
        <x:v>ACCESSORY</x:v>
      </x:c>
      <x:c r="I98" s="19" t="str">
        <x:v>ACCESSORY_POOL</x:v>
      </x:c>
      <x:c r="J98" s="19" t="n">
        <x:f>IF(I98="RELEASE_STANDARD_LOCKED",1,0)</x:f>
        <x:v>0</x:v>
      </x:c>
      <x:c r="K98" s="19" t="n">
        <x:f>IF(OR(I98="RELEASE_STANDARD_LOCKED",I98="ENGINEERING_BASE_PROVISIONAL",I98="ENGINEERING_BASE_CHAPTER_SCOPE_CANDIDATE",I98="ENGINEERING_BASE_CAPABILITY"),1,0)</x:f>
        <x:v>0</x:v>
      </x:c>
      <x:c r="L98" s="19" t="n">
        <x:f>IF(AND(J98=1,H98="HARDWARE_ROOT"),1,0)</x:f>
        <x:v>0</x:v>
      </x:c>
      <x:c r="M98" s="19" t="n">
        <x:f>IF(AND(K98=1,H98="HARDWARE_ROOT"),1,0)</x:f>
        <x:v>0</x:v>
      </x:c>
      <x:c r="N98" s="19" t="n">
        <x:f>IF(COUNTIFS('62_App售价桥闸门'!$A$6:$A$9,C98,'62_App售价桥闸门'!$K$6:$K$9,1)&gt;0,1,0)</x:f>
        <x:v>0</x:v>
      </x:c>
      <x:c r="O98" s="19" t="n">
        <x:f>IF(COUNTIFS('62_App售价桥闸门'!$A$6:$A$9,C98,'62_App售价桥闸门'!$M$6:$M$9,1)&gt;0,1,0)</x:f>
        <x:v>0</x:v>
      </x:c>
      <x:c r="P98" s="19" t="str">
        <x:v>ACC_PRIVACY_CURTAINS</x:v>
      </x:c>
      <x:c r="Q98" s="19" t="str">
        <x:v>隐私帘附件</x:v>
      </x:c>
      <x:c r="R98" s="19" t="str">
        <x:f>IF(M98=1,C98&amp;"|"&amp;P98,"")</x:f>
      </x:c>
      <x:c r="S98" s="19" t="str">
        <x:v>B31-C113</x:v>
      </x:c>
      <x:c r="T98" s="19" t="str">
        <x:v>B31_SRC_N90_WEB</x:v>
      </x:c>
      <x:c r="U98" s="19" t="str">
        <x:v>隐私帘需要单独购买</x:v>
      </x:c>
      <x:c r="V98" s="19" t="str">
        <x:v>需单独/自行购买</x:v>
      </x:c>
      <x:c r="W98" s="19" t="str">
        <x:v>A_DIRECT_OR_EXPLICIT_SCOPE</x:v>
      </x:c>
      <x:c r="X98" s="19" t="str">
        <x:v>附件另购价格未发布；禁止并入整车基础BOM</x:v>
      </x:c>
      <x:c r="Y98" s="19" t="str">
        <x:v>2026-08-04</x:v>
      </x:c>
    </x:row>
    <x:row r="99" ht="50" customHeight="1">
      <x:c r="A99" s="391" t="str">
        <x:v>B31C-D094</x:v>
      </x:c>
      <x:c r="B99" s="391" t="str">
        <x:v>B31-F094</x:v>
      </x:c>
      <x:c r="C99" s="391" t="str">
        <x:v>PC-N90-MAX-CAND</x:v>
      </x:c>
      <x:c r="D99" s="391" t="str">
        <x:v>tail_tent</x:v>
      </x:c>
      <x:c r="E99" s="391" t="str">
        <x:v>ACCESSORY</x:v>
      </x:c>
      <x:c r="F99" s="391" t="str">
        <x:v>SEPARATE_PURCHASE</x:v>
      </x:c>
      <x:c r="G99" s="391" t="str">
        <x:v>DIRECT_CLAIM</x:v>
      </x:c>
      <x:c r="H99" s="391" t="str">
        <x:v>ACCESSORY</x:v>
      </x:c>
      <x:c r="I99" s="391" t="str">
        <x:v>ACCESSORY_POOL</x:v>
      </x:c>
      <x:c r="J99" s="391" t="n">
        <x:f>IF(I99="RELEASE_STANDARD_LOCKED",1,0)</x:f>
        <x:v>0</x:v>
      </x:c>
      <x:c r="K99" s="391" t="n">
        <x:f>IF(OR(I99="RELEASE_STANDARD_LOCKED",I99="ENGINEERING_BASE_PROVISIONAL",I99="ENGINEERING_BASE_CHAPTER_SCOPE_CANDIDATE",I99="ENGINEERING_BASE_CAPABILITY"),1,0)</x:f>
        <x:v>0</x:v>
      </x:c>
      <x:c r="L99" s="391" t="n">
        <x:f>IF(AND(J99=1,H99="HARDWARE_ROOT"),1,0)</x:f>
        <x:v>0</x:v>
      </x:c>
      <x:c r="M99" s="391" t="n">
        <x:f>IF(AND(K99=1,H99="HARDWARE_ROOT"),1,0)</x:f>
        <x:v>0</x:v>
      </x:c>
      <x:c r="N99" s="391" t="n">
        <x:f>IF(COUNTIFS('62_App售价桥闸门'!$A$6:$A$9,C99,'62_App售价桥闸门'!$K$6:$K$9,1)&gt;0,1,0)</x:f>
        <x:v>0</x:v>
      </x:c>
      <x:c r="O99" s="391" t="n">
        <x:f>IF(COUNTIFS('62_App售价桥闸门'!$A$6:$A$9,C99,'62_App售价桥闸门'!$M$6:$M$9,1)&gt;0,1,0)</x:f>
        <x:v>0</x:v>
      </x:c>
      <x:c r="P99" s="391" t="str">
        <x:v>ACC_TAIL_TENT</x:v>
      </x:c>
      <x:c r="Q99" s="391" t="str">
        <x:v>尾帐附件</x:v>
      </x:c>
      <x:c r="R99" s="391" t="str">
        <x:f>IF(M99=1,C99&amp;"|"&amp;P99,"")</x:f>
      </x:c>
      <x:c r="S99" s="391" t="str">
        <x:v>B31-C114</x:v>
      </x:c>
      <x:c r="T99" s="391" t="str">
        <x:v>B31_SRC_N90_WEB</x:v>
      </x:c>
      <x:c r="U99" s="391" t="str">
        <x:v>尾帐需单独购买</x:v>
      </x:c>
      <x:c r="V99" s="391" t="str">
        <x:v>需单独/自行购买</x:v>
      </x:c>
      <x:c r="W99" s="391" t="str">
        <x:v>A_DIRECT_OR_EXPLICIT_SCOPE</x:v>
      </x:c>
      <x:c r="X99" s="391" t="str">
        <x:v>附件另购价格未发布；禁止并入整车基础BOM</x:v>
      </x:c>
      <x:c r="Y99" s="391" t="str">
        <x:v>2026-08-04</x:v>
      </x:c>
    </x:row>
    <x:row r="100" ht="50" customHeight="1">
      <x:c r="A100" s="19" t="str">
        <x:v>B31C-D095</x:v>
      </x:c>
      <x:c r="B100" s="19" t="str">
        <x:v>B31-F095</x:v>
      </x:c>
      <x:c r="C100" s="19" t="str">
        <x:v>PC-N90-MAX-CAND</x:v>
      </x:c>
      <x:c r="D100" s="19" t="str">
        <x:v>side_tent</x:v>
      </x:c>
      <x:c r="E100" s="19" t="str">
        <x:v>ACCESSORY</x:v>
      </x:c>
      <x:c r="F100" s="19" t="str">
        <x:v>SEPARATE_PURCHASE</x:v>
      </x:c>
      <x:c r="G100" s="19" t="str">
        <x:v>DIRECT_CLAIM</x:v>
      </x:c>
      <x:c r="H100" s="19" t="str">
        <x:v>ACCESSORY</x:v>
      </x:c>
      <x:c r="I100" s="19" t="str">
        <x:v>ACCESSORY_POOL</x:v>
      </x:c>
      <x:c r="J100" s="19" t="n">
        <x:f>IF(I100="RELEASE_STANDARD_LOCKED",1,0)</x:f>
        <x:v>0</x:v>
      </x:c>
      <x:c r="K100" s="19" t="n">
        <x:f>IF(OR(I100="RELEASE_STANDARD_LOCKED",I100="ENGINEERING_BASE_PROVISIONAL",I100="ENGINEERING_BASE_CHAPTER_SCOPE_CANDIDATE",I100="ENGINEERING_BASE_CAPABILITY"),1,0)</x:f>
        <x:v>0</x:v>
      </x:c>
      <x:c r="L100" s="19" t="n">
        <x:f>IF(AND(J100=1,H100="HARDWARE_ROOT"),1,0)</x:f>
        <x:v>0</x:v>
      </x:c>
      <x:c r="M100" s="19" t="n">
        <x:f>IF(AND(K100=1,H100="HARDWARE_ROOT"),1,0)</x:f>
        <x:v>0</x:v>
      </x:c>
      <x:c r="N100" s="19" t="n">
        <x:f>IF(COUNTIFS('62_App售价桥闸门'!$A$6:$A$9,C100,'62_App售价桥闸门'!$K$6:$K$9,1)&gt;0,1,0)</x:f>
        <x:v>0</x:v>
      </x:c>
      <x:c r="O100" s="19" t="n">
        <x:f>IF(COUNTIFS('62_App售价桥闸门'!$A$6:$A$9,C100,'62_App售价桥闸门'!$M$6:$M$9,1)&gt;0,1,0)</x:f>
        <x:v>0</x:v>
      </x:c>
      <x:c r="P100" s="19" t="str">
        <x:v>ACC_SIDE_TENT</x:v>
      </x:c>
      <x:c r="Q100" s="19" t="str">
        <x:v>车边帐附件</x:v>
      </x:c>
      <x:c r="R100" s="19" t="str">
        <x:f>IF(M100=1,C100&amp;"|"&amp;P100,"")</x:f>
      </x:c>
      <x:c r="S100" s="19" t="str">
        <x:v>B31-C115</x:v>
      </x:c>
      <x:c r="T100" s="19" t="str">
        <x:v>B31_SRC_N90_WEB</x:v>
      </x:c>
      <x:c r="U100" s="19" t="str">
        <x:v>车边帐需单独购买</x:v>
      </x:c>
      <x:c r="V100" s="19" t="str">
        <x:v>需单独/自行购买</x:v>
      </x:c>
      <x:c r="W100" s="19" t="str">
        <x:v>A_DIRECT_OR_EXPLICIT_SCOPE</x:v>
      </x:c>
      <x:c r="X100" s="19" t="str">
        <x:v>附件另购价格未发布；禁止并入整车基础BOM</x:v>
      </x:c>
      <x:c r="Y100" s="19" t="str">
        <x:v>2026-08-04</x:v>
      </x:c>
    </x:row>
    <x:row r="101" ht="50" customHeight="1">
      <x:c r="A101" s="391" t="str">
        <x:v>B31C-D096</x:v>
      </x:c>
      <x:c r="B101" s="391" t="str">
        <x:v>B31-F096</x:v>
      </x:c>
      <x:c r="C101" s="391" t="str">
        <x:v>PC-N90-MAX-CAND</x:v>
      </x:c>
      <x:c r="D101" s="391" t="str">
        <x:v>passenger_seat_pad</x:v>
      </x:c>
      <x:c r="E101" s="391" t="str">
        <x:v>ACCESSORY</x:v>
      </x:c>
      <x:c r="F101" s="391" t="str">
        <x:v>SEPARATE_PURCHASE</x:v>
      </x:c>
      <x:c r="G101" s="391" t="str">
        <x:v>DIRECT_CLAIM</x:v>
      </x:c>
      <x:c r="H101" s="391" t="str">
        <x:v>ACCESSORY</x:v>
      </x:c>
      <x:c r="I101" s="391" t="str">
        <x:v>ACCESSORY_POOL</x:v>
      </x:c>
      <x:c r="J101" s="391" t="n">
        <x:f>IF(I101="RELEASE_STANDARD_LOCKED",1,0)</x:f>
        <x:v>0</x:v>
      </x:c>
      <x:c r="K101" s="391" t="n">
        <x:f>IF(OR(I101="RELEASE_STANDARD_LOCKED",I101="ENGINEERING_BASE_PROVISIONAL",I101="ENGINEERING_BASE_CHAPTER_SCOPE_CANDIDATE",I101="ENGINEERING_BASE_CAPABILITY"),1,0)</x:f>
        <x:v>0</x:v>
      </x:c>
      <x:c r="L101" s="391" t="n">
        <x:f>IF(AND(J101=1,H101="HARDWARE_ROOT"),1,0)</x:f>
        <x:v>0</x:v>
      </x:c>
      <x:c r="M101" s="391" t="n">
        <x:f>IF(AND(K101=1,H101="HARDWARE_ROOT"),1,0)</x:f>
        <x:v>0</x:v>
      </x:c>
      <x:c r="N101" s="391" t="n">
        <x:f>IF(COUNTIFS('62_App售价桥闸门'!$A$6:$A$9,C101,'62_App售价桥闸门'!$K$6:$K$9,1)&gt;0,1,0)</x:f>
        <x:v>0</x:v>
      </x:c>
      <x:c r="O101" s="391" t="n">
        <x:f>IF(COUNTIFS('62_App售价桥闸门'!$A$6:$A$9,C101,'62_App售价桥闸门'!$M$6:$M$9,1)&gt;0,1,0)</x:f>
        <x:v>0</x:v>
      </x:c>
      <x:c r="P101" s="391" t="str">
        <x:v>ACC_PASSENGER_PAD</x:v>
      </x:c>
      <x:c r="Q101" s="391" t="str">
        <x:v>副驾靠背扩展Pad附件</x:v>
      </x:c>
      <x:c r="R101" s="391" t="str">
        <x:f>IF(M101=1,C101&amp;"|"&amp;P101,"")</x:f>
      </x:c>
      <x:c r="S101" s="391" t="str">
        <x:v>B31-C116</x:v>
      </x:c>
      <x:c r="T101" s="391" t="str">
        <x:v>B31_SRC_N90_WEB</x:v>
      </x:c>
      <x:c r="U101" s="391" t="str">
        <x:v>副驾靠背扩展Pad需自行购买</x:v>
      </x:c>
      <x:c r="V101" s="391" t="str">
        <x:v>需单独/自行购买</x:v>
      </x:c>
      <x:c r="W101" s="391" t="str">
        <x:v>A_DIRECT_OR_EXPLICIT_SCOPE</x:v>
      </x:c>
      <x:c r="X101" s="391" t="str">
        <x:v>附件另购价格未发布；禁止并入整车基础BOM</x:v>
      </x:c>
      <x:c r="Y101" s="391" t="str">
        <x:v>2026-08-04</x:v>
      </x:c>
    </x:row>
    <x:row r="102" ht="50" customHeight="1">
      <x:c r="A102" s="19" t="str">
        <x:v>B31C-D097</x:v>
      </x:c>
      <x:c r="B102" s="19" t="str">
        <x:v>B31-F097</x:v>
      </x:c>
      <x:c r="C102" s="19" t="str">
        <x:v>PC-N70-MAX-CAND</x:v>
      </x:c>
      <x:c r="D102" s="19" t="str">
        <x:v>zero_to_100</x:v>
      </x:c>
      <x:c r="E102" s="19" t="str">
        <x:v>POWERTRAIN</x:v>
      </x:c>
      <x:c r="F102" s="19" t="str">
        <x:v>NOT_DISCLOSED</x:v>
      </x:c>
      <x:c r="G102" s="19" t="str">
        <x:v>DIRECT_CLAIM</x:v>
      </x:c>
      <x:c r="H102" s="19" t="str">
        <x:v>SPEC_METRIC</x:v>
      </x:c>
      <x:c r="I102" s="19" t="str">
        <x:v>HOLD_NOT_DISCLOSED</x:v>
      </x:c>
      <x:c r="J102" s="19" t="n">
        <x:f>IF(I102="RELEASE_STANDARD_LOCKED",1,0)</x:f>
        <x:v>0</x:v>
      </x:c>
      <x:c r="K102" s="19" t="n">
        <x:f>IF(OR(I102="RELEASE_STANDARD_LOCKED",I102="ENGINEERING_BASE_PROVISIONAL",I102="ENGINEERING_BASE_CHAPTER_SCOPE_CANDIDATE",I102="ENGINEERING_BASE_CAPABILITY"),1,0)</x:f>
        <x:v>0</x:v>
      </x:c>
      <x:c r="L102" s="19" t="n">
        <x:f>IF(AND(J102=1,H102="HARDWARE_ROOT"),1,0)</x:f>
        <x:v>0</x:v>
      </x:c>
      <x:c r="M102" s="19" t="n">
        <x:f>IF(AND(K102=1,H102="HARDWARE_ROOT"),1,0)</x:f>
        <x:v>0</x:v>
      </x:c>
      <x:c r="N102" s="19" t="n">
        <x:f>IF(COUNTIFS('62_App售价桥闸门'!$A$6:$A$9,C102,'62_App售价桥闸门'!$K$6:$K$9,1)&gt;0,1,0)</x:f>
        <x:v>0</x:v>
      </x:c>
      <x:c r="O102" s="19" t="n">
        <x:f>IF(COUNTIFS('62_App售价桥闸门'!$A$6:$A$9,C102,'62_App售价桥闸门'!$M$6:$M$9,1)&gt;0,1,0)</x:f>
        <x:v>0</x:v>
      </x:c>
      <x:c r="P102" s="19" t="str">
        <x:v>BOM_E_DRIVE</x:v>
      </x:c>
      <x:c r="Q102" s="19" t="str">
        <x:v>双电机四驱电驱总成</x:v>
      </x:c>
      <x:c r="R102" s="19" t="str">
        <x:f>IF(M102=1,C102&amp;"|"&amp;P102,"")</x:f>
      </x:c>
      <x:c r="S102" s="19" t="str">
        <x:v>B31-C117</x:v>
      </x:c>
      <x:c r="T102" s="19" t="str">
        <x:v>B31_SRC_N70_POWER</x:v>
      </x:c>
      <x:c r="U102" s="19" t="str">
        <x:v>官方N70 Max单车公开材料未披露</x:v>
      </x:c>
      <x:c r="V102" s="19" t="str">
        <x:v>未披露</x:v>
      </x:c>
      <x:c r="W102" s="19" t="str">
        <x:v>C_HOLD_PENDING_E1X</x:v>
      </x:c>
      <x:c r="X102" s="19" t="str">
        <x:v>N70 Max单车公开材料未披露；不等于没有该配置</x:v>
      </x:c>
      <x:c r="Y102" s="19" t="str">
        <x:v>2026-08-04</x:v>
      </x:c>
    </x:row>
    <x:row r="103" ht="50" customHeight="1">
      <x:c r="A103" s="391" t="str">
        <x:v>B31C-D098</x:v>
      </x:c>
      <x:c r="B103" s="391" t="str">
        <x:v>B31-F098</x:v>
      </x:c>
      <x:c r="C103" s="391" t="str">
        <x:v>PC-N70-MAX-CAND</x:v>
      </x:c>
      <x:c r="D103" s="391" t="str">
        <x:v>peak_torque</x:v>
      </x:c>
      <x:c r="E103" s="391" t="str">
        <x:v>POWERTRAIN</x:v>
      </x:c>
      <x:c r="F103" s="391" t="str">
        <x:v>NOT_DISCLOSED</x:v>
      </x:c>
      <x:c r="G103" s="391" t="str">
        <x:v>DIRECT_CLAIM</x:v>
      </x:c>
      <x:c r="H103" s="391" t="str">
        <x:v>SPEC_METRIC</x:v>
      </x:c>
      <x:c r="I103" s="391" t="str">
        <x:v>HOLD_NOT_DISCLOSED</x:v>
      </x:c>
      <x:c r="J103" s="391" t="n">
        <x:f>IF(I103="RELEASE_STANDARD_LOCKED",1,0)</x:f>
        <x:v>0</x:v>
      </x:c>
      <x:c r="K103" s="391" t="n">
        <x:f>IF(OR(I103="RELEASE_STANDARD_LOCKED",I103="ENGINEERING_BASE_PROVISIONAL",I103="ENGINEERING_BASE_CHAPTER_SCOPE_CANDIDATE",I103="ENGINEERING_BASE_CAPABILITY"),1,0)</x:f>
        <x:v>0</x:v>
      </x:c>
      <x:c r="L103" s="391" t="n">
        <x:f>IF(AND(J103=1,H103="HARDWARE_ROOT"),1,0)</x:f>
        <x:v>0</x:v>
      </x:c>
      <x:c r="M103" s="391" t="n">
        <x:f>IF(AND(K103=1,H103="HARDWARE_ROOT"),1,0)</x:f>
        <x:v>0</x:v>
      </x:c>
      <x:c r="N103" s="391" t="n">
        <x:f>IF(COUNTIFS('62_App售价桥闸门'!$A$6:$A$9,C103,'62_App售价桥闸门'!$K$6:$K$9,1)&gt;0,1,0)</x:f>
        <x:v>0</x:v>
      </x:c>
      <x:c r="O103" s="391" t="n">
        <x:f>IF(COUNTIFS('62_App售价桥闸门'!$A$6:$A$9,C103,'62_App售价桥闸门'!$M$6:$M$9,1)&gt;0,1,0)</x:f>
        <x:v>0</x:v>
      </x:c>
      <x:c r="P103" s="391" t="str">
        <x:v>BOM_E_DRIVE</x:v>
      </x:c>
      <x:c r="Q103" s="391" t="str">
        <x:v>双电机四驱电驱总成</x:v>
      </x:c>
      <x:c r="R103" s="391" t="str">
        <x:f>IF(M103=1,C103&amp;"|"&amp;P103,"")</x:f>
      </x:c>
      <x:c r="S103" s="391" t="str">
        <x:v>B31-C118</x:v>
      </x:c>
      <x:c r="T103" s="391" t="str">
        <x:v>B31_SRC_N70_POWER</x:v>
      </x:c>
      <x:c r="U103" s="391" t="str">
        <x:v>官方N70 Max单车公开材料未披露</x:v>
      </x:c>
      <x:c r="V103" s="391" t="str">
        <x:v>未披露</x:v>
      </x:c>
      <x:c r="W103" s="391" t="str">
        <x:v>C_HOLD_PENDING_E1X</x:v>
      </x:c>
      <x:c r="X103" s="391" t="str">
        <x:v>N70 Max单车公开材料未披露；不等于没有该配置</x:v>
      </x:c>
      <x:c r="Y103" s="391" t="str">
        <x:v>2026-08-04</x:v>
      </x:c>
    </x:row>
    <x:row r="104" ht="50" customHeight="1">
      <x:c r="A104" s="19" t="str">
        <x:v>B31C-D099</x:v>
      </x:c>
      <x:c r="B104" s="19" t="str">
        <x:v>B31-F099</x:v>
      </x:c>
      <x:c r="C104" s="19" t="str">
        <x:v>PC-N70-MAX-CAND</x:v>
      </x:c>
      <x:c r="D104" s="19" t="str">
        <x:v>battery_capacity</x:v>
      </x:c>
      <x:c r="E104" s="19" t="str">
        <x:v>ENERGY</x:v>
      </x:c>
      <x:c r="F104" s="19" t="str">
        <x:v>NOT_DISCLOSED</x:v>
      </x:c>
      <x:c r="G104" s="19" t="str">
        <x:v>DIRECT_CLAIM</x:v>
      </x:c>
      <x:c r="H104" s="19" t="str">
        <x:v>HARDWARE_ROOT</x:v>
      </x:c>
      <x:c r="I104" s="19" t="str">
        <x:v>HOLD_NOT_DISCLOSED</x:v>
      </x:c>
      <x:c r="J104" s="19" t="n">
        <x:f>IF(I104="RELEASE_STANDARD_LOCKED",1,0)</x:f>
        <x:v>0</x:v>
      </x:c>
      <x:c r="K104" s="19" t="n">
        <x:f>IF(OR(I104="RELEASE_STANDARD_LOCKED",I104="ENGINEERING_BASE_PROVISIONAL",I104="ENGINEERING_BASE_CHAPTER_SCOPE_CANDIDATE",I104="ENGINEERING_BASE_CAPABILITY"),1,0)</x:f>
        <x:v>0</x:v>
      </x:c>
      <x:c r="L104" s="19" t="n">
        <x:f>IF(AND(J104=1,H104="HARDWARE_ROOT"),1,0)</x:f>
        <x:v>0</x:v>
      </x:c>
      <x:c r="M104" s="19" t="n">
        <x:f>IF(AND(K104=1,H104="HARDWARE_ROOT"),1,0)</x:f>
        <x:v>0</x:v>
      </x:c>
      <x:c r="N104" s="19" t="n">
        <x:f>IF(COUNTIFS('62_App售价桥闸门'!$A$6:$A$9,C104,'62_App售价桥闸门'!$K$6:$K$9,1)&gt;0,1,0)</x:f>
        <x:v>0</x:v>
      </x:c>
      <x:c r="O104" s="19" t="n">
        <x:f>IF(COUNTIFS('62_App售价桥闸门'!$A$6:$A$9,C104,'62_App售价桥闸门'!$M$6:$M$9,1)&gt;0,1,0)</x:f>
        <x:v>0</x:v>
      </x:c>
      <x:c r="P104" s="19" t="str">
        <x:v>BOM_BATTERY_PACK</x:v>
      </x:c>
      <x:c r="Q104" s="19" t="str">
        <x:v>动力电池包与高压系统</x:v>
      </x:c>
      <x:c r="R104" s="19" t="str">
        <x:f>IF(M104=1,C104&amp;"|"&amp;P104,"")</x:f>
      </x:c>
      <x:c r="S104" s="19" t="str">
        <x:v>B31-C119</x:v>
      </x:c>
      <x:c r="T104" s="19" t="str">
        <x:v>B31_SRC_N70_POWER</x:v>
      </x:c>
      <x:c r="U104" s="19" t="str">
        <x:v>官方N70 Max单车公开材料未披露</x:v>
      </x:c>
      <x:c r="V104" s="19" t="str">
        <x:v>未披露</x:v>
      </x:c>
      <x:c r="W104" s="19" t="str">
        <x:v>C_HOLD_PENDING_E1X</x:v>
      </x:c>
      <x:c r="X104" s="19" t="str">
        <x:v>76kWh只有系列最大值与监管转录，未直接绑定N70 Max商品配置</x:v>
      </x:c>
      <x:c r="Y104" s="19" t="str">
        <x:v>2026-08-04</x:v>
      </x:c>
    </x:row>
    <x:row r="105" ht="50" customHeight="1">
      <x:c r="A105" s="391" t="str">
        <x:v>B31C-D100</x:v>
      </x:c>
      <x:c r="B105" s="391" t="str">
        <x:v>B31-F100</x:v>
      </x:c>
      <x:c r="C105" s="391" t="str">
        <x:v>PC-N70-MAX-CAND</x:v>
      </x:c>
      <x:c r="D105" s="391" t="str">
        <x:v>fast_charge_rate</x:v>
      </x:c>
      <x:c r="E105" s="391" t="str">
        <x:v>ENERGY</x:v>
      </x:c>
      <x:c r="F105" s="391" t="str">
        <x:v>NOT_DISCLOSED</x:v>
      </x:c>
      <x:c r="G105" s="391" t="str">
        <x:v>DIRECT_CLAIM</x:v>
      </x:c>
      <x:c r="H105" s="391" t="str">
        <x:v>SPEC_METRIC</x:v>
      </x:c>
      <x:c r="I105" s="391" t="str">
        <x:v>HOLD_NOT_DISCLOSED</x:v>
      </x:c>
      <x:c r="J105" s="391" t="n">
        <x:f>IF(I105="RELEASE_STANDARD_LOCKED",1,0)</x:f>
        <x:v>0</x:v>
      </x:c>
      <x:c r="K105" s="391" t="n">
        <x:f>IF(OR(I105="RELEASE_STANDARD_LOCKED",I105="ENGINEERING_BASE_PROVISIONAL",I105="ENGINEERING_BASE_CHAPTER_SCOPE_CANDIDATE",I105="ENGINEERING_BASE_CAPABILITY"),1,0)</x:f>
        <x:v>0</x:v>
      </x:c>
      <x:c r="L105" s="391" t="n">
        <x:f>IF(AND(J105=1,H105="HARDWARE_ROOT"),1,0)</x:f>
        <x:v>0</x:v>
      </x:c>
      <x:c r="M105" s="391" t="n">
        <x:f>IF(AND(K105=1,H105="HARDWARE_ROOT"),1,0)</x:f>
        <x:v>0</x:v>
      </x:c>
      <x:c r="N105" s="391" t="n">
        <x:f>IF(COUNTIFS('62_App售价桥闸门'!$A$6:$A$9,C105,'62_App售价桥闸门'!$K$6:$K$9,1)&gt;0,1,0)</x:f>
        <x:v>0</x:v>
      </x:c>
      <x:c r="O105" s="391" t="n">
        <x:f>IF(COUNTIFS('62_App售价桥闸门'!$A$6:$A$9,C105,'62_App售价桥闸门'!$M$6:$M$9,1)&gt;0,1,0)</x:f>
        <x:v>0</x:v>
      </x:c>
      <x:c r="P105" s="391" t="str">
        <x:v>BOM_BATTERY_PACK</x:v>
      </x:c>
      <x:c r="Q105" s="391" t="str">
        <x:v>动力电池包与高压系统</x:v>
      </x:c>
      <x:c r="R105" s="391" t="str">
        <x:f>IF(M105=1,C105&amp;"|"&amp;P105,"")</x:f>
      </x:c>
      <x:c r="S105" s="391" t="str">
        <x:v>B31-C120</x:v>
      </x:c>
      <x:c r="T105" s="391" t="str">
        <x:v>B31_SRC_N70_POWER</x:v>
      </x:c>
      <x:c r="U105" s="391" t="str">
        <x:v>官方N70 Max单车公开材料未披露</x:v>
      </x:c>
      <x:c r="V105" s="391" t="str">
        <x:v>未披露</x:v>
      </x:c>
      <x:c r="W105" s="391" t="str">
        <x:v>C_HOLD_PENDING_E1X</x:v>
      </x:c>
      <x:c r="X105" s="391" t="str">
        <x:v>N70 Max单车公开材料未披露；不等于没有该配置</x:v>
      </x:c>
      <x:c r="Y105" s="391" t="str">
        <x:v>2026-08-04</x:v>
      </x:c>
    </x:row>
    <x:row r="106" ht="50" customHeight="1">
      <x:c r="A106" s="19" t="str">
        <x:v>B31C-D101</x:v>
      </x:c>
      <x:c r="B106" s="19" t="str">
        <x:v>B31-F101</x:v>
      </x:c>
      <x:c r="C106" s="19" t="str">
        <x:v>PC-N70-MAX-CAND</x:v>
      </x:c>
      <x:c r="D106" s="19" t="str">
        <x:v>suspension_layout</x:v>
      </x:c>
      <x:c r="E106" s="19" t="str">
        <x:v>CHASSIS</x:v>
      </x:c>
      <x:c r="F106" s="19" t="str">
        <x:v>NOT_DISCLOSED</x:v>
      </x:c>
      <x:c r="G106" s="19" t="str">
        <x:v>DIRECT_CLAIM</x:v>
      </x:c>
      <x:c r="H106" s="19" t="str">
        <x:v>HARDWARE_ROOT</x:v>
      </x:c>
      <x:c r="I106" s="19" t="str">
        <x:v>HOLD_NOT_DISCLOSED</x:v>
      </x:c>
      <x:c r="J106" s="19" t="n">
        <x:f>IF(I106="RELEASE_STANDARD_LOCKED",1,0)</x:f>
        <x:v>0</x:v>
      </x:c>
      <x:c r="K106" s="19" t="n">
        <x:f>IF(OR(I106="RELEASE_STANDARD_LOCKED",I106="ENGINEERING_BASE_PROVISIONAL",I106="ENGINEERING_BASE_CHAPTER_SCOPE_CANDIDATE",I106="ENGINEERING_BASE_CAPABILITY"),1,0)</x:f>
        <x:v>0</x:v>
      </x:c>
      <x:c r="L106" s="19" t="n">
        <x:f>IF(AND(J106=1,H106="HARDWARE_ROOT"),1,0)</x:f>
        <x:v>0</x:v>
      </x:c>
      <x:c r="M106" s="19" t="n">
        <x:f>IF(AND(K106=1,H106="HARDWARE_ROOT"),1,0)</x:f>
        <x:v>0</x:v>
      </x:c>
      <x:c r="N106" s="19" t="n">
        <x:f>IF(COUNTIFS('62_App售价桥闸门'!$A$6:$A$9,C106,'62_App售价桥闸门'!$K$6:$K$9,1)&gt;0,1,0)</x:f>
        <x:v>0</x:v>
      </x:c>
      <x:c r="O106" s="19" t="n">
        <x:f>IF(COUNTIFS('62_App售价桥闸门'!$A$6:$A$9,C106,'62_App售价桥闸门'!$M$6:$M$9,1)&gt;0,1,0)</x:f>
        <x:v>0</x:v>
      </x:c>
      <x:c r="P106" s="19" t="str">
        <x:v>BOM_CHASSIS_ARCH</x:v>
      </x:c>
      <x:c r="Q106" s="19" t="str">
        <x:v>基础悬架结构</x:v>
      </x:c>
      <x:c r="R106" s="19" t="str">
        <x:f>IF(M106=1,C106&amp;"|"&amp;P106,"")</x:f>
      </x:c>
      <x:c r="S106" s="19" t="str">
        <x:v>B31-C121</x:v>
      </x:c>
      <x:c r="T106" s="19" t="str">
        <x:v>B31_SRC_N70_POWER</x:v>
      </x:c>
      <x:c r="U106" s="19" t="str">
        <x:v>官方N70 Max单车公开材料未披露</x:v>
      </x:c>
      <x:c r="V106" s="19" t="str">
        <x:v>未披露</x:v>
      </x:c>
      <x:c r="W106" s="19" t="str">
        <x:v>C_HOLD_PENDING_E1X</x:v>
      </x:c>
      <x:c r="X106" s="19" t="str">
        <x:v>N70 Max单车公开材料未披露；不等于没有该配置</x:v>
      </x:c>
      <x:c r="Y106" s="19" t="str">
        <x:v>2026-08-04</x:v>
      </x:c>
    </x:row>
    <x:row r="107" ht="50" customHeight="1">
      <x:c r="A107" s="391" t="str">
        <x:v>B31C-D102</x:v>
      </x:c>
      <x:c r="B107" s="391" t="str">
        <x:v>B31-F102</x:v>
      </x:c>
      <x:c r="C107" s="391" t="str">
        <x:v>PC-N70-MAX-CAND</x:v>
      </x:c>
      <x:c r="D107" s="391" t="str">
        <x:v>tire_spec</x:v>
      </x:c>
      <x:c r="E107" s="391" t="str">
        <x:v>CHASSIS</x:v>
      </x:c>
      <x:c r="F107" s="391" t="str">
        <x:v>NOT_DISCLOSED</x:v>
      </x:c>
      <x:c r="G107" s="391" t="str">
        <x:v>DIRECT_CLAIM</x:v>
      </x:c>
      <x:c r="H107" s="391" t="str">
        <x:v>HARDWARE_ROOT</x:v>
      </x:c>
      <x:c r="I107" s="391" t="str">
        <x:v>HOLD_NOT_DISCLOSED</x:v>
      </x:c>
      <x:c r="J107" s="391" t="n">
        <x:f>IF(I107="RELEASE_STANDARD_LOCKED",1,0)</x:f>
        <x:v>0</x:v>
      </x:c>
      <x:c r="K107" s="391" t="n">
        <x:f>IF(OR(I107="RELEASE_STANDARD_LOCKED",I107="ENGINEERING_BASE_PROVISIONAL",I107="ENGINEERING_BASE_CHAPTER_SCOPE_CANDIDATE",I107="ENGINEERING_BASE_CAPABILITY"),1,0)</x:f>
        <x:v>0</x:v>
      </x:c>
      <x:c r="L107" s="391" t="n">
        <x:f>IF(AND(J107=1,H107="HARDWARE_ROOT"),1,0)</x:f>
        <x:v>0</x:v>
      </x:c>
      <x:c r="M107" s="391" t="n">
        <x:f>IF(AND(K107=1,H107="HARDWARE_ROOT"),1,0)</x:f>
        <x:v>0</x:v>
      </x:c>
      <x:c r="N107" s="391" t="n">
        <x:f>IF(COUNTIFS('62_App售价桥闸门'!$A$6:$A$9,C107,'62_App售价桥闸门'!$K$6:$K$9,1)&gt;0,1,0)</x:f>
        <x:v>0</x:v>
      </x:c>
      <x:c r="O107" s="391" t="n">
        <x:f>IF(COUNTIFS('62_App售价桥闸门'!$A$6:$A$9,C107,'62_App售价桥闸门'!$M$6:$M$9,1)&gt;0,1,0)</x:f>
        <x:v>0</x:v>
      </x:c>
      <x:c r="P107" s="391" t="str">
        <x:v>BOM_TIRE_WHEEL_BASE</x:v>
      </x:c>
      <x:c r="Q107" s="391" t="str">
        <x:v>基础轮胎与行驶系统</x:v>
      </x:c>
      <x:c r="R107" s="391" t="str">
        <x:f>IF(M107=1,C107&amp;"|"&amp;P107,"")</x:f>
      </x:c>
      <x:c r="S107" s="391" t="str">
        <x:v>B31-C122</x:v>
      </x:c>
      <x:c r="T107" s="391" t="str">
        <x:v>B31_SRC_N70_POWER</x:v>
      </x:c>
      <x:c r="U107" s="391" t="str">
        <x:v>官方N70 Max单车公开材料未披露</x:v>
      </x:c>
      <x:c r="V107" s="391" t="str">
        <x:v>未披露</x:v>
      </x:c>
      <x:c r="W107" s="391" t="str">
        <x:v>C_HOLD_PENDING_E1X</x:v>
      </x:c>
      <x:c r="X107" s="391" t="str">
        <x:v>N70 Max单车公开材料未披露；不等于没有该配置</x:v>
      </x:c>
      <x:c r="Y107" s="391" t="str">
        <x:v>2026-08-04</x:v>
      </x:c>
    </x:row>
    <x:row r="108" ht="50" customHeight="1">
      <x:c r="A108" s="19" t="str">
        <x:v>B31C-D103</x:v>
      </x:c>
      <x:c r="B108" s="19" t="str">
        <x:v>B31-F103</x:v>
      </x:c>
      <x:c r="C108" s="19" t="str">
        <x:v>PC-N70-MAX-CAND</x:v>
      </x:c>
      <x:c r="D108" s="19" t="str">
        <x:v>brake_hardware</x:v>
      </x:c>
      <x:c r="E108" s="19" t="str">
        <x:v>CHASSIS</x:v>
      </x:c>
      <x:c r="F108" s="19" t="str">
        <x:v>NOT_DISCLOSED</x:v>
      </x:c>
      <x:c r="G108" s="19" t="str">
        <x:v>DIRECT_CLAIM</x:v>
      </x:c>
      <x:c r="H108" s="19" t="str">
        <x:v>HARDWARE_ROOT</x:v>
      </x:c>
      <x:c r="I108" s="19" t="str">
        <x:v>HOLD_NOT_DISCLOSED</x:v>
      </x:c>
      <x:c r="J108" s="19" t="n">
        <x:f>IF(I108="RELEASE_STANDARD_LOCKED",1,0)</x:f>
        <x:v>0</x:v>
      </x:c>
      <x:c r="K108" s="19" t="n">
        <x:f>IF(OR(I108="RELEASE_STANDARD_LOCKED",I108="ENGINEERING_BASE_PROVISIONAL",I108="ENGINEERING_BASE_CHAPTER_SCOPE_CANDIDATE",I108="ENGINEERING_BASE_CAPABILITY"),1,0)</x:f>
        <x:v>0</x:v>
      </x:c>
      <x:c r="L108" s="19" t="n">
        <x:f>IF(AND(J108=1,H108="HARDWARE_ROOT"),1,0)</x:f>
        <x:v>0</x:v>
      </x:c>
      <x:c r="M108" s="19" t="n">
        <x:f>IF(AND(K108=1,H108="HARDWARE_ROOT"),1,0)</x:f>
        <x:v>0</x:v>
      </x:c>
      <x:c r="N108" s="19" t="n">
        <x:f>IF(COUNTIFS('62_App售价桥闸门'!$A$6:$A$9,C108,'62_App售价桥闸门'!$K$6:$K$9,1)&gt;0,1,0)</x:f>
        <x:v>0</x:v>
      </x:c>
      <x:c r="O108" s="19" t="n">
        <x:f>IF(COUNTIFS('62_App售价桥闸门'!$A$6:$A$9,C108,'62_App售价桥闸门'!$M$6:$M$9,1)&gt;0,1,0)</x:f>
        <x:v>0</x:v>
      </x:c>
      <x:c r="P108" s="19" t="str">
        <x:v>BOM_BRAKING</x:v>
      </x:c>
      <x:c r="Q108" s="19" t="str">
        <x:v>制动系统</x:v>
      </x:c>
      <x:c r="R108" s="19" t="str">
        <x:f>IF(M108=1,C108&amp;"|"&amp;P108,"")</x:f>
      </x:c>
      <x:c r="S108" s="19" t="str">
        <x:v>B31-C123</x:v>
      </x:c>
      <x:c r="T108" s="19" t="str">
        <x:v>B31_SRC_N70_POWER</x:v>
      </x:c>
      <x:c r="U108" s="19" t="str">
        <x:v>官方N70 Max单车公开材料未披露</x:v>
      </x:c>
      <x:c r="V108" s="19" t="str">
        <x:v>未披露</x:v>
      </x:c>
      <x:c r="W108" s="19" t="str">
        <x:v>C_HOLD_PENDING_E1X</x:v>
      </x:c>
      <x:c r="X108" s="19" t="str">
        <x:v>N70 Max单车公开材料未披露；不等于没有该配置</x:v>
      </x:c>
      <x:c r="Y108" s="19" t="str">
        <x:v>2026-08-04</x:v>
      </x:c>
    </x:row>
    <x:row r="109" ht="50" customHeight="1">
      <x:c r="A109" s="391" t="str">
        <x:v>B31C-D104</x:v>
      </x:c>
      <x:c r="B109" s="391" t="str">
        <x:v>B31-F104</x:v>
      </x:c>
      <x:c r="C109" s="391" t="str">
        <x:v>PC-N70-MAX-CAND</x:v>
      </x:c>
      <x:c r="D109" s="391" t="str">
        <x:v>trunk_standard</x:v>
      </x:c>
      <x:c r="E109" s="391" t="str">
        <x:v>BODY_SPACE</x:v>
      </x:c>
      <x:c r="F109" s="391" t="str">
        <x:v>NOT_DISCLOSED</x:v>
      </x:c>
      <x:c r="G109" s="391" t="str">
        <x:v>DIRECT_CLAIM</x:v>
      </x:c>
      <x:c r="H109" s="391" t="str">
        <x:v>SPEC_METRIC</x:v>
      </x:c>
      <x:c r="I109" s="391" t="str">
        <x:v>HOLD_NOT_DISCLOSED</x:v>
      </x:c>
      <x:c r="J109" s="391" t="n">
        <x:f>IF(I109="RELEASE_STANDARD_LOCKED",1,0)</x:f>
        <x:v>0</x:v>
      </x:c>
      <x:c r="K109" s="391" t="n">
        <x:f>IF(OR(I109="RELEASE_STANDARD_LOCKED",I109="ENGINEERING_BASE_PROVISIONAL",I109="ENGINEERING_BASE_CHAPTER_SCOPE_CANDIDATE",I109="ENGINEERING_BASE_CAPABILITY"),1,0)</x:f>
        <x:v>0</x:v>
      </x:c>
      <x:c r="L109" s="391" t="n">
        <x:f>IF(AND(J109=1,H109="HARDWARE_ROOT"),1,0)</x:f>
        <x:v>0</x:v>
      </x:c>
      <x:c r="M109" s="391" t="n">
        <x:f>IF(AND(K109=1,H109="HARDWARE_ROOT"),1,0)</x:f>
        <x:v>0</x:v>
      </x:c>
      <x:c r="N109" s="391" t="n">
        <x:f>IF(COUNTIFS('62_App售价桥闸门'!$A$6:$A$9,C109,'62_App售价桥闸门'!$K$6:$K$9,1)&gt;0,1,0)</x:f>
        <x:v>0</x:v>
      </x:c>
      <x:c r="O109" s="391" t="n">
        <x:f>IF(COUNTIFS('62_App售价桥闸门'!$A$6:$A$9,C109,'62_App售价桥闸门'!$M$6:$M$9,1)&gt;0,1,0)</x:f>
        <x:v>0</x:v>
      </x:c>
      <x:c r="P109" s="391" t="str">
        <x:v>BOM_BODY_SPACE_GEOMETRY</x:v>
      </x:c>
      <x:c r="Q109" s="391" t="str">
        <x:v>车身空间与地板滑轨</x:v>
      </x:c>
      <x:c r="R109" s="391" t="str">
        <x:f>IF(M109=1,C109&amp;"|"&amp;P109,"")</x:f>
      </x:c>
      <x:c r="S109" s="391" t="str">
        <x:v>B31-C124</x:v>
      </x:c>
      <x:c r="T109" s="391" t="str">
        <x:v>B31_SRC_N70_POWER</x:v>
      </x:c>
      <x:c r="U109" s="391" t="str">
        <x:v>官方N70 Max单车公开材料未披露</x:v>
      </x:c>
      <x:c r="V109" s="391" t="str">
        <x:v>未披露</x:v>
      </x:c>
      <x:c r="W109" s="391" t="str">
        <x:v>C_HOLD_PENDING_E1X</x:v>
      </x:c>
      <x:c r="X109" s="391" t="str">
        <x:v>N70 Max单车公开材料未披露；不等于没有该配置</x:v>
      </x:c>
      <x:c r="Y109" s="391" t="str">
        <x:v>2026-08-04</x:v>
      </x:c>
    </x:row>
    <x:row r="110" ht="50" customHeight="1">
      <x:c r="A110" s="19" t="str">
        <x:v>B31C-D105</x:v>
      </x:c>
      <x:c r="B110" s="19" t="str">
        <x:v>B31-F105</x:v>
      </x:c>
      <x:c r="C110" s="19" t="str">
        <x:v>PC-N70-MAX-CAND</x:v>
      </x:c>
      <x:c r="D110" s="19" t="str">
        <x:v>row2_space_max</x:v>
      </x:c>
      <x:c r="E110" s="19" t="str">
        <x:v>BODY_SPACE</x:v>
      </x:c>
      <x:c r="F110" s="19" t="str">
        <x:v>NOT_DISCLOSED</x:v>
      </x:c>
      <x:c r="G110" s="19" t="str">
        <x:v>DIRECT_CLAIM</x:v>
      </x:c>
      <x:c r="H110" s="19" t="str">
        <x:v>SPEC_METRIC</x:v>
      </x:c>
      <x:c r="I110" s="19" t="str">
        <x:v>HOLD_NOT_DISCLOSED</x:v>
      </x:c>
      <x:c r="J110" s="19" t="n">
        <x:f>IF(I110="RELEASE_STANDARD_LOCKED",1,0)</x:f>
        <x:v>0</x:v>
      </x:c>
      <x:c r="K110" s="19" t="n">
        <x:f>IF(OR(I110="RELEASE_STANDARD_LOCKED",I110="ENGINEERING_BASE_PROVISIONAL",I110="ENGINEERING_BASE_CHAPTER_SCOPE_CANDIDATE",I110="ENGINEERING_BASE_CAPABILITY"),1,0)</x:f>
        <x:v>0</x:v>
      </x:c>
      <x:c r="L110" s="19" t="n">
        <x:f>IF(AND(J110=1,H110="HARDWARE_ROOT"),1,0)</x:f>
        <x:v>0</x:v>
      </x:c>
      <x:c r="M110" s="19" t="n">
        <x:f>IF(AND(K110=1,H110="HARDWARE_ROOT"),1,0)</x:f>
        <x:v>0</x:v>
      </x:c>
      <x:c r="N110" s="19" t="n">
        <x:f>IF(COUNTIFS('62_App售价桥闸门'!$A$6:$A$9,C110,'62_App售价桥闸门'!$K$6:$K$9,1)&gt;0,1,0)</x:f>
        <x:v>0</x:v>
      </x:c>
      <x:c r="O110" s="19" t="n">
        <x:f>IF(COUNTIFS('62_App售价桥闸门'!$A$6:$A$9,C110,'62_App售价桥闸门'!$M$6:$M$9,1)&gt;0,1,0)</x:f>
        <x:v>0</x:v>
      </x:c>
      <x:c r="P110" s="19" t="str">
        <x:v>BOM_BODY_SPACE_GEOMETRY</x:v>
      </x:c>
      <x:c r="Q110" s="19" t="str">
        <x:v>车身空间与地板滑轨</x:v>
      </x:c>
      <x:c r="R110" s="19" t="str">
        <x:f>IF(M110=1,C110&amp;"|"&amp;P110,"")</x:f>
      </x:c>
      <x:c r="S110" s="19" t="str">
        <x:v>B31-C125</x:v>
      </x:c>
      <x:c r="T110" s="19" t="str">
        <x:v>B31_SRC_N70_POWER</x:v>
      </x:c>
      <x:c r="U110" s="19" t="str">
        <x:v>官方N70 Max单车公开材料未披露</x:v>
      </x:c>
      <x:c r="V110" s="19" t="str">
        <x:v>未披露</x:v>
      </x:c>
      <x:c r="W110" s="19" t="str">
        <x:v>C_HOLD_PENDING_E1X</x:v>
      </x:c>
      <x:c r="X110" s="19" t="str">
        <x:v>N70 Max单车公开材料未披露；不等于没有该配置</x:v>
      </x:c>
      <x:c r="Y110" s="19" t="str">
        <x:v>2026-08-04</x:v>
      </x:c>
    </x:row>
    <x:row r="111" ht="50" customHeight="1">
      <x:c r="A111" s="391" t="str">
        <x:v>B31C-D106</x:v>
      </x:c>
      <x:c r="B111" s="391" t="str">
        <x:v>B31-F106</x:v>
      </x:c>
      <x:c r="C111" s="391" t="str">
        <x:v>PC-N70-MAX-CAND</x:v>
      </x:c>
      <x:c r="D111" s="391" t="str">
        <x:v>front_swivel_seats</x:v>
      </x:c>
      <x:c r="E111" s="391" t="str">
        <x:v>COMFORT</x:v>
      </x:c>
      <x:c r="F111" s="391" t="str">
        <x:v>NOT_DISCLOSED</x:v>
      </x:c>
      <x:c r="G111" s="391" t="str">
        <x:v>DIRECT_CLAIM</x:v>
      </x:c>
      <x:c r="H111" s="391" t="str">
        <x:v>HARDWARE_SUPPORT</x:v>
      </x:c>
      <x:c r="I111" s="391" t="str">
        <x:v>HOLD_NOT_DISCLOSED</x:v>
      </x:c>
      <x:c r="J111" s="391" t="n">
        <x:f>IF(I111="RELEASE_STANDARD_LOCKED",1,0)</x:f>
        <x:v>0</x:v>
      </x:c>
      <x:c r="K111" s="391" t="n">
        <x:f>IF(OR(I111="RELEASE_STANDARD_LOCKED",I111="ENGINEERING_BASE_PROVISIONAL",I111="ENGINEERING_BASE_CHAPTER_SCOPE_CANDIDATE",I111="ENGINEERING_BASE_CAPABILITY"),1,0)</x:f>
        <x:v>0</x:v>
      </x:c>
      <x:c r="L111" s="391" t="n">
        <x:f>IF(AND(J111=1,H111="HARDWARE_ROOT"),1,0)</x:f>
        <x:v>0</x:v>
      </x:c>
      <x:c r="M111" s="391" t="n">
        <x:f>IF(AND(K111=1,H111="HARDWARE_ROOT"),1,0)</x:f>
        <x:v>0</x:v>
      </x:c>
      <x:c r="N111" s="391" t="n">
        <x:f>IF(COUNTIFS('62_App售价桥闸门'!$A$6:$A$9,C111,'62_App售价桥闸门'!$K$6:$K$9,1)&gt;0,1,0)</x:f>
        <x:v>0</x:v>
      </x:c>
      <x:c r="O111" s="391" t="n">
        <x:f>IF(COUNTIFS('62_App售价桥闸门'!$A$6:$A$9,C111,'62_App售价桥闸门'!$M$6:$M$9,1)&gt;0,1,0)</x:f>
        <x:v>0</x:v>
      </x:c>
      <x:c r="P111" s="391" t="str">
        <x:v>BOM_FRONT_SWIVEL_SEAT</x:v>
      </x:c>
      <x:c r="Q111" s="391" t="str">
        <x:v>前排旋转座椅机构</x:v>
      </x:c>
      <x:c r="R111" s="391" t="str">
        <x:f>IF(M111=1,C111&amp;"|"&amp;P111,"")</x:f>
      </x:c>
      <x:c r="S111" s="391" t="str">
        <x:v>B31-C126</x:v>
      </x:c>
      <x:c r="T111" s="391" t="str">
        <x:v>B31_SRC_N70_POWER</x:v>
      </x:c>
      <x:c r="U111" s="391" t="str">
        <x:v>官方N70 Max单车公开材料未披露</x:v>
      </x:c>
      <x:c r="V111" s="391" t="str">
        <x:v>未披露</x:v>
      </x:c>
      <x:c r="W111" s="391" t="str">
        <x:v>C_HOLD_PENDING_E1X</x:v>
      </x:c>
      <x:c r="X111" s="391" t="str">
        <x:v>N70 Max单车公开材料未披露；不等于没有该配置</x:v>
      </x:c>
      <x:c r="Y111" s="391" t="str">
        <x:v>2026-08-04</x:v>
      </x:c>
    </x:row>
    <x:row r="112" ht="50" customHeight="1">
      <x:c r="A112" s="19" t="str">
        <x:v>B31C-D107</x:v>
      </x:c>
      <x:c r="B112" s="19" t="str">
        <x:v>B31-F107</x:v>
      </x:c>
      <x:c r="C112" s="19" t="str">
        <x:v>PC-N70-MAX-CAND</x:v>
      </x:c>
      <x:c r="D112" s="19" t="str">
        <x:v>zero_gravity_seats</x:v>
      </x:c>
      <x:c r="E112" s="19" t="str">
        <x:v>COMFORT</x:v>
      </x:c>
      <x:c r="F112" s="19" t="str">
        <x:v>NOT_DISCLOSED</x:v>
      </x:c>
      <x:c r="G112" s="19" t="str">
        <x:v>DIRECT_CLAIM</x:v>
      </x:c>
      <x:c r="H112" s="19" t="str">
        <x:v>HARDWARE_SUPPORT</x:v>
      </x:c>
      <x:c r="I112" s="19" t="str">
        <x:v>HOLD_NOT_DISCLOSED</x:v>
      </x:c>
      <x:c r="J112" s="19" t="n">
        <x:f>IF(I112="RELEASE_STANDARD_LOCKED",1,0)</x:f>
        <x:v>0</x:v>
      </x:c>
      <x:c r="K112" s="19" t="n">
        <x:f>IF(OR(I112="RELEASE_STANDARD_LOCKED",I112="ENGINEERING_BASE_PROVISIONAL",I112="ENGINEERING_BASE_CHAPTER_SCOPE_CANDIDATE",I112="ENGINEERING_BASE_CAPABILITY"),1,0)</x:f>
        <x:v>0</x:v>
      </x:c>
      <x:c r="L112" s="19" t="n">
        <x:f>IF(AND(J112=1,H112="HARDWARE_ROOT"),1,0)</x:f>
        <x:v>0</x:v>
      </x:c>
      <x:c r="M112" s="19" t="n">
        <x:f>IF(AND(K112=1,H112="HARDWARE_ROOT"),1,0)</x:f>
        <x:v>0</x:v>
      </x:c>
      <x:c r="N112" s="19" t="n">
        <x:f>IF(COUNTIFS('62_App售价桥闸门'!$A$6:$A$9,C112,'62_App售价桥闸门'!$K$6:$K$9,1)&gt;0,1,0)</x:f>
        <x:v>0</x:v>
      </x:c>
      <x:c r="O112" s="19" t="n">
        <x:f>IF(COUNTIFS('62_App售价桥闸门'!$A$6:$A$9,C112,'62_App售价桥闸门'!$M$6:$M$9,1)&gt;0,1,0)</x:f>
        <x:v>0</x:v>
      </x:c>
      <x:c r="P112" s="19" t="str">
        <x:v>BOM_ZERO_GRAVITY_SEAT</x:v>
      </x:c>
      <x:c r="Q112" s="19" t="str">
        <x:v>零重力座椅机构</x:v>
      </x:c>
      <x:c r="R112" s="19" t="str">
        <x:f>IF(M112=1,C112&amp;"|"&amp;P112,"")</x:f>
      </x:c>
      <x:c r="S112" s="19" t="str">
        <x:v>B31-C127</x:v>
      </x:c>
      <x:c r="T112" s="19" t="str">
        <x:v>B31_SRC_N70_POWER</x:v>
      </x:c>
      <x:c r="U112" s="19" t="str">
        <x:v>官方N70 Max单车公开材料未披露</x:v>
      </x:c>
      <x:c r="V112" s="19" t="str">
        <x:v>未披露</x:v>
      </x:c>
      <x:c r="W112" s="19" t="str">
        <x:v>C_HOLD_PENDING_E1X</x:v>
      </x:c>
      <x:c r="X112" s="19" t="str">
        <x:v>N70 Max单车公开材料未披露；不等于没有该配置</x:v>
      </x:c>
      <x:c r="Y112" s="19" t="str">
        <x:v>2026-08-04</x:v>
      </x:c>
    </x:row>
    <x:row r="113" ht="50" customHeight="1">
      <x:c r="A113" s="391" t="str">
        <x:v>B31C-D108</x:v>
      </x:c>
      <x:c r="B113" s="391" t="str">
        <x:v>B31-F108</x:v>
      </x:c>
      <x:c r="C113" s="391" t="str">
        <x:v>PC-N70-MAX-CAND</x:v>
      </x:c>
      <x:c r="D113" s="391" t="str">
        <x:v>fridge_capacity</x:v>
      </x:c>
      <x:c r="E113" s="391" t="str">
        <x:v>CABIN</x:v>
      </x:c>
      <x:c r="F113" s="391" t="str">
        <x:v>NOT_DISCLOSED</x:v>
      </x:c>
      <x:c r="G113" s="391" t="str">
        <x:v>DIRECT_CLAIM</x:v>
      </x:c>
      <x:c r="H113" s="391" t="str">
        <x:v>HARDWARE_ROOT</x:v>
      </x:c>
      <x:c r="I113" s="391" t="str">
        <x:v>HOLD_NOT_DISCLOSED</x:v>
      </x:c>
      <x:c r="J113" s="391" t="n">
        <x:f>IF(I113="RELEASE_STANDARD_LOCKED",1,0)</x:f>
        <x:v>0</x:v>
      </x:c>
      <x:c r="K113" s="391" t="n">
        <x:f>IF(OR(I113="RELEASE_STANDARD_LOCKED",I113="ENGINEERING_BASE_PROVISIONAL",I113="ENGINEERING_BASE_CHAPTER_SCOPE_CANDIDATE",I113="ENGINEERING_BASE_CAPABILITY"),1,0)</x:f>
        <x:v>0</x:v>
      </x:c>
      <x:c r="L113" s="391" t="n">
        <x:f>IF(AND(J113=1,H113="HARDWARE_ROOT"),1,0)</x:f>
        <x:v>0</x:v>
      </x:c>
      <x:c r="M113" s="391" t="n">
        <x:f>IF(AND(K113=1,H113="HARDWARE_ROOT"),1,0)</x:f>
        <x:v>0</x:v>
      </x:c>
      <x:c r="N113" s="391" t="n">
        <x:f>IF(COUNTIFS('62_App售价桥闸门'!$A$6:$A$9,C113,'62_App售价桥闸门'!$K$6:$K$9,1)&gt;0,1,0)</x:f>
        <x:v>0</x:v>
      </x:c>
      <x:c r="O113" s="391" t="n">
        <x:f>IF(COUNTIFS('62_App售价桥闸门'!$A$6:$A$9,C113,'62_App售价桥闸门'!$M$6:$M$9,1)&gt;0,1,0)</x:f>
        <x:v>0</x:v>
      </x:c>
      <x:c r="P113" s="391" t="str">
        <x:v>BOM_FRIDGE</x:v>
      </x:c>
      <x:c r="Q113" s="391" t="str">
        <x:v>车载冰箱</x:v>
      </x:c>
      <x:c r="R113" s="391" t="str">
        <x:f>IF(M113=1,C113&amp;"|"&amp;P113,"")</x:f>
      </x:c>
      <x:c r="S113" s="391" t="str">
        <x:v>B31-C128</x:v>
      </x:c>
      <x:c r="T113" s="391" t="str">
        <x:v>B31_SRC_N70_POWER</x:v>
      </x:c>
      <x:c r="U113" s="391" t="str">
        <x:v>官方N70 Max单车公开材料未披露</x:v>
      </x:c>
      <x:c r="V113" s="391" t="str">
        <x:v>未披露</x:v>
      </x:c>
      <x:c r="W113" s="391" t="str">
        <x:v>C_HOLD_PENDING_E1X</x:v>
      </x:c>
      <x:c r="X113" s="391" t="str">
        <x:v>N70 Max单车公开材料未披露；不等于没有该配置</x:v>
      </x:c>
      <x:c r="Y113" s="391" t="str">
        <x:v>2026-08-04</x:v>
      </x:c>
    </x:row>
    <x:row r="114" ht="50" customHeight="1">
      <x:c r="A114" s="19" t="str">
        <x:v>B31C-D109</x:v>
      </x:c>
      <x:c r="B114" s="19" t="str">
        <x:v>B31-F109</x:v>
      </x:c>
      <x:c r="C114" s="19" t="str">
        <x:v>PC-N70-MAX-CAND</x:v>
      </x:c>
      <x:c r="D114" s="19" t="str">
        <x:v>rear_entertainment_screen</x:v>
      </x:c>
      <x:c r="E114" s="19" t="str">
        <x:v>CABIN</x:v>
      </x:c>
      <x:c r="F114" s="19" t="str">
        <x:v>NOT_DISCLOSED</x:v>
      </x:c>
      <x:c r="G114" s="19" t="str">
        <x:v>DIRECT_CLAIM</x:v>
      </x:c>
      <x:c r="H114" s="19" t="str">
        <x:v>HARDWARE_ROOT</x:v>
      </x:c>
      <x:c r="I114" s="19" t="str">
        <x:v>HOLD_NOT_DISCLOSED</x:v>
      </x:c>
      <x:c r="J114" s="19" t="n">
        <x:f>IF(I114="RELEASE_STANDARD_LOCKED",1,0)</x:f>
        <x:v>0</x:v>
      </x:c>
      <x:c r="K114" s="19" t="n">
        <x:f>IF(OR(I114="RELEASE_STANDARD_LOCKED",I114="ENGINEERING_BASE_PROVISIONAL",I114="ENGINEERING_BASE_CHAPTER_SCOPE_CANDIDATE",I114="ENGINEERING_BASE_CAPABILITY"),1,0)</x:f>
        <x:v>0</x:v>
      </x:c>
      <x:c r="L114" s="19" t="n">
        <x:f>IF(AND(J114=1,H114="HARDWARE_ROOT"),1,0)</x:f>
        <x:v>0</x:v>
      </x:c>
      <x:c r="M114" s="19" t="n">
        <x:f>IF(AND(K114=1,H114="HARDWARE_ROOT"),1,0)</x:f>
        <x:v>0</x:v>
      </x:c>
      <x:c r="N114" s="19" t="n">
        <x:f>IF(COUNTIFS('62_App售价桥闸门'!$A$6:$A$9,C114,'62_App售价桥闸门'!$K$6:$K$9,1)&gt;0,1,0)</x:f>
        <x:v>0</x:v>
      </x:c>
      <x:c r="O114" s="19" t="n">
        <x:f>IF(COUNTIFS('62_App售价桥闸门'!$A$6:$A$9,C114,'62_App售价桥闸门'!$M$6:$M$9,1)&gt;0,1,0)</x:f>
        <x:v>0</x:v>
      </x:c>
      <x:c r="P114" s="19" t="str">
        <x:v>BOM_REAR_SCREEN</x:v>
      </x:c>
      <x:c r="Q114" s="19" t="str">
        <x:v>后排娱乐屏</x:v>
      </x:c>
      <x:c r="R114" s="19" t="str">
        <x:f>IF(M114=1,C114&amp;"|"&amp;P114,"")</x:f>
      </x:c>
      <x:c r="S114" s="19" t="str">
        <x:v>B31-C129</x:v>
      </x:c>
      <x:c r="T114" s="19" t="str">
        <x:v>B31_SRC_N70_POWER</x:v>
      </x:c>
      <x:c r="U114" s="19" t="str">
        <x:v>官方N70 Max单车公开材料未披露</x:v>
      </x:c>
      <x:c r="V114" s="19" t="str">
        <x:v>未披露</x:v>
      </x:c>
      <x:c r="W114" s="19" t="str">
        <x:v>C_HOLD_PENDING_E1X</x:v>
      </x:c>
      <x:c r="X114" s="19" t="str">
        <x:v>N70 Max单车公开材料未披露；不等于没有该配置</x:v>
      </x:c>
      <x:c r="Y114" s="19" t="str">
        <x:v>2026-08-04</x:v>
      </x:c>
    </x:row>
    <x:row r="115" ht="50" customHeight="1">
      <x:c r="A115" s="391" t="str">
        <x:v>B31C-D110</x:v>
      </x:c>
      <x:c r="B115" s="391" t="str">
        <x:v>B31-F110</x:v>
      </x:c>
      <x:c r="C115" s="391" t="str">
        <x:v>PC-N70-MAX-CAND</x:v>
      </x:c>
      <x:c r="D115" s="391" t="str">
        <x:v>airbag_count</x:v>
      </x:c>
      <x:c r="E115" s="391" t="str">
        <x:v>SAFETY</x:v>
      </x:c>
      <x:c r="F115" s="391" t="str">
        <x:v>NOT_DISCLOSED</x:v>
      </x:c>
      <x:c r="G115" s="391" t="str">
        <x:v>DIRECT_CLAIM</x:v>
      </x:c>
      <x:c r="H115" s="391" t="str">
        <x:v>HARDWARE_ROOT</x:v>
      </x:c>
      <x:c r="I115" s="391" t="str">
        <x:v>HOLD_NOT_DISCLOSED</x:v>
      </x:c>
      <x:c r="J115" s="391" t="n">
        <x:f>IF(I115="RELEASE_STANDARD_LOCKED",1,0)</x:f>
        <x:v>0</x:v>
      </x:c>
      <x:c r="K115" s="391" t="n">
        <x:f>IF(OR(I115="RELEASE_STANDARD_LOCKED",I115="ENGINEERING_BASE_PROVISIONAL",I115="ENGINEERING_BASE_CHAPTER_SCOPE_CANDIDATE",I115="ENGINEERING_BASE_CAPABILITY"),1,0)</x:f>
        <x:v>0</x:v>
      </x:c>
      <x:c r="L115" s="391" t="n">
        <x:f>IF(AND(J115=1,H115="HARDWARE_ROOT"),1,0)</x:f>
        <x:v>0</x:v>
      </x:c>
      <x:c r="M115" s="391" t="n">
        <x:f>IF(AND(K115=1,H115="HARDWARE_ROOT"),1,0)</x:f>
        <x:v>0</x:v>
      </x:c>
      <x:c r="N115" s="391" t="n">
        <x:f>IF(COUNTIFS('62_App售价桥闸门'!$A$6:$A$9,C115,'62_App售价桥闸门'!$K$6:$K$9,1)&gt;0,1,0)</x:f>
        <x:v>0</x:v>
      </x:c>
      <x:c r="O115" s="391" t="n">
        <x:f>IF(COUNTIFS('62_App售价桥闸门'!$A$6:$A$9,C115,'62_App售价桥闸门'!$M$6:$M$9,1)&gt;0,1,0)</x:f>
        <x:v>0</x:v>
      </x:c>
      <x:c r="P115" s="391" t="str">
        <x:v>BOM_RESTRAINT</x:v>
      </x:c>
      <x:c r="Q115" s="391" t="str">
        <x:v>乘员约束系统</x:v>
      </x:c>
      <x:c r="R115" s="391" t="str">
        <x:f>IF(M115=1,C115&amp;"|"&amp;P115,"")</x:f>
      </x:c>
      <x:c r="S115" s="391" t="str">
        <x:v>B31-C130</x:v>
      </x:c>
      <x:c r="T115" s="391" t="str">
        <x:v>B31_SRC_N70_POWER</x:v>
      </x:c>
      <x:c r="U115" s="391" t="str">
        <x:v>官方N70 Max单车公开材料未披露</x:v>
      </x:c>
      <x:c r="V115" s="391" t="str">
        <x:v>未披露</x:v>
      </x:c>
      <x:c r="W115" s="391" t="str">
        <x:v>C_HOLD_PENDING_E1X</x:v>
      </x:c>
      <x:c r="X115" s="391" t="str">
        <x:v>N70 Max单车公开材料未披露；不等于没有该配置</x:v>
      </x:c>
      <x:c r="Y115" s="391" t="str">
        <x:v>2026-08-04</x:v>
      </x:c>
    </x:row>
    <x:row r="116" ht="50" customHeight="1">
      <x:c r="A116" s="19" t="str">
        <x:v>B31C-D111</x:v>
      </x:c>
      <x:c r="B116" s="19" t="str">
        <x:v>B31-F111</x:v>
      </x:c>
      <x:c r="C116" s="19" t="str">
        <x:v>PC-N70-MAX-CAND</x:v>
      </x:c>
      <x:c r="D116" s="19" t="str">
        <x:v>rear_solid_state_lidar</x:v>
      </x:c>
      <x:c r="E116" s="19" t="str">
        <x:v>ADAS</x:v>
      </x:c>
      <x:c r="F116" s="19" t="str">
        <x:v>NOT_DISCLOSED</x:v>
      </x:c>
      <x:c r="G116" s="19" t="str">
        <x:v>DIRECT_CLAIM</x:v>
      </x:c>
      <x:c r="H116" s="19" t="str">
        <x:v>HARDWARE_ROOT</x:v>
      </x:c>
      <x:c r="I116" s="19" t="str">
        <x:v>HOLD_NOT_DISCLOSED</x:v>
      </x:c>
      <x:c r="J116" s="19" t="n">
        <x:f>IF(I116="RELEASE_STANDARD_LOCKED",1,0)</x:f>
        <x:v>0</x:v>
      </x:c>
      <x:c r="K116" s="19" t="n">
        <x:f>IF(OR(I116="RELEASE_STANDARD_LOCKED",I116="ENGINEERING_BASE_PROVISIONAL",I116="ENGINEERING_BASE_CHAPTER_SCOPE_CANDIDATE",I116="ENGINEERING_BASE_CAPABILITY"),1,0)</x:f>
        <x:v>0</x:v>
      </x:c>
      <x:c r="L116" s="19" t="n">
        <x:f>IF(AND(J116=1,H116="HARDWARE_ROOT"),1,0)</x:f>
        <x:v>0</x:v>
      </x:c>
      <x:c r="M116" s="19" t="n">
        <x:f>IF(AND(K116=1,H116="HARDWARE_ROOT"),1,0)</x:f>
        <x:v>0</x:v>
      </x:c>
      <x:c r="N116" s="19" t="n">
        <x:f>IF(COUNTIFS('62_App售价桥闸门'!$A$6:$A$9,C116,'62_App售价桥闸门'!$K$6:$K$9,1)&gt;0,1,0)</x:f>
        <x:v>0</x:v>
      </x:c>
      <x:c r="O116" s="19" t="n">
        <x:f>IF(COUNTIFS('62_App售价桥闸门'!$A$6:$A$9,C116,'62_App售价桥闸门'!$M$6:$M$9,1)&gt;0,1,0)</x:f>
        <x:v>0</x:v>
      </x:c>
      <x:c r="P116" s="19" t="str">
        <x:v>BOM_REAR_LIDAR</x:v>
      </x:c>
      <x:c r="Q116" s="19" t="str">
        <x:v>后向固态激光雷达</x:v>
      </x:c>
      <x:c r="R116" s="19" t="str">
        <x:f>IF(M116=1,C116&amp;"|"&amp;P116,"")</x:f>
      </x:c>
      <x:c r="S116" s="19" t="str">
        <x:v>B31-C131</x:v>
      </x:c>
      <x:c r="T116" s="19" t="str">
        <x:v>B31_SRC_N70_POWER</x:v>
      </x:c>
      <x:c r="U116" s="19" t="str">
        <x:v>官方N70 Max单车公开材料未披露</x:v>
      </x:c>
      <x:c r="V116" s="19" t="str">
        <x:v>未披露</x:v>
      </x:c>
      <x:c r="W116" s="19" t="str">
        <x:v>C_HOLD_PENDING_E1X</x:v>
      </x:c>
      <x:c r="X116" s="19" t="str">
        <x:v>N70 Max单车公开材料未披露；不等于没有该配置</x:v>
      </x:c>
      <x:c r="Y116" s="19" t="str">
        <x:v>2026-08-04</x:v>
      </x:c>
    </x:row>
    <x:row r="117" ht="50" customHeight="1">
      <x:c r="A117" s="391" t="str">
        <x:v>B31C-D112</x:v>
      </x:c>
      <x:c r="B117" s="391" t="str">
        <x:v>B31-F112</x:v>
      </x:c>
      <x:c r="C117" s="391" t="str">
        <x:v>PC-N70-MAX-CAND</x:v>
      </x:c>
      <x:c r="D117" s="391" t="str">
        <x:v>speaker_count</x:v>
      </x:c>
      <x:c r="E117" s="391" t="str">
        <x:v>CABIN</x:v>
      </x:c>
      <x:c r="F117" s="391" t="str">
        <x:v>NOT_DISCLOSED</x:v>
      </x:c>
      <x:c r="G117" s="391" t="str">
        <x:v>DIRECT_CLAIM</x:v>
      </x:c>
      <x:c r="H117" s="391" t="str">
        <x:v>HARDWARE_ROOT</x:v>
      </x:c>
      <x:c r="I117" s="391" t="str">
        <x:v>HOLD_NOT_DISCLOSED</x:v>
      </x:c>
      <x:c r="J117" s="391" t="n">
        <x:f>IF(I117="RELEASE_STANDARD_LOCKED",1,0)</x:f>
        <x:v>0</x:v>
      </x:c>
      <x:c r="K117" s="391" t="n">
        <x:f>IF(OR(I117="RELEASE_STANDARD_LOCKED",I117="ENGINEERING_BASE_PROVISIONAL",I117="ENGINEERING_BASE_CHAPTER_SCOPE_CANDIDATE",I117="ENGINEERING_BASE_CAPABILITY"),1,0)</x:f>
        <x:v>0</x:v>
      </x:c>
      <x:c r="L117" s="391" t="n">
        <x:f>IF(AND(J117=1,H117="HARDWARE_ROOT"),1,0)</x:f>
        <x:v>0</x:v>
      </x:c>
      <x:c r="M117" s="391" t="n">
        <x:f>IF(AND(K117=1,H117="HARDWARE_ROOT"),1,0)</x:f>
        <x:v>0</x:v>
      </x:c>
      <x:c r="N117" s="391" t="n">
        <x:f>IF(COUNTIFS('62_App售价桥闸门'!$A$6:$A$9,C117,'62_App售价桥闸门'!$K$6:$K$9,1)&gt;0,1,0)</x:f>
        <x:v>0</x:v>
      </x:c>
      <x:c r="O117" s="391" t="n">
        <x:f>IF(COUNTIFS('62_App售价桥闸门'!$A$6:$A$9,C117,'62_App售价桥闸门'!$M$6:$M$9,1)&gt;0,1,0)</x:f>
        <x:v>0</x:v>
      </x:c>
      <x:c r="P117" s="391" t="str">
        <x:v>BOM_AUDIO</x:v>
      </x:c>
      <x:c r="Q117" s="391" t="str">
        <x:v>车载音响系统</x:v>
      </x:c>
      <x:c r="R117" s="391" t="str">
        <x:f>IF(M117=1,C117&amp;"|"&amp;P117,"")</x:f>
      </x:c>
      <x:c r="S117" s="391" t="str">
        <x:v>B31-C132</x:v>
      </x:c>
      <x:c r="T117" s="391" t="str">
        <x:v>B31_SRC_N70_POWER</x:v>
      </x:c>
      <x:c r="U117" s="391" t="str">
        <x:v>官方N70 Max单车公开材料未披露</x:v>
      </x:c>
      <x:c r="V117" s="391" t="str">
        <x:v>未披露</x:v>
      </x:c>
      <x:c r="W117" s="391" t="str">
        <x:v>C_HOLD_PENDING_E1X</x:v>
      </x:c>
      <x:c r="X117" s="391" t="str">
        <x:v>N70 Max单车公开材料未披露；不等于没有该配置</x:v>
      </x:c>
      <x:c r="Y117" s="391" t="str">
        <x:v>2026-08-04</x:v>
      </x:c>
    </x:row>
    <x:row r="118" ht="50" customHeight="1">
      <x:c r="A118" s="19" t="str">
        <x:v>B31C-D113</x:v>
      </x:c>
      <x:c r="B118" s="19" t="str">
        <x:v>B31-F113</x:v>
      </x:c>
      <x:c r="C118" s="19" t="str">
        <x:v>PC-N70-MAX-CAND</x:v>
      </x:c>
      <x:c r="D118" s="19" t="str">
        <x:v>xiaomi_had</x:v>
      </x:c>
      <x:c r="E118" s="19" t="str">
        <x:v>ADAS</x:v>
      </x:c>
      <x:c r="F118" s="19" t="str">
        <x:v>STANDARD_AT_RELEASE</x:v>
      </x:c>
      <x:c r="G118" s="19" t="str">
        <x:v>PROPAGATED_SCOPE_CLAIM</x:v>
      </x:c>
      <x:c r="H118" s="19" t="str">
        <x:v>SOFTWARE_SYSTEM</x:v>
      </x:c>
      <x:c r="I118" s="19" t="str">
        <x:v>RELEASE_STANDARD_LOCKED</x:v>
      </x:c>
      <x:c r="J118" s="19" t="n">
        <x:f>IF(I118="RELEASE_STANDARD_LOCKED",1,0)</x:f>
        <x:v>1</x:v>
      </x:c>
      <x:c r="K118" s="19" t="n">
        <x:f>IF(OR(I118="RELEASE_STANDARD_LOCKED",I118="ENGINEERING_BASE_PROVISIONAL",I118="ENGINEERING_BASE_CHAPTER_SCOPE_CANDIDATE",I118="ENGINEERING_BASE_CAPABILITY"),1,0)</x:f>
        <x:v>1</x:v>
      </x:c>
      <x:c r="L118" s="19" t="n">
        <x:f>IF(AND(J118=1,H118="HARDWARE_ROOT"),1,0)</x:f>
        <x:v>0</x:v>
      </x:c>
      <x:c r="M118" s="19" t="n">
        <x:f>IF(AND(K118=1,H118="HARDWARE_ROOT"),1,0)</x:f>
        <x:v>0</x:v>
      </x:c>
      <x:c r="N118" s="19" t="n">
        <x:f>IF(COUNTIFS('62_App售价桥闸门'!$A$6:$A$9,C118,'62_App售价桥闸门'!$K$6:$K$9,1)&gt;0,1,0)</x:f>
        <x:v>0</x:v>
      </x:c>
      <x:c r="O118" s="19" t="n">
        <x:f>IF(COUNTIFS('62_App售价桥闸门'!$A$6:$A$9,C118,'62_App售价桥闸门'!$M$6:$M$9,1)&gt;0,1,0)</x:f>
        <x:v>0</x:v>
      </x:c>
      <x:c r="P118" s="19" t="str">
        <x:v>BOM_ADAS_STACK</x:v>
      </x:c>
      <x:c r="Q118" s="19" t="str">
        <x:v>辅助驾驶系统</x:v>
      </x:c>
      <x:c r="R118" s="19" t="str">
        <x:f>IF(M118=1,C118&amp;"|"&amp;P118,"")</x:f>
      </x:c>
      <x:c r="S118" s="19" t="str">
        <x:v>B31-C029</x:v>
      </x:c>
      <x:c r="T118" s="19" t="str">
        <x:v>B31_SRC_HAD</x:v>
      </x:c>
      <x:c r="U118" s="19" t="str">
        <x:v>澎程全系标配小米HAD、满配辅助驾驶</x:v>
      </x:c>
      <x:c r="V118" s="19" t="str">
        <x:v>全系标配</x:v>
      </x:c>
      <x:c r="W118" s="19" t="str">
        <x:v>A_DIRECT_OR_EXPLICIT_SCOPE</x:v>
      </x:c>
      <x:c r="X118" s="19" t="str">
        <x:v>仍需App车辆SKU与完整配置修订，才能认定当前在售标配</x:v>
      </x:c>
      <x:c r="Y118" s="19" t="str">
        <x:v>2026-08-04</x:v>
      </x:c>
    </x:row>
    <x:row r="119" ht="50" customHeight="1">
      <x:c r="A119" s="391" t="str">
        <x:v>B31C-D114</x:v>
      </x:c>
      <x:c r="B119" s="391" t="str">
        <x:v>B31-F114</x:v>
      </x:c>
      <x:c r="C119" s="391" t="str">
        <x:v>PC-N90-MAX-CAND</x:v>
      </x:c>
      <x:c r="D119" s="391" t="str">
        <x:v>xiaomi_had</x:v>
      </x:c>
      <x:c r="E119" s="391" t="str">
        <x:v>ADAS</x:v>
      </x:c>
      <x:c r="F119" s="391" t="str">
        <x:v>STANDARD_AT_RELEASE</x:v>
      </x:c>
      <x:c r="G119" s="391" t="str">
        <x:v>PROPAGATED_SCOPE_CLAIM</x:v>
      </x:c>
      <x:c r="H119" s="391" t="str">
        <x:v>SOFTWARE_SYSTEM</x:v>
      </x:c>
      <x:c r="I119" s="391" t="str">
        <x:v>RELEASE_STANDARD_LOCKED</x:v>
      </x:c>
      <x:c r="J119" s="391" t="n">
        <x:f>IF(I119="RELEASE_STANDARD_LOCKED",1,0)</x:f>
        <x:v>1</x:v>
      </x:c>
      <x:c r="K119" s="391" t="n">
        <x:f>IF(OR(I119="RELEASE_STANDARD_LOCKED",I119="ENGINEERING_BASE_PROVISIONAL",I119="ENGINEERING_BASE_CHAPTER_SCOPE_CANDIDATE",I119="ENGINEERING_BASE_CAPABILITY"),1,0)</x:f>
        <x:v>1</x:v>
      </x:c>
      <x:c r="L119" s="391" t="n">
        <x:f>IF(AND(J119=1,H119="HARDWARE_ROOT"),1,0)</x:f>
        <x:v>0</x:v>
      </x:c>
      <x:c r="M119" s="391" t="n">
        <x:f>IF(AND(K119=1,H119="HARDWARE_ROOT"),1,0)</x:f>
        <x:v>0</x:v>
      </x:c>
      <x:c r="N119" s="391" t="n">
        <x:f>IF(COUNTIFS('62_App售价桥闸门'!$A$6:$A$9,C119,'62_App售价桥闸门'!$K$6:$K$9,1)&gt;0,1,0)</x:f>
        <x:v>0</x:v>
      </x:c>
      <x:c r="O119" s="391" t="n">
        <x:f>IF(COUNTIFS('62_App售价桥闸门'!$A$6:$A$9,C119,'62_App售价桥闸门'!$M$6:$M$9,1)&gt;0,1,0)</x:f>
        <x:v>0</x:v>
      </x:c>
      <x:c r="P119" s="391" t="str">
        <x:v>BOM_ADAS_STACK</x:v>
      </x:c>
      <x:c r="Q119" s="391" t="str">
        <x:v>辅助驾驶系统</x:v>
      </x:c>
      <x:c r="R119" s="391" t="str">
        <x:f>IF(M119=1,C119&amp;"|"&amp;P119,"")</x:f>
      </x:c>
      <x:c r="S119" s="391" t="str">
        <x:v>B31-C029</x:v>
      </x:c>
      <x:c r="T119" s="391" t="str">
        <x:v>B31_SRC_HAD</x:v>
      </x:c>
      <x:c r="U119" s="391" t="str">
        <x:v>澎程全系标配小米HAD、满配辅助驾驶</x:v>
      </x:c>
      <x:c r="V119" s="391" t="str">
        <x:v>全系标配</x:v>
      </x:c>
      <x:c r="W119" s="391" t="str">
        <x:v>A_DIRECT_OR_EXPLICIT_SCOPE</x:v>
      </x:c>
      <x:c r="X119" s="391" t="str">
        <x:v>仍需App车辆SKU与完整配置修订，才能认定当前在售标配</x:v>
      </x:c>
      <x:c r="Y119" s="391" t="str">
        <x:v>2026-08-04</x:v>
      </x:c>
    </x:row>
    <x:row r="120" ht="50" customHeight="1">
      <x:c r="A120" s="19" t="str">
        <x:v>B31C-D115</x:v>
      </x:c>
      <x:c r="B120" s="19" t="str">
        <x:v>B31-F115</x:v>
      </x:c>
      <x:c r="C120" s="19" t="str">
        <x:v>PC-N70-MAX-CAND</x:v>
      </x:c>
      <x:c r="D120" s="19" t="str">
        <x:v>super_xiaoai</x:v>
      </x:c>
      <x:c r="E120" s="19" t="str">
        <x:v>CABIN</x:v>
      </x:c>
      <x:c r="F120" s="19" t="str">
        <x:v>STANDARD_AT_RELEASE</x:v>
      </x:c>
      <x:c r="G120" s="19" t="str">
        <x:v>PROPAGATED_SCOPE_CLAIM</x:v>
      </x:c>
      <x:c r="H120" s="19" t="str">
        <x:v>SOFTWARE_SYSTEM</x:v>
      </x:c>
      <x:c r="I120" s="19" t="str">
        <x:v>RELEASE_STANDARD_LOCKED</x:v>
      </x:c>
      <x:c r="J120" s="19" t="n">
        <x:f>IF(I120="RELEASE_STANDARD_LOCKED",1,0)</x:f>
        <x:v>1</x:v>
      </x:c>
      <x:c r="K120" s="19" t="n">
        <x:f>IF(OR(I120="RELEASE_STANDARD_LOCKED",I120="ENGINEERING_BASE_PROVISIONAL",I120="ENGINEERING_BASE_CHAPTER_SCOPE_CANDIDATE",I120="ENGINEERING_BASE_CAPABILITY"),1,0)</x:f>
        <x:v>1</x:v>
      </x:c>
      <x:c r="L120" s="19" t="n">
        <x:f>IF(AND(J120=1,H120="HARDWARE_ROOT"),1,0)</x:f>
        <x:v>0</x:v>
      </x:c>
      <x:c r="M120" s="19" t="n">
        <x:f>IF(AND(K120=1,H120="HARDWARE_ROOT"),1,0)</x:f>
        <x:v>0</x:v>
      </x:c>
      <x:c r="N120" s="19" t="n">
        <x:f>IF(COUNTIFS('62_App售价桥闸门'!$A$6:$A$9,C120,'62_App售价桥闸门'!$K$6:$K$9,1)&gt;0,1,0)</x:f>
        <x:v>0</x:v>
      </x:c>
      <x:c r="O120" s="19" t="n">
        <x:f>IF(COUNTIFS('62_App售价桥闸门'!$A$6:$A$9,C120,'62_App售价桥闸门'!$M$6:$M$9,1)&gt;0,1,0)</x:f>
        <x:v>0</x:v>
      </x:c>
      <x:c r="P120" s="19" t="str">
        <x:v>BOM_SMART_CABIN</x:v>
      </x:c>
      <x:c r="Q120" s="19" t="str">
        <x:v>澎湃智能座舱软件系统</x:v>
      </x:c>
      <x:c r="R120" s="19" t="str">
        <x:f>IF(M120=1,C120&amp;"|"&amp;P120,"")</x:f>
      </x:c>
      <x:c r="S120" s="19" t="str">
        <x:v>B31-C030</x:v>
      </x:c>
      <x:c r="T120" s="19" t="str">
        <x:v>B31_SRC_XIAOAI</x:v>
      </x:c>
      <x:c r="U120" s="19" t="str">
        <x:v>全系标配超级小爱</x:v>
      </x:c>
      <x:c r="V120" s="19" t="str">
        <x:v>全系标配</x:v>
      </x:c>
      <x:c r="W120" s="19" t="str">
        <x:v>A_DIRECT_OR_EXPLICIT_SCOPE</x:v>
      </x:c>
      <x:c r="X120" s="19" t="str">
        <x:v>仍需App车辆SKU与完整配置修订，才能认定当前在售标配</x:v>
      </x:c>
      <x:c r="Y120" s="19" t="str">
        <x:v>2026-08-04</x:v>
      </x:c>
    </x:row>
    <x:row r="121" ht="50" customHeight="1">
      <x:c r="A121" s="391" t="str">
        <x:v>B31C-D116</x:v>
      </x:c>
      <x:c r="B121" s="391" t="str">
        <x:v>B31-F116</x:v>
      </x:c>
      <x:c r="C121" s="391" t="str">
        <x:v>PC-N90-MAX-CAND</x:v>
      </x:c>
      <x:c r="D121" s="391" t="str">
        <x:v>super_xiaoai</x:v>
      </x:c>
      <x:c r="E121" s="391" t="str">
        <x:v>CABIN</x:v>
      </x:c>
      <x:c r="F121" s="391" t="str">
        <x:v>STANDARD_AT_RELEASE</x:v>
      </x:c>
      <x:c r="G121" s="391" t="str">
        <x:v>PROPAGATED_SCOPE_CLAIM</x:v>
      </x:c>
      <x:c r="H121" s="391" t="str">
        <x:v>SOFTWARE_SYSTEM</x:v>
      </x:c>
      <x:c r="I121" s="391" t="str">
        <x:v>RELEASE_STANDARD_LOCKED</x:v>
      </x:c>
      <x:c r="J121" s="391" t="n">
        <x:f>IF(I121="RELEASE_STANDARD_LOCKED",1,0)</x:f>
        <x:v>1</x:v>
      </x:c>
      <x:c r="K121" s="391" t="n">
        <x:f>IF(OR(I121="RELEASE_STANDARD_LOCKED",I121="ENGINEERING_BASE_PROVISIONAL",I121="ENGINEERING_BASE_CHAPTER_SCOPE_CANDIDATE",I121="ENGINEERING_BASE_CAPABILITY"),1,0)</x:f>
        <x:v>1</x:v>
      </x:c>
      <x:c r="L121" s="391" t="n">
        <x:f>IF(AND(J121=1,H121="HARDWARE_ROOT"),1,0)</x:f>
        <x:v>0</x:v>
      </x:c>
      <x:c r="M121" s="391" t="n">
        <x:f>IF(AND(K121=1,H121="HARDWARE_ROOT"),1,0)</x:f>
        <x:v>0</x:v>
      </x:c>
      <x:c r="N121" s="391" t="n">
        <x:f>IF(COUNTIFS('62_App售价桥闸门'!$A$6:$A$9,C121,'62_App售价桥闸门'!$K$6:$K$9,1)&gt;0,1,0)</x:f>
        <x:v>0</x:v>
      </x:c>
      <x:c r="O121" s="391" t="n">
        <x:f>IF(COUNTIFS('62_App售价桥闸门'!$A$6:$A$9,C121,'62_App售价桥闸门'!$M$6:$M$9,1)&gt;0,1,0)</x:f>
        <x:v>0</x:v>
      </x:c>
      <x:c r="P121" s="391" t="str">
        <x:v>BOM_SMART_CABIN</x:v>
      </x:c>
      <x:c r="Q121" s="391" t="str">
        <x:v>澎湃智能座舱软件系统</x:v>
      </x:c>
      <x:c r="R121" s="391" t="str">
        <x:f>IF(M121=1,C121&amp;"|"&amp;P121,"")</x:f>
      </x:c>
      <x:c r="S121" s="391" t="str">
        <x:v>B31-C030</x:v>
      </x:c>
      <x:c r="T121" s="391" t="str">
        <x:v>B31_SRC_XIAOAI</x:v>
      </x:c>
      <x:c r="U121" s="391" t="str">
        <x:v>全系标配超级小爱</x:v>
      </x:c>
      <x:c r="V121" s="391" t="str">
        <x:v>全系标配</x:v>
      </x:c>
      <x:c r="W121" s="391" t="str">
        <x:v>A_DIRECT_OR_EXPLICIT_SCOPE</x:v>
      </x:c>
      <x:c r="X121" s="391" t="str">
        <x:v>仍需App车辆SKU与完整配置修订，才能认定当前在售标配</x:v>
      </x:c>
      <x:c r="Y121" s="391" t="str">
        <x:v>2026-08-04</x:v>
      </x:c>
    </x:row>
    <x:row r="122" ht="50" customHeight="1">
      <x:c r="A122" s="19" t="str">
        <x:v>B31C-D117</x:v>
      </x:c>
      <x:c r="B122" s="19" t="str">
        <x:v>B31-F117</x:v>
      </x:c>
      <x:c r="C122" s="19" t="str">
        <x:v>PC-N70-MAX-CAND</x:v>
      </x:c>
      <x:c r="D122" s="19" t="str">
        <x:v>wading_mode</x:v>
      </x:c>
      <x:c r="E122" s="19" t="str">
        <x:v>SAFETY</x:v>
      </x:c>
      <x:c r="F122" s="19" t="str">
        <x:v>STANDARD_AT_RELEASE</x:v>
      </x:c>
      <x:c r="G122" s="19" t="str">
        <x:v>PROPAGATED_SCOPE_CLAIM</x:v>
      </x:c>
      <x:c r="H122" s="19" t="str">
        <x:v>SOFTWARE_SYSTEM</x:v>
      </x:c>
      <x:c r="I122" s="19" t="str">
        <x:v>RELEASE_STANDARD_LOCKED</x:v>
      </x:c>
      <x:c r="J122" s="19" t="n">
        <x:f>IF(I122="RELEASE_STANDARD_LOCKED",1,0)</x:f>
        <x:v>1</x:v>
      </x:c>
      <x:c r="K122" s="19" t="n">
        <x:f>IF(OR(I122="RELEASE_STANDARD_LOCKED",I122="ENGINEERING_BASE_PROVISIONAL",I122="ENGINEERING_BASE_CHAPTER_SCOPE_CANDIDATE",I122="ENGINEERING_BASE_CAPABILITY"),1,0)</x:f>
        <x:v>1</x:v>
      </x:c>
      <x:c r="L122" s="19" t="n">
        <x:f>IF(AND(J122=1,H122="HARDWARE_ROOT"),1,0)</x:f>
        <x:v>0</x:v>
      </x:c>
      <x:c r="M122" s="19" t="n">
        <x:f>IF(AND(K122=1,H122="HARDWARE_ROOT"),1,0)</x:f>
        <x:v>0</x:v>
      </x:c>
      <x:c r="N122" s="19" t="n">
        <x:f>IF(COUNTIFS('62_App售价桥闸门'!$A$6:$A$9,C122,'62_App售价桥闸门'!$K$6:$K$9,1)&gt;0,1,0)</x:f>
        <x:v>0</x:v>
      </x:c>
      <x:c r="O122" s="19" t="n">
        <x:f>IF(COUNTIFS('62_App售价桥闸门'!$A$6:$A$9,C122,'62_App售价桥闸门'!$M$6:$M$9,1)&gt;0,1,0)</x:f>
        <x:v>0</x:v>
      </x:c>
      <x:c r="P122" s="19" t="str">
        <x:v>BOM_WADING_SAFETY</x:v>
      </x:c>
      <x:c r="Q122" s="19" t="str">
        <x:v>涉水感知与脱困系统</x:v>
      </x:c>
      <x:c r="R122" s="19" t="str">
        <x:f>IF(M122=1,C122&amp;"|"&amp;P122,"")</x:f>
      </x:c>
      <x:c r="S122" s="19" t="str">
        <x:v>B31-C031</x:v>
      </x:c>
      <x:c r="T122" s="19" t="str">
        <x:v>B31_SRC_WADING267</x:v>
      </x:c>
      <x:c r="U122" s="19" t="str">
        <x:v>澎程全系均配备涉水模式</x:v>
      </x:c>
      <x:c r="V122" s="19" t="str">
        <x:v>全系均配备</x:v>
      </x:c>
      <x:c r="W122" s="19" t="str">
        <x:v>A_DIRECT_OR_EXPLICIT_SCOPE</x:v>
      </x:c>
      <x:c r="X122" s="19" t="str">
        <x:v>仍需App车辆SKU与完整配置修订，才能认定当前在售标配</x:v>
      </x:c>
      <x:c r="Y122" s="19" t="str">
        <x:v>2026-08-04</x:v>
      </x:c>
    </x:row>
    <x:row r="123" ht="50" customHeight="1">
      <x:c r="A123" s="391" t="str">
        <x:v>B31C-D118</x:v>
      </x:c>
      <x:c r="B123" s="391" t="str">
        <x:v>B31-F118</x:v>
      </x:c>
      <x:c r="C123" s="391" t="str">
        <x:v>PC-N90-MAX-CAND</x:v>
      </x:c>
      <x:c r="D123" s="391" t="str">
        <x:v>wading_mode</x:v>
      </x:c>
      <x:c r="E123" s="391" t="str">
        <x:v>SAFETY</x:v>
      </x:c>
      <x:c r="F123" s="391" t="str">
        <x:v>STANDARD_AT_RELEASE</x:v>
      </x:c>
      <x:c r="G123" s="391" t="str">
        <x:v>PROPAGATED_SCOPE_CLAIM</x:v>
      </x:c>
      <x:c r="H123" s="391" t="str">
        <x:v>SOFTWARE_SYSTEM</x:v>
      </x:c>
      <x:c r="I123" s="391" t="str">
        <x:v>RELEASE_STANDARD_LOCKED</x:v>
      </x:c>
      <x:c r="J123" s="391" t="n">
        <x:f>IF(I123="RELEASE_STANDARD_LOCKED",1,0)</x:f>
        <x:v>1</x:v>
      </x:c>
      <x:c r="K123" s="391" t="n">
        <x:f>IF(OR(I123="RELEASE_STANDARD_LOCKED",I123="ENGINEERING_BASE_PROVISIONAL",I123="ENGINEERING_BASE_CHAPTER_SCOPE_CANDIDATE",I123="ENGINEERING_BASE_CAPABILITY"),1,0)</x:f>
        <x:v>1</x:v>
      </x:c>
      <x:c r="L123" s="391" t="n">
        <x:f>IF(AND(J123=1,H123="HARDWARE_ROOT"),1,0)</x:f>
        <x:v>0</x:v>
      </x:c>
      <x:c r="M123" s="391" t="n">
        <x:f>IF(AND(K123=1,H123="HARDWARE_ROOT"),1,0)</x:f>
        <x:v>0</x:v>
      </x:c>
      <x:c r="N123" s="391" t="n">
        <x:f>IF(COUNTIFS('62_App售价桥闸门'!$A$6:$A$9,C123,'62_App售价桥闸门'!$K$6:$K$9,1)&gt;0,1,0)</x:f>
        <x:v>0</x:v>
      </x:c>
      <x:c r="O123" s="391" t="n">
        <x:f>IF(COUNTIFS('62_App售价桥闸门'!$A$6:$A$9,C123,'62_App售价桥闸门'!$M$6:$M$9,1)&gt;0,1,0)</x:f>
        <x:v>0</x:v>
      </x:c>
      <x:c r="P123" s="391" t="str">
        <x:v>BOM_WADING_SAFETY</x:v>
      </x:c>
      <x:c r="Q123" s="391" t="str">
        <x:v>涉水感知与脱困系统</x:v>
      </x:c>
      <x:c r="R123" s="391" t="str">
        <x:f>IF(M123=1,C123&amp;"|"&amp;P123,"")</x:f>
      </x:c>
      <x:c r="S123" s="391" t="str">
        <x:v>B31-C031</x:v>
      </x:c>
      <x:c r="T123" s="391" t="str">
        <x:v>B31_SRC_WADING267</x:v>
      </x:c>
      <x:c r="U123" s="391" t="str">
        <x:v>澎程全系均配备涉水模式</x:v>
      </x:c>
      <x:c r="V123" s="391" t="str">
        <x:v>全系均配备</x:v>
      </x:c>
      <x:c r="W123" s="391" t="str">
        <x:v>A_DIRECT_OR_EXPLICIT_SCOPE</x:v>
      </x:c>
      <x:c r="X123" s="391" t="str">
        <x:v>仍需App车辆SKU与完整配置修订，才能认定当前在售标配</x:v>
      </x:c>
      <x:c r="Y123" s="391" t="str">
        <x:v>2026-08-04</x:v>
      </x:c>
    </x:row>
    <x:row r="124" ht="50" customHeight="1">
      <x:c r="A124" s="19" t="str">
        <x:v>B31C-D119</x:v>
      </x:c>
      <x:c r="B124" s="19" t="str">
        <x:v>B31-F119</x:v>
      </x:c>
      <x:c r="C124" s="19" t="str">
        <x:v>PC-N70-MAX-CAND</x:v>
      </x:c>
      <x:c r="D124" s="19" t="str">
        <x:v>hyperos_cabin</x:v>
      </x:c>
      <x:c r="E124" s="19" t="str">
        <x:v>CABIN</x:v>
      </x:c>
      <x:c r="F124" s="19" t="str">
        <x:v>SERIES_CAPABILITY</x:v>
      </x:c>
      <x:c r="G124" s="19" t="str">
        <x:v>PROPAGATED_SCOPE_CLAIM</x:v>
      </x:c>
      <x:c r="H124" s="19" t="str">
        <x:v>SOFTWARE_SYSTEM</x:v>
      </x:c>
      <x:c r="I124" s="19" t="str">
        <x:v>HOLD_SERIES_SCOPE</x:v>
      </x:c>
      <x:c r="J124" s="19" t="n">
        <x:f>IF(I124="RELEASE_STANDARD_LOCKED",1,0)</x:f>
        <x:v>0</x:v>
      </x:c>
      <x:c r="K124" s="19" t="n">
        <x:f>IF(OR(I124="RELEASE_STANDARD_LOCKED",I124="ENGINEERING_BASE_PROVISIONAL",I124="ENGINEERING_BASE_CHAPTER_SCOPE_CANDIDATE",I124="ENGINEERING_BASE_CAPABILITY"),1,0)</x:f>
        <x:v>0</x:v>
      </x:c>
      <x:c r="L124" s="19" t="n">
        <x:f>IF(AND(J124=1,H124="HARDWARE_ROOT"),1,0)</x:f>
        <x:v>0</x:v>
      </x:c>
      <x:c r="M124" s="19" t="n">
        <x:f>IF(AND(K124=1,H124="HARDWARE_ROOT"),1,0)</x:f>
        <x:v>0</x:v>
      </x:c>
      <x:c r="N124" s="19" t="n">
        <x:f>IF(COUNTIFS('62_App售价桥闸门'!$A$6:$A$9,C124,'62_App售价桥闸门'!$K$6:$K$9,1)&gt;0,1,0)</x:f>
        <x:v>0</x:v>
      </x:c>
      <x:c r="O124" s="19" t="n">
        <x:f>IF(COUNTIFS('62_App售价桥闸门'!$A$6:$A$9,C124,'62_App售价桥闸门'!$M$6:$M$9,1)&gt;0,1,0)</x:f>
        <x:v>0</x:v>
      </x:c>
      <x:c r="P124" s="19" t="str">
        <x:v>BOM_SMART_CABIN</x:v>
      </x:c>
      <x:c r="Q124" s="19" t="str">
        <x:v>澎湃智能座舱软件系统</x:v>
      </x:c>
      <x:c r="R124" s="19" t="str">
        <x:f>IF(M124=1,C124&amp;"|"&amp;P124,"")</x:f>
      </x:c>
      <x:c r="S124" s="19" t="str">
        <x:v>B31-C032</x:v>
      </x:c>
      <x:c r="T124" s="19" t="str">
        <x:v>B31_SRC_SERIES_CABIN</x:v>
      </x:c>
      <x:c r="U124" s="19" t="str">
        <x:v>澎程系列搭载小米澎湃智能座舱</x:v>
      </x:c>
      <x:c r="V124" s="19" t="str">
        <x:v>系列搭载</x:v>
      </x:c>
      <x:c r="W124" s="19" t="str">
        <x:v>C_HOLD_PENDING_E1X</x:v>
      </x:c>
      <x:c r="X124" s="19" t="str">
        <x:v>系列/平台能力不得直接传播为逐车商业标配</x:v>
      </x:c>
      <x:c r="Y124" s="19" t="str">
        <x:v>2026-08-04</x:v>
      </x:c>
    </x:row>
    <x:row r="125" ht="50" customHeight="1">
      <x:c r="A125" s="391" t="str">
        <x:v>B31C-D120</x:v>
      </x:c>
      <x:c r="B125" s="391" t="str">
        <x:v>B31-F120</x:v>
      </x:c>
      <x:c r="C125" s="391" t="str">
        <x:v>PC-N90-MAX-CAND</x:v>
      </x:c>
      <x:c r="D125" s="391" t="str">
        <x:v>hyperos_cabin</x:v>
      </x:c>
      <x:c r="E125" s="391" t="str">
        <x:v>CABIN</x:v>
      </x:c>
      <x:c r="F125" s="391" t="str">
        <x:v>SERIES_CAPABILITY</x:v>
      </x:c>
      <x:c r="G125" s="391" t="str">
        <x:v>PROPAGATED_SCOPE_CLAIM</x:v>
      </x:c>
      <x:c r="H125" s="391" t="str">
        <x:v>SOFTWARE_SYSTEM</x:v>
      </x:c>
      <x:c r="I125" s="391" t="str">
        <x:v>SUPPRESS_DUPLICATE_STRONGER_FACT</x:v>
      </x:c>
      <x:c r="J125" s="391" t="n">
        <x:f>IF(I125="RELEASE_STANDARD_LOCKED",1,0)</x:f>
        <x:v>0</x:v>
      </x:c>
      <x:c r="K125" s="391" t="n">
        <x:f>IF(OR(I125="RELEASE_STANDARD_LOCKED",I125="ENGINEERING_BASE_PROVISIONAL",I125="ENGINEERING_BASE_CHAPTER_SCOPE_CANDIDATE",I125="ENGINEERING_BASE_CAPABILITY"),1,0)</x:f>
        <x:v>0</x:v>
      </x:c>
      <x:c r="L125" s="391" t="n">
        <x:f>IF(AND(J125=1,H125="HARDWARE_ROOT"),1,0)</x:f>
        <x:v>0</x:v>
      </x:c>
      <x:c r="M125" s="391" t="n">
        <x:f>IF(AND(K125=1,H125="HARDWARE_ROOT"),1,0)</x:f>
        <x:v>0</x:v>
      </x:c>
      <x:c r="N125" s="391" t="n">
        <x:f>IF(COUNTIFS('62_App售价桥闸门'!$A$6:$A$9,C125,'62_App售价桥闸门'!$K$6:$K$9,1)&gt;0,1,0)</x:f>
        <x:v>0</x:v>
      </x:c>
      <x:c r="O125" s="391" t="n">
        <x:f>IF(COUNTIFS('62_App售价桥闸门'!$A$6:$A$9,C125,'62_App售价桥闸门'!$M$6:$M$9,1)&gt;0,1,0)</x:f>
        <x:v>0</x:v>
      </x:c>
      <x:c r="P125" s="391" t="str">
        <x:v>BOM_SMART_CABIN</x:v>
      </x:c>
      <x:c r="Q125" s="391" t="str">
        <x:v>澎湃智能座舱软件系统</x:v>
      </x:c>
      <x:c r="R125" s="391" t="str">
        <x:f>IF(M125=1,C125&amp;"|"&amp;P125,"")</x:f>
      </x:c>
      <x:c r="S125" s="391" t="str">
        <x:v>B31-C032</x:v>
      </x:c>
      <x:c r="T125" s="391" t="str">
        <x:v>B31_SRC_SERIES_CABIN</x:v>
      </x:c>
      <x:c r="U125" s="391" t="str">
        <x:v>澎程系列搭载小米澎湃智能座舱</x:v>
      </x:c>
      <x:c r="V125" s="391" t="str">
        <x:v>系列搭载</x:v>
      </x:c>
      <x:c r="W125" s="391" t="str">
        <x:v>A_DUPLICATE_CONTROL</x:v>
      </x:c>
      <x:c r="X125" s="391" t="str">
        <x:v>同节点已有更强或更直接事实；防止重复计数</x:v>
      </x:c>
      <x:c r="Y125" s="391" t="str">
        <x:v>2026-08-04</x:v>
      </x:c>
    </x:row>
    <x:row r="126" ht="50" customHeight="1">
      <x:c r="A126" s="19" t="str">
        <x:v>B31C-D121</x:v>
      </x:c>
      <x:c r="B126" s="19" t="str">
        <x:v>B31-F121</x:v>
      </x:c>
      <x:c r="C126" s="19" t="str">
        <x:v>PC-N70-MAX-CAND</x:v>
      </x:c>
      <x:c r="D126" s="19" t="str">
        <x:v>flat_floor_long_rails</x:v>
      </x:c>
      <x:c r="E126" s="19" t="str">
        <x:v>BODY_SPACE</x:v>
      </x:c>
      <x:c r="F126" s="19" t="str">
        <x:v>SERIES_CAPABILITY</x:v>
      </x:c>
      <x:c r="G126" s="19" t="str">
        <x:v>PROPAGATED_SCOPE_CLAIM</x:v>
      </x:c>
      <x:c r="H126" s="19" t="str">
        <x:v>CAPABILITY_NON_COST</x:v>
      </x:c>
      <x:c r="I126" s="19" t="str">
        <x:v>HOLD_SERIES_SCOPE</x:v>
      </x:c>
      <x:c r="J126" s="19" t="n">
        <x:f>IF(I126="RELEASE_STANDARD_LOCKED",1,0)</x:f>
        <x:v>0</x:v>
      </x:c>
      <x:c r="K126" s="19" t="n">
        <x:f>IF(OR(I126="RELEASE_STANDARD_LOCKED",I126="ENGINEERING_BASE_PROVISIONAL",I126="ENGINEERING_BASE_CHAPTER_SCOPE_CANDIDATE",I126="ENGINEERING_BASE_CAPABILITY"),1,0)</x:f>
        <x:v>0</x:v>
      </x:c>
      <x:c r="L126" s="19" t="n">
        <x:f>IF(AND(J126=1,H126="HARDWARE_ROOT"),1,0)</x:f>
        <x:v>0</x:v>
      </x:c>
      <x:c r="M126" s="19" t="n">
        <x:f>IF(AND(K126=1,H126="HARDWARE_ROOT"),1,0)</x:f>
        <x:v>0</x:v>
      </x:c>
      <x:c r="N126" s="19" t="n">
        <x:f>IF(COUNTIFS('62_App售价桥闸门'!$A$6:$A$9,C126,'62_App售价桥闸门'!$K$6:$K$9,1)&gt;0,1,0)</x:f>
        <x:v>0</x:v>
      </x:c>
      <x:c r="O126" s="19" t="n">
        <x:f>IF(COUNTIFS('62_App售价桥闸门'!$A$6:$A$9,C126,'62_App售价桥闸门'!$M$6:$M$9,1)&gt;0,1,0)</x:f>
        <x:v>0</x:v>
      </x:c>
      <x:c r="P126" s="19" t="str">
        <x:v>BOM_BODY_SPACE_GEOMETRY</x:v>
      </x:c>
      <x:c r="Q126" s="19" t="str">
        <x:v>车身空间与地板滑轨</x:v>
      </x:c>
      <x:c r="R126" s="19" t="str">
        <x:f>IF(M126=1,C126&amp;"|"&amp;P126,"")</x:f>
      </x:c>
      <x:c r="S126" s="19" t="str">
        <x:v>B31-C033</x:v>
      </x:c>
      <x:c r="T126" s="19" t="str">
        <x:v>B31_SRC_PLATFORM</x:v>
      </x:c>
      <x:c r="U126" s="19" t="str">
        <x:v>昆仑平台核心设计：贯穿纯平地板、方正格局、超长滑轨</x:v>
      </x:c>
      <x:c r="V126" s="19" t="str">
        <x:v>平台级设计</x:v>
      </x:c>
      <x:c r="W126" s="19" t="str">
        <x:v>C_HOLD_PENDING_E1X</x:v>
      </x:c>
      <x:c r="X126" s="19" t="str">
        <x:v>系列/平台能力不得直接传播为逐车商业标配</x:v>
      </x:c>
      <x:c r="Y126" s="19" t="str">
        <x:v>2026-08-04</x:v>
      </x:c>
    </x:row>
    <x:row r="127" ht="50" customHeight="1">
      <x:c r="A127" s="391" t="str">
        <x:v>B31C-D122</x:v>
      </x:c>
      <x:c r="B127" s="391" t="str">
        <x:v>B31-F122</x:v>
      </x:c>
      <x:c r="C127" s="391" t="str">
        <x:v>PC-N90-MAX-CAND</x:v>
      </x:c>
      <x:c r="D127" s="391" t="str">
        <x:v>flat_floor_long_rails</x:v>
      </x:c>
      <x:c r="E127" s="391" t="str">
        <x:v>BODY_SPACE</x:v>
      </x:c>
      <x:c r="F127" s="391" t="str">
        <x:v>SERIES_CAPABILITY</x:v>
      </x:c>
      <x:c r="G127" s="391" t="str">
        <x:v>PROPAGATED_SCOPE_CLAIM</x:v>
      </x:c>
      <x:c r="H127" s="391" t="str">
        <x:v>CAPABILITY_NON_COST</x:v>
      </x:c>
      <x:c r="I127" s="391" t="str">
        <x:v>HOLD_SERIES_SCOPE</x:v>
      </x:c>
      <x:c r="J127" s="391" t="n">
        <x:f>IF(I127="RELEASE_STANDARD_LOCKED",1,0)</x:f>
        <x:v>0</x:v>
      </x:c>
      <x:c r="K127" s="391" t="n">
        <x:f>IF(OR(I127="RELEASE_STANDARD_LOCKED",I127="ENGINEERING_BASE_PROVISIONAL",I127="ENGINEERING_BASE_CHAPTER_SCOPE_CANDIDATE",I127="ENGINEERING_BASE_CAPABILITY"),1,0)</x:f>
        <x:v>0</x:v>
      </x:c>
      <x:c r="L127" s="391" t="n">
        <x:f>IF(AND(J127=1,H127="HARDWARE_ROOT"),1,0)</x:f>
        <x:v>0</x:v>
      </x:c>
      <x:c r="M127" s="391" t="n">
        <x:f>IF(AND(K127=1,H127="HARDWARE_ROOT"),1,0)</x:f>
        <x:v>0</x:v>
      </x:c>
      <x:c r="N127" s="391" t="n">
        <x:f>IF(COUNTIFS('62_App售价桥闸门'!$A$6:$A$9,C127,'62_App售价桥闸门'!$K$6:$K$9,1)&gt;0,1,0)</x:f>
        <x:v>0</x:v>
      </x:c>
      <x:c r="O127" s="391" t="n">
        <x:f>IF(COUNTIFS('62_App售价桥闸门'!$A$6:$A$9,C127,'62_App售价桥闸门'!$M$6:$M$9,1)&gt;0,1,0)</x:f>
        <x:v>0</x:v>
      </x:c>
      <x:c r="P127" s="391" t="str">
        <x:v>BOM_BODY_SPACE_GEOMETRY</x:v>
      </x:c>
      <x:c r="Q127" s="391" t="str">
        <x:v>车身空间与地板滑轨</x:v>
      </x:c>
      <x:c r="R127" s="391" t="str">
        <x:f>IF(M127=1,C127&amp;"|"&amp;P127,"")</x:f>
      </x:c>
      <x:c r="S127" s="391" t="str">
        <x:v>B31-C033</x:v>
      </x:c>
      <x:c r="T127" s="391" t="str">
        <x:v>B31_SRC_PLATFORM</x:v>
      </x:c>
      <x:c r="U127" s="391" t="str">
        <x:v>昆仑平台核心设计：贯穿纯平地板、方正格局、超长滑轨</x:v>
      </x:c>
      <x:c r="V127" s="391" t="str">
        <x:v>平台级设计</x:v>
      </x:c>
      <x:c r="W127" s="391" t="str">
        <x:v>C_HOLD_PENDING_E1X</x:v>
      </x:c>
      <x:c r="X127" s="391" t="str">
        <x:v>系列/平台能力不得直接传播为逐车商业标配</x:v>
      </x:c>
      <x:c r="Y127" s="391" t="str">
        <x:v>2026-08-04</x:v>
      </x:c>
    </x:row>
  </x:sheetData>
  <x:mergeCells>
    <x:mergeCell ref="A1:Y1"/>
    <x:mergeCell ref="A2:Y2"/>
    <x:mergeCell ref="A3:Y3"/>
  </x:mergeCells>
  <x:conditionalFormatting sqref="F6:O127">
    <x:cfRule type="containsText" dxfId="991" priority="1" operator="containsText" text="PASS"/>
    <x:cfRule type="containsText" dxfId="992" priority="2" operator="containsText" text="READY"/>
    <x:cfRule type="containsText" dxfId="993" priority="3" operator="containsText" text="TRUE"/>
    <x:cfRule type="containsText" dxfId="994" priority="4" operator="containsText" text="LOCKED"/>
    <x:cfRule type="containsText" dxfId="995" priority="5" operator="containsText" text="STANDARD"/>
    <x:cfRule type="containsText" dxfId="996" priority="6" operator="containsText" text="INCLUDED"/>
    <x:cfRule type="containsText" dxfId="997" priority="7" operator="containsText" text="OPTION"/>
    <x:cfRule type="containsText" dxfId="998" priority="8" operator="containsText" text="PROVISIONAL"/>
    <x:cfRule type="containsText" dxfId="999" priority="9" operator="containsText" text="ENGINEERING"/>
    <x:cfRule type="containsText" dxfId="1000" priority="10" operator="containsText" text="ACCESSORY"/>
    <x:cfRule type="containsText" dxfId="1001" priority="11" operator="containsText" text="SEPARATE"/>
    <x:cfRule type="containsText" dxfId="1002" priority="12" operator="containsText" text="CANDIDATE"/>
    <x:cfRule type="containsText" dxfId="1003" priority="13" operator="containsText" text="HOLD"/>
    <x:cfRule type="containsText" dxfId="1004" priority="14" operator="containsText" text="NOT_DISCLOSED"/>
    <x:cfRule type="containsText" dxfId="1005" priority="15" operator="containsText" text="SUPPRESS"/>
    <x:cfRule type="containsText" dxfId="1006" priority="16" operator="containsText" text="BLOCKED"/>
    <x:cfRule type="containsText" dxfId="1007" priority="17" operator="containsText" text="FAIL"/>
    <x:cfRule type="containsText" dxfId="1008" priority="18" operator="containsText" text="FALSE"/>
    <x:cfRule type="containsText" dxfId="1009" priority="19" operator="containsText" text="CONFLICT"/>
  </x:conditionalFormatting>
  <x:pageMargins left="0.7" right="0.7" top="0.75" bottom="0.75" header="0.3" footer="0.3"/>
</x:worksheet>
</file>

<file path=xl/worksheets/sheet6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3" hidden="0" customWidth="1"/>
    <x:col min="3" max="3" width="31" hidden="0" customWidth="1"/>
    <x:col min="4" max="4" width="33" hidden="0" customWidth="1"/>
    <x:col min="5" max="5" width="16" hidden="0" customWidth="1"/>
    <x:col min="6" max="6" width="15" hidden="0" customWidth="1"/>
    <x:col min="7" max="7" width="18" hidden="0" customWidth="1"/>
    <x:col min="8" max="8" width="18" hidden="0" customWidth="1"/>
    <x:col min="9" max="9" width="18" hidden="0" customWidth="1"/>
    <x:col min="10" max="10" width="20" hidden="0" customWidth="1"/>
    <x:col min="11" max="11" width="20" hidden="0" customWidth="1"/>
    <x:col min="12" max="12" width="34" hidden="0" customWidth="1"/>
    <x:col min="13" max="13" width="34" hidden="0" customWidth="1"/>
    <x:col min="14" max="14" width="55" hidden="0" customWidth="1"/>
  </x:cols>
  <x:sheetData>
    <x:row r="1" ht="30" customHeight="1">
      <x:c r="A1" s="378" t="str">
        <x:v>59｜临时BOM根节点与监管技术底座</x:v>
      </x:c>
      <x:c r="B1" s="378"/>
      <x:c r="C1" s="378"/>
      <x:c r="D1" s="378"/>
      <x:c r="E1" s="378"/>
      <x:c r="F1" s="378"/>
      <x:c r="G1" s="378"/>
      <x:c r="H1" s="378"/>
      <x:c r="I1" s="378"/>
      <x:c r="J1" s="378"/>
      <x:c r="K1" s="378"/>
      <x:c r="L1" s="378"/>
      <x:c r="M1" s="378"/>
      <x:c r="N1" s="378"/>
    </x:row>
    <x:row r="2" ht="22" customHeight="1">
      <x:c r="A2" s="381" t="str">
        <x:v>一条根节点只允许一个成本行｜规格指标与支持事实只作校验，不重复计成本</x:v>
      </x:c>
      <x:c r="B2" s="381"/>
      <x:c r="C2" s="381"/>
      <x:c r="D2" s="381"/>
      <x:c r="E2" s="381"/>
      <x:c r="F2" s="381"/>
      <x:c r="G2" s="381"/>
      <x:c r="H2" s="381"/>
      <x:c r="I2" s="381"/>
      <x:c r="J2" s="381"/>
      <x:c r="K2" s="381"/>
      <x:c r="L2" s="381"/>
      <x:c r="M2" s="381"/>
      <x:c r="N2" s="381"/>
    </x:row>
    <x:row r="3" ht="58" customHeight="1">
      <x:c r="A3" s="385" t="str">
        <x:v>严格根节点来自明确标配；工程根节点允许进入Phase 3.2成本骨架，但必须保留“商业标配待确认”。HAD/XLA/安全辅助/域控制统一挂在同一防重组；性能指标不形成独立成本行。</x:v>
      </x:c>
      <x:c r="B3" s="385"/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</x:row>
    <x:row r="5" ht="54" customHeight="1">
      <x:c r="A5" s="390" t="str">
        <x:v>bom_line_id</x:v>
      </x:c>
      <x:c r="B5" s="390" t="str">
        <x:v>commercial_node_id</x:v>
      </x:c>
      <x:c r="C5" s="390" t="str">
        <x:v>bom_root_key</x:v>
      </x:c>
      <x:c r="D5" s="390" t="str">
        <x:v>bom_root_label</x:v>
      </x:c>
      <x:c r="E5" s="390" t="str">
        <x:v>domain</x:v>
      </x:c>
      <x:c r="F5" s="390" t="str">
        <x:v>source_fact_count</x:v>
      </x:c>
      <x:c r="G5" s="390" t="str">
        <x:v>strict_standard_fact_count</x:v>
      </x:c>
      <x:c r="H5" s="390" t="str">
        <x:v>engineering_base_fact_count</x:v>
      </x:c>
      <x:c r="I5" s="390" t="str">
        <x:v>strict_root_cost_fact_count</x:v>
      </x:c>
      <x:c r="J5" s="390" t="str">
        <x:v>engineering_root_cost_fact_count</x:v>
      </x:c>
      <x:c r="K5" s="390" t="str">
        <x:v>support_or_metric_count</x:v>
      </x:c>
      <x:c r="L5" s="390" t="str">
        <x:v>boundary_status</x:v>
      </x:c>
      <x:c r="M5" s="390" t="str">
        <x:v>valuation_status</x:v>
      </x:c>
      <x:c r="N5" s="390" t="str">
        <x:v>anti_double_count_note</x:v>
      </x:c>
    </x:row>
    <x:row r="6" ht="46" customHeight="1">
      <x:c r="A6" s="19" t="str">
        <x:v>BOM31C-001</x:v>
      </x:c>
      <x:c r="B6" s="19" t="str">
        <x:v>PC-N70-MAX-CAND</x:v>
      </x:c>
      <x:c r="C6" s="19" t="str">
        <x:v>BOM_ADAS_STACK</x:v>
      </x:c>
      <x:c r="D6" s="19" t="str">
        <x:v>辅助驾驶系统</x:v>
      </x:c>
      <x:c r="E6" s="19" t="str">
        <x:v>ADAS</x:v>
      </x:c>
      <x:c r="F6" s="19" t="n">
        <x:f>COUNTIFS('58_事实边界裁定'!$C$6:$C$127,B6,'58_事实边界裁定'!$P$6:$P$127,C6)</x:f>
        <x:v>1</x:v>
      </x:c>
      <x:c r="G6" s="19" t="n">
        <x:f>COUNTIFS('58_事实边界裁定'!$C$6:$C$127,B6,'58_事实边界裁定'!$P$6:$P$127,C6,'58_事实边界裁定'!$J$6:$J$127,1)</x:f>
        <x:v>1</x:v>
      </x:c>
      <x:c r="H6" s="19" t="n">
        <x:f>COUNTIFS('58_事实边界裁定'!$C$6:$C$127,B6,'58_事实边界裁定'!$P$6:$P$127,C6,'58_事实边界裁定'!$K$6:$K$127,1)</x:f>
        <x:v>1</x:v>
      </x:c>
      <x:c r="I6" s="19" t="n">
        <x:f>COUNTIFS('58_事实边界裁定'!$C$6:$C$127,B6,'58_事实边界裁定'!$P$6:$P$127,C6,'58_事实边界裁定'!$L$6:$L$127,1)</x:f>
        <x:v>0</x:v>
      </x:c>
      <x:c r="J6" s="19" t="n">
        <x:f>COUNTIFS('58_事实边界裁定'!$C$6:$C$127,B6,'58_事实边界裁定'!$P$6:$P$127,C6,'58_事实边界裁定'!$M$6:$M$127,1)</x:f>
        <x:v>0</x:v>
      </x:c>
      <x:c r="K6" s="19" t="n">
        <x:f>COUNTIFS('58_事实边界裁定'!$C$6:$C$127,B6,'58_事实边界裁定'!$P$6:$P$127,C6)-J6</x:f>
        <x:v>1</x:v>
      </x:c>
      <x:c r="L6" s="19" t="str">
        <x:f>IF(I6&gt;0,"STRICT_RELEASE_ROOT",IF(J6&gt;0,"ENGINEERING_PROVISIONAL_ROOT",IF(H6&gt;0,"SYSTEM_OR_SUPPORT_NO_SEPARATE_COST","HOLD_OR_POOL")))</x:f>
        <x:v>SYSTEM_OR_SUPPORT_NO_SEPARATE_COST</x:v>
      </x:c>
      <x:c r="M6" s="19" t="str">
        <x:f>IF(I6&gt;0,"COST_RANGE_REQUIRED_3.2",IF(J6&gt;0,"PROVISIONAL_COST_RANGE_3.2","NO_SEPARATE_COST_LINE"))</x:f>
        <x:v>NO_SEPARATE_COST_LINE</x:v>
      </x:c>
      <x:c r="N6" s="19" t="str">
        <x:v>HAD/XLA/26项辅助/四合一域控共用系统根；不可拆成四套成本</x:v>
      </x:c>
    </x:row>
    <x:row r="7" ht="46" customHeight="1">
      <x:c r="A7" s="391" t="str">
        <x:v>BOM31C-002</x:v>
      </x:c>
      <x:c r="B7" s="391" t="str">
        <x:v>PC-N70-MAX-CAND</x:v>
      </x:c>
      <x:c r="C7" s="391" t="str">
        <x:v>BOM_AIR_SUSPENSION_CDC</x:v>
      </x:c>
      <x:c r="D7" s="391" t="str">
        <x:v>空气悬架与连续阻尼减振</x:v>
      </x:c>
      <x:c r="E7" s="391" t="str">
        <x:v>CHASSIS</x:v>
      </x:c>
      <x:c r="F7" s="391" t="n">
        <x:f>COUNTIFS('58_事实边界裁定'!$C$6:$C$127,B7,'58_事实边界裁定'!$P$6:$P$127,C7)</x:f>
        <x:v>2</x:v>
      </x:c>
      <x:c r="G7" s="391" t="n">
        <x:f>COUNTIFS('58_事实边界裁定'!$C$6:$C$127,B7,'58_事实边界裁定'!$P$6:$P$127,C7,'58_事实边界裁定'!$J$6:$J$127,1)</x:f>
        <x:v>2</x:v>
      </x:c>
      <x:c r="H7" s="391" t="n">
        <x:f>COUNTIFS('58_事实边界裁定'!$C$6:$C$127,B7,'58_事实边界裁定'!$P$6:$P$127,C7,'58_事实边界裁定'!$K$6:$K$127,1)</x:f>
        <x:v>2</x:v>
      </x:c>
      <x:c r="I7" s="391" t="n">
        <x:f>COUNTIFS('58_事实边界裁定'!$C$6:$C$127,B7,'58_事实边界裁定'!$P$6:$P$127,C7,'58_事实边界裁定'!$L$6:$L$127,1)</x:f>
        <x:v>1</x:v>
      </x:c>
      <x:c r="J7" s="391" t="n">
        <x:f>COUNTIFS('58_事实边界裁定'!$C$6:$C$127,B7,'58_事实边界裁定'!$P$6:$P$127,C7,'58_事实边界裁定'!$M$6:$M$127,1)</x:f>
        <x:v>1</x:v>
      </x:c>
      <x:c r="K7" s="391" t="n">
        <x:f>COUNTIFS('58_事实边界裁定'!$C$6:$C$127,B7,'58_事实边界裁定'!$P$6:$P$127,C7)-J7</x:f>
        <x:v>1</x:v>
      </x:c>
      <x:c r="L7" s="391" t="str">
        <x:f>IF(I7&gt;0,"STRICT_RELEASE_ROOT",IF(J7&gt;0,"ENGINEERING_PROVISIONAL_ROOT",IF(H7&gt;0,"SYSTEM_OR_SUPPORT_NO_SEPARATE_COST","HOLD_OR_POOL")))</x:f>
        <x:v>STRICT_RELEASE_ROOT</x:v>
      </x:c>
      <x:c r="M7" s="391" t="str">
        <x:f>IF(I7&gt;0,"COST_RANGE_REQUIRED_3.2",IF(J7&gt;0,"PROVISIONAL_COST_RANGE_3.2","NO_SEPARATE_COST_LINE"))</x:f>
        <x:v>COST_RANGE_REQUIRED_3.2</x:v>
      </x:c>
      <x:c r="N7" s="391" t="str">
        <x:v>空气弹簧与连续阻尼减振共用悬架根</x:v>
      </x:c>
    </x:row>
    <x:row r="8" ht="46" customHeight="1">
      <x:c r="A8" s="19" t="str">
        <x:v>BOM31C-003</x:v>
      </x:c>
      <x:c r="B8" s="19" t="str">
        <x:v>PC-N70-MAX-CAND</x:v>
      </x:c>
      <x:c r="C8" s="19" t="str">
        <x:v>BOM_AUDIO</x:v>
      </x:c>
      <x:c r="D8" s="19" t="str">
        <x:v>车载音响系统</x:v>
      </x:c>
      <x:c r="E8" s="19" t="str">
        <x:v>CABIN</x:v>
      </x:c>
      <x:c r="F8" s="19" t="n">
        <x:f>COUNTIFS('58_事实边界裁定'!$C$6:$C$127,B8,'58_事实边界裁定'!$P$6:$P$127,C8)</x:f>
        <x:v>1</x:v>
      </x:c>
      <x:c r="G8" s="19" t="n">
        <x:f>COUNTIFS('58_事实边界裁定'!$C$6:$C$127,B8,'58_事实边界裁定'!$P$6:$P$127,C8,'58_事实边界裁定'!$J$6:$J$127,1)</x:f>
        <x:v>0</x:v>
      </x:c>
      <x:c r="H8" s="19" t="n">
        <x:f>COUNTIFS('58_事实边界裁定'!$C$6:$C$127,B8,'58_事实边界裁定'!$P$6:$P$127,C8,'58_事实边界裁定'!$K$6:$K$127,1)</x:f>
        <x:v>0</x:v>
      </x:c>
      <x:c r="I8" s="19" t="n">
        <x:f>COUNTIFS('58_事实边界裁定'!$C$6:$C$127,B8,'58_事实边界裁定'!$P$6:$P$127,C8,'58_事实边界裁定'!$L$6:$L$127,1)</x:f>
        <x:v>0</x:v>
      </x:c>
      <x:c r="J8" s="19" t="n">
        <x:f>COUNTIFS('58_事实边界裁定'!$C$6:$C$127,B8,'58_事实边界裁定'!$P$6:$P$127,C8,'58_事实边界裁定'!$M$6:$M$127,1)</x:f>
        <x:v>0</x:v>
      </x:c>
      <x:c r="K8" s="19" t="n">
        <x:f>COUNTIFS('58_事实边界裁定'!$C$6:$C$127,B8,'58_事实边界裁定'!$P$6:$P$127,C8)-J8</x:f>
        <x:v>1</x:v>
      </x:c>
      <x:c r="L8" s="19" t="str">
        <x:f>IF(I8&gt;0,"STRICT_RELEASE_ROOT",IF(J8&gt;0,"ENGINEERING_PROVISIONAL_ROOT",IF(H8&gt;0,"SYSTEM_OR_SUPPORT_NO_SEPARATE_COST","HOLD_OR_POOL")))</x:f>
        <x:v>HOLD_OR_POOL</x:v>
      </x:c>
      <x:c r="M8" s="19" t="str">
        <x:f>IF(I8&gt;0,"COST_RANGE_REQUIRED_3.2",IF(J8&gt;0,"PROVISIONAL_COST_RANGE_3.2","NO_SEPARATE_COST_LINE"))</x:f>
        <x:v>NO_SEPARATE_COST_LINE</x:v>
      </x:c>
      <x:c r="N8" s="19" t="str">
        <x:v>同一节点+根键最多一个成本行</x:v>
      </x:c>
    </x:row>
    <x:row r="9" ht="46" customHeight="1">
      <x:c r="A9" s="391" t="str">
        <x:v>BOM31C-004</x:v>
      </x:c>
      <x:c r="B9" s="391" t="str">
        <x:v>PC-N70-MAX-CAND</x:v>
      </x:c>
      <x:c r="C9" s="391" t="str">
        <x:v>BOM_BATTERY_PACK</x:v>
      </x:c>
      <x:c r="D9" s="391" t="str">
        <x:v>动力电池包与高压系统</x:v>
      </x:c>
      <x:c r="E9" s="391" t="str">
        <x:v>ENERGY</x:v>
      </x:c>
      <x:c r="F9" s="391" t="n">
        <x:f>COUNTIFS('58_事实边界裁定'!$C$6:$C$127,B9,'58_事实边界裁定'!$P$6:$P$127,C9)</x:f>
        <x:v>6</x:v>
      </x:c>
      <x:c r="G9" s="391" t="n">
        <x:f>COUNTIFS('58_事实边界裁定'!$C$6:$C$127,B9,'58_事实边界裁定'!$P$6:$P$127,C9,'58_事实边界裁定'!$J$6:$J$127,1)</x:f>
        <x:v>1</x:v>
      </x:c>
      <x:c r="H9" s="391" t="n">
        <x:f>COUNTIFS('58_事实边界裁定'!$C$6:$C$127,B9,'58_事实边界裁定'!$P$6:$P$127,C9,'58_事实边界裁定'!$K$6:$K$127,1)</x:f>
        <x:v>4</x:v>
      </x:c>
      <x:c r="I9" s="391" t="n">
        <x:f>COUNTIFS('58_事实边界裁定'!$C$6:$C$127,B9,'58_事实边界裁定'!$P$6:$P$127,C9,'58_事实边界裁定'!$L$6:$L$127,1)</x:f>
        <x:v>0</x:v>
      </x:c>
      <x:c r="J9" s="391" t="n">
        <x:f>COUNTIFS('58_事实边界裁定'!$C$6:$C$127,B9,'58_事实边界裁定'!$P$6:$P$127,C9,'58_事实边界裁定'!$M$6:$M$127,1)</x:f>
        <x:v>0</x:v>
      </x:c>
      <x:c r="K9" s="391" t="n">
        <x:f>COUNTIFS('58_事实边界裁定'!$C$6:$C$127,B9,'58_事实边界裁定'!$P$6:$P$127,C9)-J9</x:f>
        <x:v>6</x:v>
      </x:c>
      <x:c r="L9" s="391" t="str">
        <x:f>IF(I9&gt;0,"STRICT_RELEASE_ROOT",IF(J9&gt;0,"ENGINEERING_PROVISIONAL_ROOT",IF(H9&gt;0,"SYSTEM_OR_SUPPORT_NO_SEPARATE_COST","HOLD_OR_POOL")))</x:f>
        <x:v>SYSTEM_OR_SUPPORT_NO_SEPARATE_COST</x:v>
      </x:c>
      <x:c r="M9" s="391" t="str">
        <x:f>IF(I9&gt;0,"COST_RANGE_REQUIRED_3.2",IF(J9&gt;0,"PROVISIONAL_COST_RANGE_3.2","NO_SEPARATE_COST_LINE"))</x:f>
        <x:v>NO_SEPARATE_COST_LINE</x:v>
      </x:c>
      <x:c r="N9" s="391" t="str">
        <x:v>电池容量、化学体系、续航、补能与安全指标共用电池根</x:v>
      </x:c>
    </x:row>
    <x:row r="10" ht="46" customHeight="1">
      <x:c r="A10" s="19" t="str">
        <x:v>BOM31C-005</x:v>
      </x:c>
      <x:c r="B10" s="19" t="str">
        <x:v>PC-N70-MAX-CAND</x:v>
      </x:c>
      <x:c r="C10" s="19" t="str">
        <x:v>BOM_BODY_SAFETY</x:v>
      </x:c>
      <x:c r="D10" s="19" t="str">
        <x:v>白车身安全结构</x:v>
      </x:c>
      <x:c r="E10" s="19" t="str">
        <x:v>BODY_SAFETY</x:v>
      </x:c>
      <x:c r="F10" s="19" t="n">
        <x:f>COUNTIFS('58_事实边界裁定'!$C$6:$C$127,B10,'58_事实边界裁定'!$P$6:$P$127,C10)</x:f>
        <x:v>1</x:v>
      </x:c>
      <x:c r="G10" s="19" t="n">
        <x:f>COUNTIFS('58_事实边界裁定'!$C$6:$C$127,B10,'58_事实边界裁定'!$P$6:$P$127,C10,'58_事实边界裁定'!$J$6:$J$127,1)</x:f>
        <x:v>1</x:v>
      </x:c>
      <x:c r="H10" s="19" t="n">
        <x:f>COUNTIFS('58_事实边界裁定'!$C$6:$C$127,B10,'58_事实边界裁定'!$P$6:$P$127,C10,'58_事实边界裁定'!$K$6:$K$127,1)</x:f>
        <x:v>1</x:v>
      </x:c>
      <x:c r="I10" s="19" t="n">
        <x:f>COUNTIFS('58_事实边界裁定'!$C$6:$C$127,B10,'58_事实边界裁定'!$P$6:$P$127,C10,'58_事实边界裁定'!$L$6:$L$127,1)</x:f>
        <x:v>1</x:v>
      </x:c>
      <x:c r="J10" s="19" t="n">
        <x:f>COUNTIFS('58_事实边界裁定'!$C$6:$C$127,B10,'58_事实边界裁定'!$P$6:$P$127,C10,'58_事实边界裁定'!$M$6:$M$127,1)</x:f>
        <x:v>1</x:v>
      </x:c>
      <x:c r="K10" s="19" t="n">
        <x:f>COUNTIFS('58_事实边界裁定'!$C$6:$C$127,B10,'58_事实边界裁定'!$P$6:$P$127,C10)-J10</x:f>
        <x:v>0</x:v>
      </x:c>
      <x:c r="L10" s="19" t="str">
        <x:f>IF(I10&gt;0,"STRICT_RELEASE_ROOT",IF(J10&gt;0,"ENGINEERING_PROVISIONAL_ROOT",IF(H10&gt;0,"SYSTEM_OR_SUPPORT_NO_SEPARATE_COST","HOLD_OR_POOL")))</x:f>
        <x:v>STRICT_RELEASE_ROOT</x:v>
      </x:c>
      <x:c r="M10" s="19" t="str">
        <x:f>IF(I10&gt;0,"COST_RANGE_REQUIRED_3.2",IF(J10&gt;0,"PROVISIONAL_COST_RANGE_3.2","NO_SEPARATE_COST_LINE"))</x:f>
        <x:v>COST_RANGE_REQUIRED_3.2</x:v>
      </x:c>
      <x:c r="N10" s="19" t="str">
        <x:v>同一节点+根键最多一个成本行</x:v>
      </x:c>
    </x:row>
    <x:row r="11" ht="46" customHeight="1">
      <x:c r="A11" s="391" t="str">
        <x:v>BOM31C-006</x:v>
      </x:c>
      <x:c r="B11" s="391" t="str">
        <x:v>PC-N70-MAX-CAND</x:v>
      </x:c>
      <x:c r="C11" s="391" t="str">
        <x:v>BOM_BODY_SPACE_GEOMETRY</x:v>
      </x:c>
      <x:c r="D11" s="391" t="str">
        <x:v>车身空间与地板滑轨</x:v>
      </x:c>
      <x:c r="E11" s="391" t="str">
        <x:v>BODY_SPACE</x:v>
      </x:c>
      <x:c r="F11" s="391" t="n">
        <x:f>COUNTIFS('58_事实边界裁定'!$C$6:$C$127,B11,'58_事实边界裁定'!$P$6:$P$127,C11)</x:f>
        <x:v>3</x:v>
      </x:c>
      <x:c r="G11" s="391" t="n">
        <x:f>COUNTIFS('58_事实边界裁定'!$C$6:$C$127,B11,'58_事实边界裁定'!$P$6:$P$127,C11,'58_事实边界裁定'!$J$6:$J$127,1)</x:f>
        <x:v>0</x:v>
      </x:c>
      <x:c r="H11" s="391" t="n">
        <x:f>COUNTIFS('58_事实边界裁定'!$C$6:$C$127,B11,'58_事实边界裁定'!$P$6:$P$127,C11,'58_事实边界裁定'!$K$6:$K$127,1)</x:f>
        <x:v>0</x:v>
      </x:c>
      <x:c r="I11" s="391" t="n">
        <x:f>COUNTIFS('58_事实边界裁定'!$C$6:$C$127,B11,'58_事实边界裁定'!$P$6:$P$127,C11,'58_事实边界裁定'!$L$6:$L$127,1)</x:f>
        <x:v>0</x:v>
      </x:c>
      <x:c r="J11" s="391" t="n">
        <x:f>COUNTIFS('58_事实边界裁定'!$C$6:$C$127,B11,'58_事实边界裁定'!$P$6:$P$127,C11,'58_事实边界裁定'!$M$6:$M$127,1)</x:f>
        <x:v>0</x:v>
      </x:c>
      <x:c r="K11" s="391" t="n">
        <x:f>COUNTIFS('58_事实边界裁定'!$C$6:$C$127,B11,'58_事实边界裁定'!$P$6:$P$127,C11)-J11</x:f>
        <x:v>3</x:v>
      </x:c>
      <x:c r="L11" s="391" t="str">
        <x:f>IF(I11&gt;0,"STRICT_RELEASE_ROOT",IF(J11&gt;0,"ENGINEERING_PROVISIONAL_ROOT",IF(H11&gt;0,"SYSTEM_OR_SUPPORT_NO_SEPARATE_COST","HOLD_OR_POOL")))</x:f>
        <x:v>HOLD_OR_POOL</x:v>
      </x:c>
      <x:c r="M11" s="391" t="str">
        <x:f>IF(I11&gt;0,"COST_RANGE_REQUIRED_3.2",IF(J11&gt;0,"PROVISIONAL_COST_RANGE_3.2","NO_SEPARATE_COST_LINE"))</x:f>
        <x:v>NO_SEPARATE_COST_LINE</x:v>
      </x:c>
      <x:c r="N11" s="391" t="str">
        <x:v>同一节点+根键最多一个成本行</x:v>
      </x:c>
    </x:row>
    <x:row r="12" ht="46" customHeight="1">
      <x:c r="A12" s="19" t="str">
        <x:v>BOM31C-007</x:v>
      </x:c>
      <x:c r="B12" s="19" t="str">
        <x:v>PC-N70-MAX-CAND</x:v>
      </x:c>
      <x:c r="C12" s="19" t="str">
        <x:v>BOM_BRAKING</x:v>
      </x:c>
      <x:c r="D12" s="19" t="str">
        <x:v>制动系统</x:v>
      </x:c>
      <x:c r="E12" s="19" t="str">
        <x:v>CHASSIS</x:v>
      </x:c>
      <x:c r="F12" s="19" t="n">
        <x:f>COUNTIFS('58_事实边界裁定'!$C$6:$C$127,B12,'58_事实边界裁定'!$P$6:$P$127,C12)</x:f>
        <x:v>1</x:v>
      </x:c>
      <x:c r="G12" s="19" t="n">
        <x:f>COUNTIFS('58_事实边界裁定'!$C$6:$C$127,B12,'58_事实边界裁定'!$P$6:$P$127,C12,'58_事实边界裁定'!$J$6:$J$127,1)</x:f>
        <x:v>0</x:v>
      </x:c>
      <x:c r="H12" s="19" t="n">
        <x:f>COUNTIFS('58_事实边界裁定'!$C$6:$C$127,B12,'58_事实边界裁定'!$P$6:$P$127,C12,'58_事实边界裁定'!$K$6:$K$127,1)</x:f>
        <x:v>0</x:v>
      </x:c>
      <x:c r="I12" s="19" t="n">
        <x:f>COUNTIFS('58_事实边界裁定'!$C$6:$C$127,B12,'58_事实边界裁定'!$P$6:$P$127,C12,'58_事实边界裁定'!$L$6:$L$127,1)</x:f>
        <x:v>0</x:v>
      </x:c>
      <x:c r="J12" s="19" t="n">
        <x:f>COUNTIFS('58_事实边界裁定'!$C$6:$C$127,B12,'58_事实边界裁定'!$P$6:$P$127,C12,'58_事实边界裁定'!$M$6:$M$127,1)</x:f>
        <x:v>0</x:v>
      </x:c>
      <x:c r="K12" s="19" t="n">
        <x:f>COUNTIFS('58_事实边界裁定'!$C$6:$C$127,B12,'58_事实边界裁定'!$P$6:$P$127,C12)-J12</x:f>
        <x:v>1</x:v>
      </x:c>
      <x:c r="L12" s="19" t="str">
        <x:f>IF(I12&gt;0,"STRICT_RELEASE_ROOT",IF(J12&gt;0,"ENGINEERING_PROVISIONAL_ROOT",IF(H12&gt;0,"SYSTEM_OR_SUPPORT_NO_SEPARATE_COST","HOLD_OR_POOL")))</x:f>
        <x:v>HOLD_OR_POOL</x:v>
      </x:c>
      <x:c r="M12" s="19" t="str">
        <x:f>IF(I12&gt;0,"COST_RANGE_REQUIRED_3.2",IF(J12&gt;0,"PROVISIONAL_COST_RANGE_3.2","NO_SEPARATE_COST_LINE"))</x:f>
        <x:v>NO_SEPARATE_COST_LINE</x:v>
      </x:c>
      <x:c r="N12" s="19" t="str">
        <x:v>同一节点+根键最多一个成本行</x:v>
      </x:c>
    </x:row>
    <x:row r="13" ht="46" customHeight="1">
      <x:c r="A13" s="391" t="str">
        <x:v>BOM31C-008</x:v>
      </x:c>
      <x:c r="B13" s="391" t="str">
        <x:v>PC-N70-MAX-CAND</x:v>
      </x:c>
      <x:c r="C13" s="391" t="str">
        <x:v>BOM_CHASSIS_ARCH</x:v>
      </x:c>
      <x:c r="D13" s="391" t="str">
        <x:v>基础悬架结构</x:v>
      </x:c>
      <x:c r="E13" s="391" t="str">
        <x:v>CHASSIS</x:v>
      </x:c>
      <x:c r="F13" s="391" t="n">
        <x:f>COUNTIFS('58_事实边界裁定'!$C$6:$C$127,B13,'58_事实边界裁定'!$P$6:$P$127,C13)</x:f>
        <x:v>1</x:v>
      </x:c>
      <x:c r="G13" s="391" t="n">
        <x:f>COUNTIFS('58_事实边界裁定'!$C$6:$C$127,B13,'58_事实边界裁定'!$P$6:$P$127,C13,'58_事实边界裁定'!$J$6:$J$127,1)</x:f>
        <x:v>0</x:v>
      </x:c>
      <x:c r="H13" s="391" t="n">
        <x:f>COUNTIFS('58_事实边界裁定'!$C$6:$C$127,B13,'58_事实边界裁定'!$P$6:$P$127,C13,'58_事实边界裁定'!$K$6:$K$127,1)</x:f>
        <x:v>0</x:v>
      </x:c>
      <x:c r="I13" s="391" t="n">
        <x:f>COUNTIFS('58_事实边界裁定'!$C$6:$C$127,B13,'58_事实边界裁定'!$P$6:$P$127,C13,'58_事实边界裁定'!$L$6:$L$127,1)</x:f>
        <x:v>0</x:v>
      </x:c>
      <x:c r="J13" s="391" t="n">
        <x:f>COUNTIFS('58_事实边界裁定'!$C$6:$C$127,B13,'58_事实边界裁定'!$P$6:$P$127,C13,'58_事实边界裁定'!$M$6:$M$127,1)</x:f>
        <x:v>0</x:v>
      </x:c>
      <x:c r="K13" s="391" t="n">
        <x:f>COUNTIFS('58_事实边界裁定'!$C$6:$C$127,B13,'58_事实边界裁定'!$P$6:$P$127,C13)-J13</x:f>
        <x:v>1</x:v>
      </x:c>
      <x:c r="L13" s="391" t="str">
        <x:f>IF(I13&gt;0,"STRICT_RELEASE_ROOT",IF(J13&gt;0,"ENGINEERING_PROVISIONAL_ROOT",IF(H13&gt;0,"SYSTEM_OR_SUPPORT_NO_SEPARATE_COST","HOLD_OR_POOL")))</x:f>
        <x:v>HOLD_OR_POOL</x:v>
      </x:c>
      <x:c r="M13" s="391" t="str">
        <x:f>IF(I13&gt;0,"COST_RANGE_REQUIRED_3.2",IF(J13&gt;0,"PROVISIONAL_COST_RANGE_3.2","NO_SEPARATE_COST_LINE"))</x:f>
        <x:v>NO_SEPARATE_COST_LINE</x:v>
      </x:c>
      <x:c r="N13" s="391" t="str">
        <x:v>同一节点+根键最多一个成本行</x:v>
      </x:c>
    </x:row>
    <x:row r="14" ht="46" customHeight="1">
      <x:c r="A14" s="19" t="str">
        <x:v>BOM31C-009</x:v>
      </x:c>
      <x:c r="B14" s="19" t="str">
        <x:v>PC-N70-MAX-CAND</x:v>
      </x:c>
      <x:c r="C14" s="19" t="str">
        <x:v>BOM_E_DRIVE</x:v>
      </x:c>
      <x:c r="D14" s="19" t="str">
        <x:v>双电机四驱电驱总成</x:v>
      </x:c>
      <x:c r="E14" s="19" t="str">
        <x:v>POWERTRAIN</x:v>
      </x:c>
      <x:c r="F14" s="19" t="n">
        <x:f>COUNTIFS('58_事实边界裁定'!$C$6:$C$127,B14,'58_事实边界裁定'!$P$6:$P$127,C14)</x:f>
        <x:v>5</x:v>
      </x:c>
      <x:c r="G14" s="19" t="n">
        <x:f>COUNTIFS('58_事实边界裁定'!$C$6:$C$127,B14,'58_事实边界裁定'!$P$6:$P$127,C14,'58_事实边界裁定'!$J$6:$J$127,1)</x:f>
        <x:v>0</x:v>
      </x:c>
      <x:c r="H14" s="19" t="n">
        <x:f>COUNTIFS('58_事实边界裁定'!$C$6:$C$127,B14,'58_事实边界裁定'!$P$6:$P$127,C14,'58_事实边界裁定'!$K$6:$K$127,1)</x:f>
        <x:v>3</x:v>
      </x:c>
      <x:c r="I14" s="19" t="n">
        <x:f>COUNTIFS('58_事实边界裁定'!$C$6:$C$127,B14,'58_事实边界裁定'!$P$6:$P$127,C14,'58_事实边界裁定'!$L$6:$L$127,1)</x:f>
        <x:v>0</x:v>
      </x:c>
      <x:c r="J14" s="19" t="n">
        <x:f>COUNTIFS('58_事实边界裁定'!$C$6:$C$127,B14,'58_事实边界裁定'!$P$6:$P$127,C14,'58_事实边界裁定'!$M$6:$M$127,1)</x:f>
        <x:v>1</x:v>
      </x:c>
      <x:c r="K14" s="19" t="n">
        <x:f>COUNTIFS('58_事实边界裁定'!$C$6:$C$127,B14,'58_事实边界裁定'!$P$6:$P$127,C14)-J14</x:f>
        <x:v>4</x:v>
      </x:c>
      <x:c r="L14" s="19" t="str">
        <x:f>IF(I14&gt;0,"STRICT_RELEASE_ROOT",IF(J14&gt;0,"ENGINEERING_PROVISIONAL_ROOT",IF(H14&gt;0,"SYSTEM_OR_SUPPORT_NO_SEPARATE_COST","HOLD_OR_POOL")))</x:f>
        <x:v>ENGINEERING_PROVISIONAL_ROOT</x:v>
      </x:c>
      <x:c r="M14" s="19" t="str">
        <x:f>IF(I14&gt;0,"COST_RANGE_REQUIRED_3.2",IF(J14&gt;0,"PROVISIONAL_COST_RANGE_3.2","NO_SEPARATE_COST_LINE"))</x:f>
        <x:v>PROVISIONAL_COST_RANGE_3.2</x:v>
      </x:c>
      <x:c r="N14" s="19" t="str">
        <x:v>同一节点+根键最多一个成本行</x:v>
      </x:c>
    </x:row>
    <x:row r="15" ht="46" customHeight="1">
      <x:c r="A15" s="391" t="str">
        <x:v>BOM31C-010</x:v>
      </x:c>
      <x:c r="B15" s="391" t="str">
        <x:v>PC-N70-MAX-CAND</x:v>
      </x:c>
      <x:c r="C15" s="391" t="str">
        <x:v>BOM_FRIDGE</x:v>
      </x:c>
      <x:c r="D15" s="391" t="str">
        <x:v>车载冰箱</x:v>
      </x:c>
      <x:c r="E15" s="391" t="str">
        <x:v>CABIN</x:v>
      </x:c>
      <x:c r="F15" s="391" t="n">
        <x:f>COUNTIFS('58_事实边界裁定'!$C$6:$C$127,B15,'58_事实边界裁定'!$P$6:$P$127,C15)</x:f>
        <x:v>1</x:v>
      </x:c>
      <x:c r="G15" s="391" t="n">
        <x:f>COUNTIFS('58_事实边界裁定'!$C$6:$C$127,B15,'58_事实边界裁定'!$P$6:$P$127,C15,'58_事实边界裁定'!$J$6:$J$127,1)</x:f>
        <x:v>0</x:v>
      </x:c>
      <x:c r="H15" s="391" t="n">
        <x:f>COUNTIFS('58_事实边界裁定'!$C$6:$C$127,B15,'58_事实边界裁定'!$P$6:$P$127,C15,'58_事实边界裁定'!$K$6:$K$127,1)</x:f>
        <x:v>0</x:v>
      </x:c>
      <x:c r="I15" s="391" t="n">
        <x:f>COUNTIFS('58_事实边界裁定'!$C$6:$C$127,B15,'58_事实边界裁定'!$P$6:$P$127,C15,'58_事实边界裁定'!$L$6:$L$127,1)</x:f>
        <x:v>0</x:v>
      </x:c>
      <x:c r="J15" s="391" t="n">
        <x:f>COUNTIFS('58_事实边界裁定'!$C$6:$C$127,B15,'58_事实边界裁定'!$P$6:$P$127,C15,'58_事实边界裁定'!$M$6:$M$127,1)</x:f>
        <x:v>0</x:v>
      </x:c>
      <x:c r="K15" s="391" t="n">
        <x:f>COUNTIFS('58_事实边界裁定'!$C$6:$C$127,B15,'58_事实边界裁定'!$P$6:$P$127,C15)-J15</x:f>
        <x:v>1</x:v>
      </x:c>
      <x:c r="L15" s="391" t="str">
        <x:f>IF(I15&gt;0,"STRICT_RELEASE_ROOT",IF(J15&gt;0,"ENGINEERING_PROVISIONAL_ROOT",IF(H15&gt;0,"SYSTEM_OR_SUPPORT_NO_SEPARATE_COST","HOLD_OR_POOL")))</x:f>
        <x:v>HOLD_OR_POOL</x:v>
      </x:c>
      <x:c r="M15" s="391" t="str">
        <x:f>IF(I15&gt;0,"COST_RANGE_REQUIRED_3.2",IF(J15&gt;0,"PROVISIONAL_COST_RANGE_3.2","NO_SEPARATE_COST_LINE"))</x:f>
        <x:v>NO_SEPARATE_COST_LINE</x:v>
      </x:c>
      <x:c r="N15" s="391" t="str">
        <x:v>同一节点+根键最多一个成本行</x:v>
      </x:c>
    </x:row>
    <x:row r="16" ht="46" customHeight="1">
      <x:c r="A16" s="19" t="str">
        <x:v>BOM31C-011</x:v>
      </x:c>
      <x:c r="B16" s="19" t="str">
        <x:v>PC-N70-MAX-CAND</x:v>
      </x:c>
      <x:c r="C16" s="19" t="str">
        <x:v>BOM_FRONT_SWIVEL_SEAT</x:v>
      </x:c>
      <x:c r="D16" s="19" t="str">
        <x:v>前排旋转座椅机构</x:v>
      </x:c>
      <x:c r="E16" s="19" t="str">
        <x:v>COMFORT</x:v>
      </x:c>
      <x:c r="F16" s="19" t="n">
        <x:f>COUNTIFS('58_事实边界裁定'!$C$6:$C$127,B16,'58_事实边界裁定'!$P$6:$P$127,C16)</x:f>
        <x:v>1</x:v>
      </x:c>
      <x:c r="G16" s="19" t="n">
        <x:f>COUNTIFS('58_事实边界裁定'!$C$6:$C$127,B16,'58_事实边界裁定'!$P$6:$P$127,C16,'58_事实边界裁定'!$J$6:$J$127,1)</x:f>
        <x:v>0</x:v>
      </x:c>
      <x:c r="H16" s="19" t="n">
        <x:f>COUNTIFS('58_事实边界裁定'!$C$6:$C$127,B16,'58_事实边界裁定'!$P$6:$P$127,C16,'58_事实边界裁定'!$K$6:$K$127,1)</x:f>
        <x:v>0</x:v>
      </x:c>
      <x:c r="I16" s="19" t="n">
        <x:f>COUNTIFS('58_事实边界裁定'!$C$6:$C$127,B16,'58_事实边界裁定'!$P$6:$P$127,C16,'58_事实边界裁定'!$L$6:$L$127,1)</x:f>
        <x:v>0</x:v>
      </x:c>
      <x:c r="J16" s="19" t="n">
        <x:f>COUNTIFS('58_事实边界裁定'!$C$6:$C$127,B16,'58_事实边界裁定'!$P$6:$P$127,C16,'58_事实边界裁定'!$M$6:$M$127,1)</x:f>
        <x:v>0</x:v>
      </x:c>
      <x:c r="K16" s="19" t="n">
        <x:f>COUNTIFS('58_事实边界裁定'!$C$6:$C$127,B16,'58_事实边界裁定'!$P$6:$P$127,C16)-J16</x:f>
        <x:v>1</x:v>
      </x:c>
      <x:c r="L16" s="19" t="str">
        <x:f>IF(I16&gt;0,"STRICT_RELEASE_ROOT",IF(J16&gt;0,"ENGINEERING_PROVISIONAL_ROOT",IF(H16&gt;0,"SYSTEM_OR_SUPPORT_NO_SEPARATE_COST","HOLD_OR_POOL")))</x:f>
        <x:v>HOLD_OR_POOL</x:v>
      </x:c>
      <x:c r="M16" s="19" t="str">
        <x:f>IF(I16&gt;0,"COST_RANGE_REQUIRED_3.2",IF(J16&gt;0,"PROVISIONAL_COST_RANGE_3.2","NO_SEPARATE_COST_LINE"))</x:f>
        <x:v>NO_SEPARATE_COST_LINE</x:v>
      </x:c>
      <x:c r="N16" s="19" t="str">
        <x:v>同一节点+根键最多一个成本行</x:v>
      </x:c>
    </x:row>
    <x:row r="17" ht="46" customHeight="1">
      <x:c r="A17" s="391" t="str">
        <x:v>BOM31C-012</x:v>
      </x:c>
      <x:c r="B17" s="391" t="str">
        <x:v>PC-N70-MAX-CAND</x:v>
      </x:c>
      <x:c r="C17" s="391" t="str">
        <x:v>BOM_RANGE_EXTENDER_EFFICIENCY</x:v>
      </x:c>
      <x:c r="D17" s="391" t="str">
        <x:v>增程能耗与燃油适应性</x:v>
      </x:c>
      <x:c r="E17" s="391" t="str">
        <x:v>ENERGY</x:v>
      </x:c>
      <x:c r="F17" s="391" t="n">
        <x:f>COUNTIFS('58_事实边界裁定'!$C$6:$C$127,B17,'58_事实边界裁定'!$P$6:$P$127,C17)</x:f>
        <x:v>1</x:v>
      </x:c>
      <x:c r="G17" s="391" t="n">
        <x:f>COUNTIFS('58_事实边界裁定'!$C$6:$C$127,B17,'58_事实边界裁定'!$P$6:$P$127,C17,'58_事实边界裁定'!$J$6:$J$127,1)</x:f>
        <x:v>0</x:v>
      </x:c>
      <x:c r="H17" s="391" t="n">
        <x:f>COUNTIFS('58_事实边界裁定'!$C$6:$C$127,B17,'58_事实边界裁定'!$P$6:$P$127,C17,'58_事实边界裁定'!$K$6:$K$127,1)</x:f>
        <x:v>1</x:v>
      </x:c>
      <x:c r="I17" s="391" t="n">
        <x:f>COUNTIFS('58_事实边界裁定'!$C$6:$C$127,B17,'58_事实边界裁定'!$P$6:$P$127,C17,'58_事实边界裁定'!$L$6:$L$127,1)</x:f>
        <x:v>0</x:v>
      </x:c>
      <x:c r="J17" s="391" t="n">
        <x:f>COUNTIFS('58_事实边界裁定'!$C$6:$C$127,B17,'58_事实边界裁定'!$P$6:$P$127,C17,'58_事实边界裁定'!$M$6:$M$127,1)</x:f>
        <x:v>0</x:v>
      </x:c>
      <x:c r="K17" s="391" t="n">
        <x:f>COUNTIFS('58_事实边界裁定'!$C$6:$C$127,B17,'58_事实边界裁定'!$P$6:$P$127,C17)-J17</x:f>
        <x:v>1</x:v>
      </x:c>
      <x:c r="L17" s="391" t="str">
        <x:f>IF(I17&gt;0,"STRICT_RELEASE_ROOT",IF(J17&gt;0,"ENGINEERING_PROVISIONAL_ROOT",IF(H17&gt;0,"SYSTEM_OR_SUPPORT_NO_SEPARATE_COST","HOLD_OR_POOL")))</x:f>
        <x:v>SYSTEM_OR_SUPPORT_NO_SEPARATE_COST</x:v>
      </x:c>
      <x:c r="M17" s="391" t="str">
        <x:f>IF(I17&gt;0,"COST_RANGE_REQUIRED_3.2",IF(J17&gt;0,"PROVISIONAL_COST_RANGE_3.2","NO_SEPARATE_COST_LINE"))</x:f>
        <x:v>NO_SEPARATE_COST_LINE</x:v>
      </x:c>
      <x:c r="N17" s="391" t="str">
        <x:v>同一节点+根键最多一个成本行</x:v>
      </x:c>
    </x:row>
    <x:row r="18" ht="46" customHeight="1">
      <x:c r="A18" s="19" t="str">
        <x:v>BOM31C-013</x:v>
      </x:c>
      <x:c r="B18" s="19" t="str">
        <x:v>PC-N70-MAX-CAND</x:v>
      </x:c>
      <x:c r="C18" s="19" t="str">
        <x:v>BOM_REAR_LIDAR</x:v>
      </x:c>
      <x:c r="D18" s="19" t="str">
        <x:v>后向固态激光雷达</x:v>
      </x:c>
      <x:c r="E18" s="19" t="str">
        <x:v>ADAS</x:v>
      </x:c>
      <x:c r="F18" s="19" t="n">
        <x:f>COUNTIFS('58_事实边界裁定'!$C$6:$C$127,B18,'58_事实边界裁定'!$P$6:$P$127,C18)</x:f>
        <x:v>1</x:v>
      </x:c>
      <x:c r="G18" s="19" t="n">
        <x:f>COUNTIFS('58_事实边界裁定'!$C$6:$C$127,B18,'58_事实边界裁定'!$P$6:$P$127,C18,'58_事实边界裁定'!$J$6:$J$127,1)</x:f>
        <x:v>0</x:v>
      </x:c>
      <x:c r="H18" s="19" t="n">
        <x:f>COUNTIFS('58_事实边界裁定'!$C$6:$C$127,B18,'58_事实边界裁定'!$P$6:$P$127,C18,'58_事实边界裁定'!$K$6:$K$127,1)</x:f>
        <x:v>0</x:v>
      </x:c>
      <x:c r="I18" s="19" t="n">
        <x:f>COUNTIFS('58_事实边界裁定'!$C$6:$C$127,B18,'58_事实边界裁定'!$P$6:$P$127,C18,'58_事实边界裁定'!$L$6:$L$127,1)</x:f>
        <x:v>0</x:v>
      </x:c>
      <x:c r="J18" s="19" t="n">
        <x:f>COUNTIFS('58_事实边界裁定'!$C$6:$C$127,B18,'58_事实边界裁定'!$P$6:$P$127,C18,'58_事实边界裁定'!$M$6:$M$127,1)</x:f>
        <x:v>0</x:v>
      </x:c>
      <x:c r="K18" s="19" t="n">
        <x:f>COUNTIFS('58_事实边界裁定'!$C$6:$C$127,B18,'58_事实边界裁定'!$P$6:$P$127,C18)-J18</x:f>
        <x:v>1</x:v>
      </x:c>
      <x:c r="L18" s="19" t="str">
        <x:f>IF(I18&gt;0,"STRICT_RELEASE_ROOT",IF(J18&gt;0,"ENGINEERING_PROVISIONAL_ROOT",IF(H18&gt;0,"SYSTEM_OR_SUPPORT_NO_SEPARATE_COST","HOLD_OR_POOL")))</x:f>
        <x:v>HOLD_OR_POOL</x:v>
      </x:c>
      <x:c r="M18" s="19" t="str">
        <x:f>IF(I18&gt;0,"COST_RANGE_REQUIRED_3.2",IF(J18&gt;0,"PROVISIONAL_COST_RANGE_3.2","NO_SEPARATE_COST_LINE"))</x:f>
        <x:v>NO_SEPARATE_COST_LINE</x:v>
      </x:c>
      <x:c r="N18" s="19" t="str">
        <x:v>同一节点+根键最多一个成本行</x:v>
      </x:c>
    </x:row>
    <x:row r="19" ht="46" customHeight="1">
      <x:c r="A19" s="391" t="str">
        <x:v>BOM31C-014</x:v>
      </x:c>
      <x:c r="B19" s="391" t="str">
        <x:v>PC-N70-MAX-CAND</x:v>
      </x:c>
      <x:c r="C19" s="391" t="str">
        <x:v>BOM_REAR_SCREEN</x:v>
      </x:c>
      <x:c r="D19" s="391" t="str">
        <x:v>后排娱乐屏</x:v>
      </x:c>
      <x:c r="E19" s="391" t="str">
        <x:v>CABIN</x:v>
      </x:c>
      <x:c r="F19" s="391" t="n">
        <x:f>COUNTIFS('58_事实边界裁定'!$C$6:$C$127,B19,'58_事实边界裁定'!$P$6:$P$127,C19)</x:f>
        <x:v>1</x:v>
      </x:c>
      <x:c r="G19" s="391" t="n">
        <x:f>COUNTIFS('58_事实边界裁定'!$C$6:$C$127,B19,'58_事实边界裁定'!$P$6:$P$127,C19,'58_事实边界裁定'!$J$6:$J$127,1)</x:f>
        <x:v>0</x:v>
      </x:c>
      <x:c r="H19" s="391" t="n">
        <x:f>COUNTIFS('58_事实边界裁定'!$C$6:$C$127,B19,'58_事实边界裁定'!$P$6:$P$127,C19,'58_事实边界裁定'!$K$6:$K$127,1)</x:f>
        <x:v>0</x:v>
      </x:c>
      <x:c r="I19" s="391" t="n">
        <x:f>COUNTIFS('58_事实边界裁定'!$C$6:$C$127,B19,'58_事实边界裁定'!$P$6:$P$127,C19,'58_事实边界裁定'!$L$6:$L$127,1)</x:f>
        <x:v>0</x:v>
      </x:c>
      <x:c r="J19" s="391" t="n">
        <x:f>COUNTIFS('58_事实边界裁定'!$C$6:$C$127,B19,'58_事实边界裁定'!$P$6:$P$127,C19,'58_事实边界裁定'!$M$6:$M$127,1)</x:f>
        <x:v>0</x:v>
      </x:c>
      <x:c r="K19" s="391" t="n">
        <x:f>COUNTIFS('58_事实边界裁定'!$C$6:$C$127,B19,'58_事实边界裁定'!$P$6:$P$127,C19)-J19</x:f>
        <x:v>1</x:v>
      </x:c>
      <x:c r="L19" s="391" t="str">
        <x:f>IF(I19&gt;0,"STRICT_RELEASE_ROOT",IF(J19&gt;0,"ENGINEERING_PROVISIONAL_ROOT",IF(H19&gt;0,"SYSTEM_OR_SUPPORT_NO_SEPARATE_COST","HOLD_OR_POOL")))</x:f>
        <x:v>HOLD_OR_POOL</x:v>
      </x:c>
      <x:c r="M19" s="391" t="str">
        <x:f>IF(I19&gt;0,"COST_RANGE_REQUIRED_3.2",IF(J19&gt;0,"PROVISIONAL_COST_RANGE_3.2","NO_SEPARATE_COST_LINE"))</x:f>
        <x:v>NO_SEPARATE_COST_LINE</x:v>
      </x:c>
      <x:c r="N19" s="391" t="str">
        <x:v>同一节点+根键最多一个成本行</x:v>
      </x:c>
    </x:row>
    <x:row r="20" ht="46" customHeight="1">
      <x:c r="A20" s="19" t="str">
        <x:v>BOM31C-015</x:v>
      </x:c>
      <x:c r="B20" s="19" t="str">
        <x:v>PC-N70-MAX-CAND</x:v>
      </x:c>
      <x:c r="C20" s="19" t="str">
        <x:v>BOM_RESTRAINT</x:v>
      </x:c>
      <x:c r="D20" s="19" t="str">
        <x:v>乘员约束系统</x:v>
      </x:c>
      <x:c r="E20" s="19" t="str">
        <x:v>SAFETY</x:v>
      </x:c>
      <x:c r="F20" s="19" t="n">
        <x:f>COUNTIFS('58_事实边界裁定'!$C$6:$C$127,B20,'58_事实边界裁定'!$P$6:$P$127,C20)</x:f>
        <x:v>1</x:v>
      </x:c>
      <x:c r="G20" s="19" t="n">
        <x:f>COUNTIFS('58_事实边界裁定'!$C$6:$C$127,B20,'58_事实边界裁定'!$P$6:$P$127,C20,'58_事实边界裁定'!$J$6:$J$127,1)</x:f>
        <x:v>0</x:v>
      </x:c>
      <x:c r="H20" s="19" t="n">
        <x:f>COUNTIFS('58_事实边界裁定'!$C$6:$C$127,B20,'58_事实边界裁定'!$P$6:$P$127,C20,'58_事实边界裁定'!$K$6:$K$127,1)</x:f>
        <x:v>0</x:v>
      </x:c>
      <x:c r="I20" s="19" t="n">
        <x:f>COUNTIFS('58_事实边界裁定'!$C$6:$C$127,B20,'58_事实边界裁定'!$P$6:$P$127,C20,'58_事实边界裁定'!$L$6:$L$127,1)</x:f>
        <x:v>0</x:v>
      </x:c>
      <x:c r="J20" s="19" t="n">
        <x:f>COUNTIFS('58_事实边界裁定'!$C$6:$C$127,B20,'58_事实边界裁定'!$P$6:$P$127,C20,'58_事实边界裁定'!$M$6:$M$127,1)</x:f>
        <x:v>0</x:v>
      </x:c>
      <x:c r="K20" s="19" t="n">
        <x:f>COUNTIFS('58_事实边界裁定'!$C$6:$C$127,B20,'58_事实边界裁定'!$P$6:$P$127,C20)-J20</x:f>
        <x:v>1</x:v>
      </x:c>
      <x:c r="L20" s="19" t="str">
        <x:f>IF(I20&gt;0,"STRICT_RELEASE_ROOT",IF(J20&gt;0,"ENGINEERING_PROVISIONAL_ROOT",IF(H20&gt;0,"SYSTEM_OR_SUPPORT_NO_SEPARATE_COST","HOLD_OR_POOL")))</x:f>
        <x:v>HOLD_OR_POOL</x:v>
      </x:c>
      <x:c r="M20" s="19" t="str">
        <x:f>IF(I20&gt;0,"COST_RANGE_REQUIRED_3.2",IF(J20&gt;0,"PROVISIONAL_COST_RANGE_3.2","NO_SEPARATE_COST_LINE"))</x:f>
        <x:v>NO_SEPARATE_COST_LINE</x:v>
      </x:c>
      <x:c r="N20" s="19" t="str">
        <x:v>同一节点+根键最多一个成本行</x:v>
      </x:c>
    </x:row>
    <x:row r="21" ht="46" customHeight="1">
      <x:c r="A21" s="391" t="str">
        <x:v>BOM31C-016</x:v>
      </x:c>
      <x:c r="B21" s="391" t="str">
        <x:v>PC-N70-MAX-CAND</x:v>
      </x:c>
      <x:c r="C21" s="391" t="str">
        <x:v>BOM_SMART_CABIN</x:v>
      </x:c>
      <x:c r="D21" s="391" t="str">
        <x:v>澎湃智能座舱软件系统</x:v>
      </x:c>
      <x:c r="E21" s="391" t="str">
        <x:v>CABIN</x:v>
      </x:c>
      <x:c r="F21" s="391" t="n">
        <x:f>COUNTIFS('58_事实边界裁定'!$C$6:$C$127,B21,'58_事实边界裁定'!$P$6:$P$127,C21)</x:f>
        <x:v>2</x:v>
      </x:c>
      <x:c r="G21" s="391" t="n">
        <x:f>COUNTIFS('58_事实边界裁定'!$C$6:$C$127,B21,'58_事实边界裁定'!$P$6:$P$127,C21,'58_事实边界裁定'!$J$6:$J$127,1)</x:f>
        <x:v>1</x:v>
      </x:c>
      <x:c r="H21" s="391" t="n">
        <x:f>COUNTIFS('58_事实边界裁定'!$C$6:$C$127,B21,'58_事实边界裁定'!$P$6:$P$127,C21,'58_事实边界裁定'!$K$6:$K$127,1)</x:f>
        <x:v>1</x:v>
      </x:c>
      <x:c r="I21" s="391" t="n">
        <x:f>COUNTIFS('58_事实边界裁定'!$C$6:$C$127,B21,'58_事实边界裁定'!$P$6:$P$127,C21,'58_事实边界裁定'!$L$6:$L$127,1)</x:f>
        <x:v>0</x:v>
      </x:c>
      <x:c r="J21" s="391" t="n">
        <x:f>COUNTIFS('58_事实边界裁定'!$C$6:$C$127,B21,'58_事实边界裁定'!$P$6:$P$127,C21,'58_事实边界裁定'!$M$6:$M$127,1)</x:f>
        <x:v>0</x:v>
      </x:c>
      <x:c r="K21" s="391" t="n">
        <x:f>COUNTIFS('58_事实边界裁定'!$C$6:$C$127,B21,'58_事实边界裁定'!$P$6:$P$127,C21)-J21</x:f>
        <x:v>2</x:v>
      </x:c>
      <x:c r="L21" s="391" t="str">
        <x:f>IF(I21&gt;0,"STRICT_RELEASE_ROOT",IF(J21&gt;0,"ENGINEERING_PROVISIONAL_ROOT",IF(H21&gt;0,"SYSTEM_OR_SUPPORT_NO_SEPARATE_COST","HOLD_OR_POOL")))</x:f>
        <x:v>SYSTEM_OR_SUPPORT_NO_SEPARATE_COST</x:v>
      </x:c>
      <x:c r="M21" s="391" t="str">
        <x:f>IF(I21&gt;0,"COST_RANGE_REQUIRED_3.2",IF(J21&gt;0,"PROVISIONAL_COST_RANGE_3.2","NO_SEPARATE_COST_LINE"))</x:f>
        <x:v>NO_SEPARATE_COST_LINE</x:v>
      </x:c>
      <x:c r="N21" s="391" t="str">
        <x:v>同一节点+根键最多一个成本行</x:v>
      </x:c>
    </x:row>
    <x:row r="22" ht="46" customHeight="1">
      <x:c r="A22" s="19" t="str">
        <x:v>BOM31C-017</x:v>
      </x:c>
      <x:c r="B22" s="19" t="str">
        <x:v>PC-N70-MAX-CAND</x:v>
      </x:c>
      <x:c r="C22" s="19" t="str">
        <x:v>BOM_TIRE_WHEEL_BASE</x:v>
      </x:c>
      <x:c r="D22" s="19" t="str">
        <x:v>基础轮胎与行驶系统</x:v>
      </x:c>
      <x:c r="E22" s="19" t="str">
        <x:v>CHASSIS</x:v>
      </x:c>
      <x:c r="F22" s="19" t="n">
        <x:f>COUNTIFS('58_事实边界裁定'!$C$6:$C$127,B22,'58_事实边界裁定'!$P$6:$P$127,C22)</x:f>
        <x:v>1</x:v>
      </x:c>
      <x:c r="G22" s="19" t="n">
        <x:f>COUNTIFS('58_事实边界裁定'!$C$6:$C$127,B22,'58_事实边界裁定'!$P$6:$P$127,C22,'58_事实边界裁定'!$J$6:$J$127,1)</x:f>
        <x:v>0</x:v>
      </x:c>
      <x:c r="H22" s="19" t="n">
        <x:f>COUNTIFS('58_事实边界裁定'!$C$6:$C$127,B22,'58_事实边界裁定'!$P$6:$P$127,C22,'58_事实边界裁定'!$K$6:$K$127,1)</x:f>
        <x:v>0</x:v>
      </x:c>
      <x:c r="I22" s="19" t="n">
        <x:f>COUNTIFS('58_事实边界裁定'!$C$6:$C$127,B22,'58_事实边界裁定'!$P$6:$P$127,C22,'58_事实边界裁定'!$L$6:$L$127,1)</x:f>
        <x:v>0</x:v>
      </x:c>
      <x:c r="J22" s="19" t="n">
        <x:f>COUNTIFS('58_事实边界裁定'!$C$6:$C$127,B22,'58_事实边界裁定'!$P$6:$P$127,C22,'58_事实边界裁定'!$M$6:$M$127,1)</x:f>
        <x:v>0</x:v>
      </x:c>
      <x:c r="K22" s="19" t="n">
        <x:f>COUNTIFS('58_事实边界裁定'!$C$6:$C$127,B22,'58_事实边界裁定'!$P$6:$P$127,C22)-J22</x:f>
        <x:v>1</x:v>
      </x:c>
      <x:c r="L22" s="19" t="str">
        <x:f>IF(I22&gt;0,"STRICT_RELEASE_ROOT",IF(J22&gt;0,"ENGINEERING_PROVISIONAL_ROOT",IF(H22&gt;0,"SYSTEM_OR_SUPPORT_NO_SEPARATE_COST","HOLD_OR_POOL")))</x:f>
        <x:v>HOLD_OR_POOL</x:v>
      </x:c>
      <x:c r="M22" s="19" t="str">
        <x:f>IF(I22&gt;0,"COST_RANGE_REQUIRED_3.2",IF(J22&gt;0,"PROVISIONAL_COST_RANGE_3.2","NO_SEPARATE_COST_LINE"))</x:f>
        <x:v>NO_SEPARATE_COST_LINE</x:v>
      </x:c>
      <x:c r="N22" s="19" t="str">
        <x:v>同一节点+根键最多一个成本行</x:v>
      </x:c>
    </x:row>
    <x:row r="23" ht="46" customHeight="1">
      <x:c r="A23" s="391" t="str">
        <x:v>BOM31C-018</x:v>
      </x:c>
      <x:c r="B23" s="391" t="str">
        <x:v>PC-N70-MAX-CAND</x:v>
      </x:c>
      <x:c r="C23" s="391" t="str">
        <x:v>BOM_WADING_SAFETY</x:v>
      </x:c>
      <x:c r="D23" s="391" t="str">
        <x:v>涉水感知与脱困系统</x:v>
      </x:c>
      <x:c r="E23" s="391" t="str">
        <x:v>SAFETY</x:v>
      </x:c>
      <x:c r="F23" s="391" t="n">
        <x:f>COUNTIFS('58_事实边界裁定'!$C$6:$C$127,B23,'58_事实边界裁定'!$P$6:$P$127,C23)</x:f>
        <x:v>5</x:v>
      </x:c>
      <x:c r="G23" s="391" t="n">
        <x:f>COUNTIFS('58_事实边界裁定'!$C$6:$C$127,B23,'58_事实边界裁定'!$P$6:$P$127,C23,'58_事实边界裁定'!$J$6:$J$127,1)</x:f>
        <x:v>3</x:v>
      </x:c>
      <x:c r="H23" s="391" t="n">
        <x:f>COUNTIFS('58_事实边界裁定'!$C$6:$C$127,B23,'58_事实边界裁定'!$P$6:$P$127,C23,'58_事实边界裁定'!$K$6:$K$127,1)</x:f>
        <x:v>5</x:v>
      </x:c>
      <x:c r="I23" s="391" t="n">
        <x:f>COUNTIFS('58_事实边界裁定'!$C$6:$C$127,B23,'58_事实边界裁定'!$P$6:$P$127,C23,'58_事实边界裁定'!$L$6:$L$127,1)</x:f>
        <x:v>1</x:v>
      </x:c>
      <x:c r="J23" s="391" t="n">
        <x:f>COUNTIFS('58_事实边界裁定'!$C$6:$C$127,B23,'58_事实边界裁定'!$P$6:$P$127,C23,'58_事实边界裁定'!$M$6:$M$127,1)</x:f>
        <x:v>1</x:v>
      </x:c>
      <x:c r="K23" s="391" t="n">
        <x:f>COUNTIFS('58_事实边界裁定'!$C$6:$C$127,B23,'58_事实边界裁定'!$P$6:$P$127,C23)-J23</x:f>
        <x:v>4</x:v>
      </x:c>
      <x:c r="L23" s="391" t="str">
        <x:f>IF(I23&gt;0,"STRICT_RELEASE_ROOT",IF(J23&gt;0,"ENGINEERING_PROVISIONAL_ROOT",IF(H23&gt;0,"SYSTEM_OR_SUPPORT_NO_SEPARATE_COST","HOLD_OR_POOL")))</x:f>
        <x:v>STRICT_RELEASE_ROOT</x:v>
      </x:c>
      <x:c r="M23" s="391" t="str">
        <x:f>IF(I23&gt;0,"COST_RANGE_REQUIRED_3.2",IF(J23&gt;0,"PROVISIONAL_COST_RANGE_3.2","NO_SEPARATE_COST_LINE"))</x:f>
        <x:v>COST_RANGE_REQUIRED_3.2</x:v>
      </x:c>
      <x:c r="N23" s="391" t="str">
        <x:v>同一节点+根键最多一个成本行</x:v>
      </x:c>
    </x:row>
    <x:row r="24" ht="46" customHeight="1">
      <x:c r="A24" s="19" t="str">
        <x:v>BOM31C-019</x:v>
      </x:c>
      <x:c r="B24" s="19" t="str">
        <x:v>PC-N70-MAX-CAND</x:v>
      </x:c>
      <x:c r="C24" s="19" t="str">
        <x:v>BOM_ZERO_GRAVITY_SEAT</x:v>
      </x:c>
      <x:c r="D24" s="19" t="str">
        <x:v>零重力座椅机构</x:v>
      </x:c>
      <x:c r="E24" s="19" t="str">
        <x:v>COMFORT</x:v>
      </x:c>
      <x:c r="F24" s="19" t="n">
        <x:f>COUNTIFS('58_事实边界裁定'!$C$6:$C$127,B24,'58_事实边界裁定'!$P$6:$P$127,C24)</x:f>
        <x:v>1</x:v>
      </x:c>
      <x:c r="G24" s="19" t="n">
        <x:f>COUNTIFS('58_事实边界裁定'!$C$6:$C$127,B24,'58_事实边界裁定'!$P$6:$P$127,C24,'58_事实边界裁定'!$J$6:$J$127,1)</x:f>
        <x:v>0</x:v>
      </x:c>
      <x:c r="H24" s="19" t="n">
        <x:f>COUNTIFS('58_事实边界裁定'!$C$6:$C$127,B24,'58_事实边界裁定'!$P$6:$P$127,C24,'58_事实边界裁定'!$K$6:$K$127,1)</x:f>
        <x:v>0</x:v>
      </x:c>
      <x:c r="I24" s="19" t="n">
        <x:f>COUNTIFS('58_事实边界裁定'!$C$6:$C$127,B24,'58_事实边界裁定'!$P$6:$P$127,C24,'58_事实边界裁定'!$L$6:$L$127,1)</x:f>
        <x:v>0</x:v>
      </x:c>
      <x:c r="J24" s="19" t="n">
        <x:f>COUNTIFS('58_事实边界裁定'!$C$6:$C$127,B24,'58_事实边界裁定'!$P$6:$P$127,C24,'58_事实边界裁定'!$M$6:$M$127,1)</x:f>
        <x:v>0</x:v>
      </x:c>
      <x:c r="K24" s="19" t="n">
        <x:f>COUNTIFS('58_事实边界裁定'!$C$6:$C$127,B24,'58_事实边界裁定'!$P$6:$P$127,C24)-J24</x:f>
        <x:v>1</x:v>
      </x:c>
      <x:c r="L24" s="19" t="str">
        <x:f>IF(I24&gt;0,"STRICT_RELEASE_ROOT",IF(J24&gt;0,"ENGINEERING_PROVISIONAL_ROOT",IF(H24&gt;0,"SYSTEM_OR_SUPPORT_NO_SEPARATE_COST","HOLD_OR_POOL")))</x:f>
        <x:v>HOLD_OR_POOL</x:v>
      </x:c>
      <x:c r="M24" s="19" t="str">
        <x:f>IF(I24&gt;0,"COST_RANGE_REQUIRED_3.2",IF(J24&gt;0,"PROVISIONAL_COST_RANGE_3.2","NO_SEPARATE_COST_LINE"))</x:f>
        <x:v>NO_SEPARATE_COST_LINE</x:v>
      </x:c>
      <x:c r="N24" s="19" t="str">
        <x:v>同一节点+根键最多一个成本行</x:v>
      </x:c>
    </x:row>
    <x:row r="25" ht="46" customHeight="1">
      <x:c r="A25" s="391" t="str">
        <x:v>BOM31C-020</x:v>
      </x:c>
      <x:c r="B25" s="391" t="str">
        <x:v>PC-N90-MAX-CAND</x:v>
      </x:c>
      <x:c r="C25" s="391" t="str">
        <x:v>ACC_MATTRESS</x:v>
      </x:c>
      <x:c r="D25" s="391" t="str">
        <x:v>专用床垫附件</x:v>
      </x:c>
      <x:c r="E25" s="391" t="str">
        <x:v>ACCESSORY</x:v>
      </x:c>
      <x:c r="F25" s="391" t="n">
        <x:f>COUNTIFS('58_事实边界裁定'!$C$6:$C$127,B25,'58_事实边界裁定'!$P$6:$P$127,C25)</x:f>
        <x:v>1</x:v>
      </x:c>
      <x:c r="G25" s="391" t="n">
        <x:f>COUNTIFS('58_事实边界裁定'!$C$6:$C$127,B25,'58_事实边界裁定'!$P$6:$P$127,C25,'58_事实边界裁定'!$J$6:$J$127,1)</x:f>
        <x:v>0</x:v>
      </x:c>
      <x:c r="H25" s="391" t="n">
        <x:f>COUNTIFS('58_事实边界裁定'!$C$6:$C$127,B25,'58_事实边界裁定'!$P$6:$P$127,C25,'58_事实边界裁定'!$K$6:$K$127,1)</x:f>
        <x:v>0</x:v>
      </x:c>
      <x:c r="I25" s="391" t="n">
        <x:f>COUNTIFS('58_事实边界裁定'!$C$6:$C$127,B25,'58_事实边界裁定'!$P$6:$P$127,C25,'58_事实边界裁定'!$L$6:$L$127,1)</x:f>
        <x:v>0</x:v>
      </x:c>
      <x:c r="J25" s="391" t="n">
        <x:f>COUNTIFS('58_事实边界裁定'!$C$6:$C$127,B25,'58_事实边界裁定'!$P$6:$P$127,C25,'58_事实边界裁定'!$M$6:$M$127,1)</x:f>
        <x:v>0</x:v>
      </x:c>
      <x:c r="K25" s="391" t="n">
        <x:f>COUNTIFS('58_事实边界裁定'!$C$6:$C$127,B25,'58_事实边界裁定'!$P$6:$P$127,C25)-J25</x:f>
        <x:v>1</x:v>
      </x:c>
      <x:c r="L25" s="391" t="str">
        <x:f>IF(I25&gt;0,"STRICT_RELEASE_ROOT",IF(J25&gt;0,"ENGINEERING_PROVISIONAL_ROOT",IF(H25&gt;0,"SYSTEM_OR_SUPPORT_NO_SEPARATE_COST","HOLD_OR_POOL")))</x:f>
        <x:v>HOLD_OR_POOL</x:v>
      </x:c>
      <x:c r="M25" s="391" t="str">
        <x:f>IF(I25&gt;0,"COST_RANGE_REQUIRED_3.2",IF(J25&gt;0,"PROVISIONAL_COST_RANGE_3.2","NO_SEPARATE_COST_LINE"))</x:f>
        <x:v>NO_SEPARATE_COST_LINE</x:v>
      </x:c>
      <x:c r="N25" s="391" t="str">
        <x:v>同一节点+根键最多一个成本行</x:v>
      </x:c>
    </x:row>
    <x:row r="26" ht="46" customHeight="1">
      <x:c r="A26" s="19" t="str">
        <x:v>BOM31C-021</x:v>
      </x:c>
      <x:c r="B26" s="19" t="str">
        <x:v>PC-N90-MAX-CAND</x:v>
      </x:c>
      <x:c r="C26" s="19" t="str">
        <x:v>ACC_PASSENGER_PAD</x:v>
      </x:c>
      <x:c r="D26" s="19" t="str">
        <x:v>副驾靠背扩展Pad附件</x:v>
      </x:c>
      <x:c r="E26" s="19" t="str">
        <x:v>ACCESSORY</x:v>
      </x:c>
      <x:c r="F26" s="19" t="n">
        <x:f>COUNTIFS('58_事实边界裁定'!$C$6:$C$127,B26,'58_事实边界裁定'!$P$6:$P$127,C26)</x:f>
        <x:v>1</x:v>
      </x:c>
      <x:c r="G26" s="19" t="n">
        <x:f>COUNTIFS('58_事实边界裁定'!$C$6:$C$127,B26,'58_事实边界裁定'!$P$6:$P$127,C26,'58_事实边界裁定'!$J$6:$J$127,1)</x:f>
        <x:v>0</x:v>
      </x:c>
      <x:c r="H26" s="19" t="n">
        <x:f>COUNTIFS('58_事实边界裁定'!$C$6:$C$127,B26,'58_事实边界裁定'!$P$6:$P$127,C26,'58_事实边界裁定'!$K$6:$K$127,1)</x:f>
        <x:v>0</x:v>
      </x:c>
      <x:c r="I26" s="19" t="n">
        <x:f>COUNTIFS('58_事实边界裁定'!$C$6:$C$127,B26,'58_事实边界裁定'!$P$6:$P$127,C26,'58_事实边界裁定'!$L$6:$L$127,1)</x:f>
        <x:v>0</x:v>
      </x:c>
      <x:c r="J26" s="19" t="n">
        <x:f>COUNTIFS('58_事实边界裁定'!$C$6:$C$127,B26,'58_事实边界裁定'!$P$6:$P$127,C26,'58_事实边界裁定'!$M$6:$M$127,1)</x:f>
        <x:v>0</x:v>
      </x:c>
      <x:c r="K26" s="19" t="n">
        <x:f>COUNTIFS('58_事实边界裁定'!$C$6:$C$127,B26,'58_事实边界裁定'!$P$6:$P$127,C26)-J26</x:f>
        <x:v>1</x:v>
      </x:c>
      <x:c r="L26" s="19" t="str">
        <x:f>IF(I26&gt;0,"STRICT_RELEASE_ROOT",IF(J26&gt;0,"ENGINEERING_PROVISIONAL_ROOT",IF(H26&gt;0,"SYSTEM_OR_SUPPORT_NO_SEPARATE_COST","HOLD_OR_POOL")))</x:f>
        <x:v>HOLD_OR_POOL</x:v>
      </x:c>
      <x:c r="M26" s="19" t="str">
        <x:f>IF(I26&gt;0,"COST_RANGE_REQUIRED_3.2",IF(J26&gt;0,"PROVISIONAL_COST_RANGE_3.2","NO_SEPARATE_COST_LINE"))</x:f>
        <x:v>NO_SEPARATE_COST_LINE</x:v>
      </x:c>
      <x:c r="N26" s="19" t="str">
        <x:v>同一节点+根键最多一个成本行</x:v>
      </x:c>
    </x:row>
    <x:row r="27" ht="46" customHeight="1">
      <x:c r="A27" s="391" t="str">
        <x:v>BOM31C-022</x:v>
      </x:c>
      <x:c r="B27" s="391" t="str">
        <x:v>PC-N90-MAX-CAND</x:v>
      </x:c>
      <x:c r="C27" s="391" t="str">
        <x:v>ACC_PRIVACY_CURTAINS</x:v>
      </x:c>
      <x:c r="D27" s="391" t="str">
        <x:v>隐私帘附件</x:v>
      </x:c>
      <x:c r="E27" s="391" t="str">
        <x:v>ACCESSORY</x:v>
      </x:c>
      <x:c r="F27" s="391" t="n">
        <x:f>COUNTIFS('58_事实边界裁定'!$C$6:$C$127,B27,'58_事实边界裁定'!$P$6:$P$127,C27)</x:f>
        <x:v>1</x:v>
      </x:c>
      <x:c r="G27" s="391" t="n">
        <x:f>COUNTIFS('58_事实边界裁定'!$C$6:$C$127,B27,'58_事实边界裁定'!$P$6:$P$127,C27,'58_事实边界裁定'!$J$6:$J$127,1)</x:f>
        <x:v>0</x:v>
      </x:c>
      <x:c r="H27" s="391" t="n">
        <x:f>COUNTIFS('58_事实边界裁定'!$C$6:$C$127,B27,'58_事实边界裁定'!$P$6:$P$127,C27,'58_事实边界裁定'!$K$6:$K$127,1)</x:f>
        <x:v>0</x:v>
      </x:c>
      <x:c r="I27" s="391" t="n">
        <x:f>COUNTIFS('58_事实边界裁定'!$C$6:$C$127,B27,'58_事实边界裁定'!$P$6:$P$127,C27,'58_事实边界裁定'!$L$6:$L$127,1)</x:f>
        <x:v>0</x:v>
      </x:c>
      <x:c r="J27" s="391" t="n">
        <x:f>COUNTIFS('58_事实边界裁定'!$C$6:$C$127,B27,'58_事实边界裁定'!$P$6:$P$127,C27,'58_事实边界裁定'!$M$6:$M$127,1)</x:f>
        <x:v>0</x:v>
      </x:c>
      <x:c r="K27" s="391" t="n">
        <x:f>COUNTIFS('58_事实边界裁定'!$C$6:$C$127,B27,'58_事实边界裁定'!$P$6:$P$127,C27)-J27</x:f>
        <x:v>1</x:v>
      </x:c>
      <x:c r="L27" s="391" t="str">
        <x:f>IF(I27&gt;0,"STRICT_RELEASE_ROOT",IF(J27&gt;0,"ENGINEERING_PROVISIONAL_ROOT",IF(H27&gt;0,"SYSTEM_OR_SUPPORT_NO_SEPARATE_COST","HOLD_OR_POOL")))</x:f>
        <x:v>HOLD_OR_POOL</x:v>
      </x:c>
      <x:c r="M27" s="391" t="str">
        <x:f>IF(I27&gt;0,"COST_RANGE_REQUIRED_3.2",IF(J27&gt;0,"PROVISIONAL_COST_RANGE_3.2","NO_SEPARATE_COST_LINE"))</x:f>
        <x:v>NO_SEPARATE_COST_LINE</x:v>
      </x:c>
      <x:c r="N27" s="391" t="str">
        <x:v>同一节点+根键最多一个成本行</x:v>
      </x:c>
    </x:row>
    <x:row r="28" ht="46" customHeight="1">
      <x:c r="A28" s="19" t="str">
        <x:v>BOM31C-023</x:v>
      </x:c>
      <x:c r="B28" s="19" t="str">
        <x:v>PC-N90-MAX-CAND</x:v>
      </x:c>
      <x:c r="C28" s="19" t="str">
        <x:v>ACC_SIDE_TENT</x:v>
      </x:c>
      <x:c r="D28" s="19" t="str">
        <x:v>车边帐附件</x:v>
      </x:c>
      <x:c r="E28" s="19" t="str">
        <x:v>ACCESSORY</x:v>
      </x:c>
      <x:c r="F28" s="19" t="n">
        <x:f>COUNTIFS('58_事实边界裁定'!$C$6:$C$127,B28,'58_事实边界裁定'!$P$6:$P$127,C28)</x:f>
        <x:v>1</x:v>
      </x:c>
      <x:c r="G28" s="19" t="n">
        <x:f>COUNTIFS('58_事实边界裁定'!$C$6:$C$127,B28,'58_事实边界裁定'!$P$6:$P$127,C28,'58_事实边界裁定'!$J$6:$J$127,1)</x:f>
        <x:v>0</x:v>
      </x:c>
      <x:c r="H28" s="19" t="n">
        <x:f>COUNTIFS('58_事实边界裁定'!$C$6:$C$127,B28,'58_事实边界裁定'!$P$6:$P$127,C28,'58_事实边界裁定'!$K$6:$K$127,1)</x:f>
        <x:v>0</x:v>
      </x:c>
      <x:c r="I28" s="19" t="n">
        <x:f>COUNTIFS('58_事实边界裁定'!$C$6:$C$127,B28,'58_事实边界裁定'!$P$6:$P$127,C28,'58_事实边界裁定'!$L$6:$L$127,1)</x:f>
        <x:v>0</x:v>
      </x:c>
      <x:c r="J28" s="19" t="n">
        <x:f>COUNTIFS('58_事实边界裁定'!$C$6:$C$127,B28,'58_事实边界裁定'!$P$6:$P$127,C28,'58_事实边界裁定'!$M$6:$M$127,1)</x:f>
        <x:v>0</x:v>
      </x:c>
      <x:c r="K28" s="19" t="n">
        <x:f>COUNTIFS('58_事实边界裁定'!$C$6:$C$127,B28,'58_事实边界裁定'!$P$6:$P$127,C28)-J28</x:f>
        <x:v>1</x:v>
      </x:c>
      <x:c r="L28" s="19" t="str">
        <x:f>IF(I28&gt;0,"STRICT_RELEASE_ROOT",IF(J28&gt;0,"ENGINEERING_PROVISIONAL_ROOT",IF(H28&gt;0,"SYSTEM_OR_SUPPORT_NO_SEPARATE_COST","HOLD_OR_POOL")))</x:f>
        <x:v>HOLD_OR_POOL</x:v>
      </x:c>
      <x:c r="M28" s="19" t="str">
        <x:f>IF(I28&gt;0,"COST_RANGE_REQUIRED_3.2",IF(J28&gt;0,"PROVISIONAL_COST_RANGE_3.2","NO_SEPARATE_COST_LINE"))</x:f>
        <x:v>NO_SEPARATE_COST_LINE</x:v>
      </x:c>
      <x:c r="N28" s="19" t="str">
        <x:v>同一节点+根键最多一个成本行</x:v>
      </x:c>
    </x:row>
    <x:row r="29" ht="46" customHeight="1">
      <x:c r="A29" s="391" t="str">
        <x:v>BOM31C-024</x:v>
      </x:c>
      <x:c r="B29" s="391" t="str">
        <x:v>PC-N90-MAX-CAND</x:v>
      </x:c>
      <x:c r="C29" s="391" t="str">
        <x:v>ACC_TAIL_TENT</x:v>
      </x:c>
      <x:c r="D29" s="391" t="str">
        <x:v>尾帐附件</x:v>
      </x:c>
      <x:c r="E29" s="391" t="str">
        <x:v>ACCESSORY</x:v>
      </x:c>
      <x:c r="F29" s="391" t="n">
        <x:f>COUNTIFS('58_事实边界裁定'!$C$6:$C$127,B29,'58_事实边界裁定'!$P$6:$P$127,C29)</x:f>
        <x:v>1</x:v>
      </x:c>
      <x:c r="G29" s="391" t="n">
        <x:f>COUNTIFS('58_事实边界裁定'!$C$6:$C$127,B29,'58_事实边界裁定'!$P$6:$P$127,C29,'58_事实边界裁定'!$J$6:$J$127,1)</x:f>
        <x:v>0</x:v>
      </x:c>
      <x:c r="H29" s="391" t="n">
        <x:f>COUNTIFS('58_事实边界裁定'!$C$6:$C$127,B29,'58_事实边界裁定'!$P$6:$P$127,C29,'58_事实边界裁定'!$K$6:$K$127,1)</x:f>
        <x:v>0</x:v>
      </x:c>
      <x:c r="I29" s="391" t="n">
        <x:f>COUNTIFS('58_事实边界裁定'!$C$6:$C$127,B29,'58_事实边界裁定'!$P$6:$P$127,C29,'58_事实边界裁定'!$L$6:$L$127,1)</x:f>
        <x:v>0</x:v>
      </x:c>
      <x:c r="J29" s="391" t="n">
        <x:f>COUNTIFS('58_事实边界裁定'!$C$6:$C$127,B29,'58_事实边界裁定'!$P$6:$P$127,C29,'58_事实边界裁定'!$M$6:$M$127,1)</x:f>
        <x:v>0</x:v>
      </x:c>
      <x:c r="K29" s="391" t="n">
        <x:f>COUNTIFS('58_事实边界裁定'!$C$6:$C$127,B29,'58_事实边界裁定'!$P$6:$P$127,C29)-J29</x:f>
        <x:v>1</x:v>
      </x:c>
      <x:c r="L29" s="391" t="str">
        <x:f>IF(I29&gt;0,"STRICT_RELEASE_ROOT",IF(J29&gt;0,"ENGINEERING_PROVISIONAL_ROOT",IF(H29&gt;0,"SYSTEM_OR_SUPPORT_NO_SEPARATE_COST","HOLD_OR_POOL")))</x:f>
        <x:v>HOLD_OR_POOL</x:v>
      </x:c>
      <x:c r="M29" s="391" t="str">
        <x:f>IF(I29&gt;0,"COST_RANGE_REQUIRED_3.2",IF(J29&gt;0,"PROVISIONAL_COST_RANGE_3.2","NO_SEPARATE_COST_LINE"))</x:f>
        <x:v>NO_SEPARATE_COST_LINE</x:v>
      </x:c>
      <x:c r="N29" s="391" t="str">
        <x:v>同一节点+根键最多一个成本行</x:v>
      </x:c>
    </x:row>
    <x:row r="30" ht="46" customHeight="1">
      <x:c r="A30" s="19" t="str">
        <x:v>BOM31C-025</x:v>
      </x:c>
      <x:c r="B30" s="19" t="str">
        <x:v>PC-N90-MAX-CAND</x:v>
      </x:c>
      <x:c r="C30" s="19" t="str">
        <x:v>ACC_VEHICLE_TABLE</x:v>
      </x:c>
      <x:c r="D30" s="19" t="str">
        <x:v>车载桌板附件</x:v>
      </x:c>
      <x:c r="E30" s="19" t="str">
        <x:v>ACCESSORY</x:v>
      </x:c>
      <x:c r="F30" s="19" t="n">
        <x:f>COUNTIFS('58_事实边界裁定'!$C$6:$C$127,B30,'58_事实边界裁定'!$P$6:$P$127,C30)</x:f>
        <x:v>1</x:v>
      </x:c>
      <x:c r="G30" s="19" t="n">
        <x:f>COUNTIFS('58_事实边界裁定'!$C$6:$C$127,B30,'58_事实边界裁定'!$P$6:$P$127,C30,'58_事实边界裁定'!$J$6:$J$127,1)</x:f>
        <x:v>0</x:v>
      </x:c>
      <x:c r="H30" s="19" t="n">
        <x:f>COUNTIFS('58_事实边界裁定'!$C$6:$C$127,B30,'58_事实边界裁定'!$P$6:$P$127,C30,'58_事实边界裁定'!$K$6:$K$127,1)</x:f>
        <x:v>0</x:v>
      </x:c>
      <x:c r="I30" s="19" t="n">
        <x:f>COUNTIFS('58_事实边界裁定'!$C$6:$C$127,B30,'58_事实边界裁定'!$P$6:$P$127,C30,'58_事实边界裁定'!$L$6:$L$127,1)</x:f>
        <x:v>0</x:v>
      </x:c>
      <x:c r="J30" s="19" t="n">
        <x:f>COUNTIFS('58_事实边界裁定'!$C$6:$C$127,B30,'58_事实边界裁定'!$P$6:$P$127,C30,'58_事实边界裁定'!$M$6:$M$127,1)</x:f>
        <x:v>0</x:v>
      </x:c>
      <x:c r="K30" s="19" t="n">
        <x:f>COUNTIFS('58_事实边界裁定'!$C$6:$C$127,B30,'58_事实边界裁定'!$P$6:$P$127,C30)-J30</x:f>
        <x:v>1</x:v>
      </x:c>
      <x:c r="L30" s="19" t="str">
        <x:f>IF(I30&gt;0,"STRICT_RELEASE_ROOT",IF(J30&gt;0,"ENGINEERING_PROVISIONAL_ROOT",IF(H30&gt;0,"SYSTEM_OR_SUPPORT_NO_SEPARATE_COST","HOLD_OR_POOL")))</x:f>
        <x:v>HOLD_OR_POOL</x:v>
      </x:c>
      <x:c r="M30" s="19" t="str">
        <x:f>IF(I30&gt;0,"COST_RANGE_REQUIRED_3.2",IF(J30&gt;0,"PROVISIONAL_COST_RANGE_3.2","NO_SEPARATE_COST_LINE"))</x:f>
        <x:v>NO_SEPARATE_COST_LINE</x:v>
      </x:c>
      <x:c r="N30" s="19" t="str">
        <x:v>同一节点+根键最多一个成本行</x:v>
      </x:c>
    </x:row>
    <x:row r="31" ht="46" customHeight="1">
      <x:c r="A31" s="391" t="str">
        <x:v>BOM31C-026</x:v>
      </x:c>
      <x:c r="B31" s="391" t="str">
        <x:v>PC-N90-MAX-CAND</x:v>
      </x:c>
      <x:c r="C31" s="391" t="str">
        <x:v>BOM_ADAS_STACK</x:v>
      </x:c>
      <x:c r="D31" s="391" t="str">
        <x:v>辅助驾驶系统</x:v>
      </x:c>
      <x:c r="E31" s="391" t="str">
        <x:v>ADAS</x:v>
      </x:c>
      <x:c r="F31" s="391" t="n">
        <x:f>COUNTIFS('58_事实边界裁定'!$C$6:$C$127,B31,'58_事实边界裁定'!$P$6:$P$127,C31)</x:f>
        <x:v>4</x:v>
      </x:c>
      <x:c r="G31" s="391" t="n">
        <x:f>COUNTIFS('58_事实边界裁定'!$C$6:$C$127,B31,'58_事实边界裁定'!$P$6:$P$127,C31,'58_事实边界裁定'!$J$6:$J$127,1)</x:f>
        <x:v>4</x:v>
      </x:c>
      <x:c r="H31" s="391" t="n">
        <x:f>COUNTIFS('58_事实边界裁定'!$C$6:$C$127,B31,'58_事实边界裁定'!$P$6:$P$127,C31,'58_事实边界裁定'!$K$6:$K$127,1)</x:f>
        <x:v>4</x:v>
      </x:c>
      <x:c r="I31" s="391" t="n">
        <x:f>COUNTIFS('58_事实边界裁定'!$C$6:$C$127,B31,'58_事实边界裁定'!$P$6:$P$127,C31,'58_事实边界裁定'!$L$6:$L$127,1)</x:f>
        <x:v>1</x:v>
      </x:c>
      <x:c r="J31" s="391" t="n">
        <x:f>COUNTIFS('58_事实边界裁定'!$C$6:$C$127,B31,'58_事实边界裁定'!$P$6:$P$127,C31,'58_事实边界裁定'!$M$6:$M$127,1)</x:f>
        <x:v>1</x:v>
      </x:c>
      <x:c r="K31" s="391" t="n">
        <x:f>COUNTIFS('58_事实边界裁定'!$C$6:$C$127,B31,'58_事实边界裁定'!$P$6:$P$127,C31)-J31</x:f>
        <x:v>3</x:v>
      </x:c>
      <x:c r="L31" s="391" t="str">
        <x:f>IF(I31&gt;0,"STRICT_RELEASE_ROOT",IF(J31&gt;0,"ENGINEERING_PROVISIONAL_ROOT",IF(H31&gt;0,"SYSTEM_OR_SUPPORT_NO_SEPARATE_COST","HOLD_OR_POOL")))</x:f>
        <x:v>STRICT_RELEASE_ROOT</x:v>
      </x:c>
      <x:c r="M31" s="391" t="str">
        <x:f>IF(I31&gt;0,"COST_RANGE_REQUIRED_3.2",IF(J31&gt;0,"PROVISIONAL_COST_RANGE_3.2","NO_SEPARATE_COST_LINE"))</x:f>
        <x:v>COST_RANGE_REQUIRED_3.2</x:v>
      </x:c>
      <x:c r="N31" s="391" t="str">
        <x:v>HAD/XLA/26项辅助/四合一域控共用系统根；不可拆成四套成本</x:v>
      </x:c>
    </x:row>
    <x:row r="32" ht="46" customHeight="1">
      <x:c r="A32" s="19" t="str">
        <x:v>BOM31C-027</x:v>
      </x:c>
      <x:c r="B32" s="19" t="str">
        <x:v>PC-N90-MAX-CAND</x:v>
      </x:c>
      <x:c r="C32" s="19" t="str">
        <x:v>BOM_AIR_SUSPENSION_CDC</x:v>
      </x:c>
      <x:c r="D32" s="19" t="str">
        <x:v>空气悬架与连续阻尼减振</x:v>
      </x:c>
      <x:c r="E32" s="19" t="str">
        <x:v>CHASSIS</x:v>
      </x:c>
      <x:c r="F32" s="19" t="n">
        <x:f>COUNTIFS('58_事实边界裁定'!$C$6:$C$127,B32,'58_事实边界裁定'!$P$6:$P$127,C32)</x:f>
        <x:v>2</x:v>
      </x:c>
      <x:c r="G32" s="19" t="n">
        <x:f>COUNTIFS('58_事实边界裁定'!$C$6:$C$127,B32,'58_事实边界裁定'!$P$6:$P$127,C32,'58_事实边界裁定'!$J$6:$J$127,1)</x:f>
        <x:v>0</x:v>
      </x:c>
      <x:c r="H32" s="19" t="n">
        <x:f>COUNTIFS('58_事实边界裁定'!$C$6:$C$127,B32,'58_事实边界裁定'!$P$6:$P$127,C32,'58_事实边界裁定'!$K$6:$K$127,1)</x:f>
        <x:v>2</x:v>
      </x:c>
      <x:c r="I32" s="19" t="n">
        <x:f>COUNTIFS('58_事实边界裁定'!$C$6:$C$127,B32,'58_事实边界裁定'!$P$6:$P$127,C32,'58_事实边界裁定'!$L$6:$L$127,1)</x:f>
        <x:v>0</x:v>
      </x:c>
      <x:c r="J32" s="19" t="n">
        <x:f>COUNTIFS('58_事实边界裁定'!$C$6:$C$127,B32,'58_事实边界裁定'!$P$6:$P$127,C32,'58_事实边界裁定'!$M$6:$M$127,1)</x:f>
        <x:v>1</x:v>
      </x:c>
      <x:c r="K32" s="19" t="n">
        <x:f>COUNTIFS('58_事实边界裁定'!$C$6:$C$127,B32,'58_事实边界裁定'!$P$6:$P$127,C32)-J32</x:f>
        <x:v>1</x:v>
      </x:c>
      <x:c r="L32" s="19" t="str">
        <x:f>IF(I32&gt;0,"STRICT_RELEASE_ROOT",IF(J32&gt;0,"ENGINEERING_PROVISIONAL_ROOT",IF(H32&gt;0,"SYSTEM_OR_SUPPORT_NO_SEPARATE_COST","HOLD_OR_POOL")))</x:f>
        <x:v>ENGINEERING_PROVISIONAL_ROOT</x:v>
      </x:c>
      <x:c r="M32" s="19" t="str">
        <x:f>IF(I32&gt;0,"COST_RANGE_REQUIRED_3.2",IF(J32&gt;0,"PROVISIONAL_COST_RANGE_3.2","NO_SEPARATE_COST_LINE"))</x:f>
        <x:v>PROVISIONAL_COST_RANGE_3.2</x:v>
      </x:c>
      <x:c r="N32" s="19" t="str">
        <x:v>空气弹簧与连续阻尼减振共用悬架根</x:v>
      </x:c>
    </x:row>
    <x:row r="33" ht="46" customHeight="1">
      <x:c r="A33" s="391" t="str">
        <x:v>BOM31C-028</x:v>
      </x:c>
      <x:c r="B33" s="391" t="str">
        <x:v>PC-N90-MAX-CAND</x:v>
      </x:c>
      <x:c r="C33" s="391" t="str">
        <x:v>BOM_AMBIENT_LIGHT</x:v>
      </x:c>
      <x:c r="D33" s="391" t="str">
        <x:v>氛围灯系统</x:v>
      </x:c>
      <x:c r="E33" s="391" t="str">
        <x:v>CABIN</x:v>
      </x:c>
      <x:c r="F33" s="391" t="n">
        <x:f>COUNTIFS('58_事实边界裁定'!$C$6:$C$127,B33,'58_事实边界裁定'!$P$6:$P$127,C33)</x:f>
        <x:v>1</x:v>
      </x:c>
      <x:c r="G33" s="391" t="n">
        <x:f>COUNTIFS('58_事实边界裁定'!$C$6:$C$127,B33,'58_事实边界裁定'!$P$6:$P$127,C33,'58_事实边界裁定'!$J$6:$J$127,1)</x:f>
        <x:v>0</x:v>
      </x:c>
      <x:c r="H33" s="391" t="n">
        <x:f>COUNTIFS('58_事实边界裁定'!$C$6:$C$127,B33,'58_事实边界裁定'!$P$6:$P$127,C33,'58_事实边界裁定'!$K$6:$K$127,1)</x:f>
        <x:v>1</x:v>
      </x:c>
      <x:c r="I33" s="391" t="n">
        <x:f>COUNTIFS('58_事实边界裁定'!$C$6:$C$127,B33,'58_事实边界裁定'!$P$6:$P$127,C33,'58_事实边界裁定'!$L$6:$L$127,1)</x:f>
        <x:v>0</x:v>
      </x:c>
      <x:c r="J33" s="391" t="n">
        <x:f>COUNTIFS('58_事实边界裁定'!$C$6:$C$127,B33,'58_事实边界裁定'!$P$6:$P$127,C33,'58_事实边界裁定'!$M$6:$M$127,1)</x:f>
        <x:v>1</x:v>
      </x:c>
      <x:c r="K33" s="391" t="n">
        <x:f>COUNTIFS('58_事实边界裁定'!$C$6:$C$127,B33,'58_事实边界裁定'!$P$6:$P$127,C33)-J33</x:f>
        <x:v>0</x:v>
      </x:c>
      <x:c r="L33" s="391" t="str">
        <x:f>IF(I33&gt;0,"STRICT_RELEASE_ROOT",IF(J33&gt;0,"ENGINEERING_PROVISIONAL_ROOT",IF(H33&gt;0,"SYSTEM_OR_SUPPORT_NO_SEPARATE_COST","HOLD_OR_POOL")))</x:f>
        <x:v>ENGINEERING_PROVISIONAL_ROOT</x:v>
      </x:c>
      <x:c r="M33" s="391" t="str">
        <x:f>IF(I33&gt;0,"COST_RANGE_REQUIRED_3.2",IF(J33&gt;0,"PROVISIONAL_COST_RANGE_3.2","NO_SEPARATE_COST_LINE"))</x:f>
        <x:v>PROVISIONAL_COST_RANGE_3.2</x:v>
      </x:c>
      <x:c r="N33" s="391" t="str">
        <x:v>同一节点+根键最多一个成本行</x:v>
      </x:c>
    </x:row>
    <x:row r="34" ht="46" customHeight="1">
      <x:c r="A34" s="19" t="str">
        <x:v>BOM31C-029</x:v>
      </x:c>
      <x:c r="B34" s="19" t="str">
        <x:v>PC-N90-MAX-CAND</x:v>
      </x:c>
      <x:c r="C34" s="19" t="str">
        <x:v>BOM_AUDIO</x:v>
      </x:c>
      <x:c r="D34" s="19" t="str">
        <x:v>车载音响系统</x:v>
      </x:c>
      <x:c r="E34" s="19" t="str">
        <x:v>CABIN</x:v>
      </x:c>
      <x:c r="F34" s="19" t="n">
        <x:f>COUNTIFS('58_事实边界裁定'!$C$6:$C$127,B34,'58_事实边界裁定'!$P$6:$P$127,C34)</x:f>
        <x:v>2</x:v>
      </x:c>
      <x:c r="G34" s="19" t="n">
        <x:f>COUNTIFS('58_事实边界裁定'!$C$6:$C$127,B34,'58_事实边界裁定'!$P$6:$P$127,C34,'58_事实边界裁定'!$J$6:$J$127,1)</x:f>
        <x:v>0</x:v>
      </x:c>
      <x:c r="H34" s="19" t="n">
        <x:f>COUNTIFS('58_事实边界裁定'!$C$6:$C$127,B34,'58_事实边界裁定'!$P$6:$P$127,C34,'58_事实边界裁定'!$K$6:$K$127,1)</x:f>
        <x:v>2</x:v>
      </x:c>
      <x:c r="I34" s="19" t="n">
        <x:f>COUNTIFS('58_事实边界裁定'!$C$6:$C$127,B34,'58_事实边界裁定'!$P$6:$P$127,C34,'58_事实边界裁定'!$L$6:$L$127,1)</x:f>
        <x:v>0</x:v>
      </x:c>
      <x:c r="J34" s="19" t="n">
        <x:f>COUNTIFS('58_事实边界裁定'!$C$6:$C$127,B34,'58_事实边界裁定'!$P$6:$P$127,C34,'58_事实边界裁定'!$M$6:$M$127,1)</x:f>
        <x:v>1</x:v>
      </x:c>
      <x:c r="K34" s="19" t="n">
        <x:f>COUNTIFS('58_事实边界裁定'!$C$6:$C$127,B34,'58_事实边界裁定'!$P$6:$P$127,C34)-J34</x:f>
        <x:v>1</x:v>
      </x:c>
      <x:c r="L34" s="19" t="str">
        <x:f>IF(I34&gt;0,"STRICT_RELEASE_ROOT",IF(J34&gt;0,"ENGINEERING_PROVISIONAL_ROOT",IF(H34&gt;0,"SYSTEM_OR_SUPPORT_NO_SEPARATE_COST","HOLD_OR_POOL")))</x:f>
        <x:v>ENGINEERING_PROVISIONAL_ROOT</x:v>
      </x:c>
      <x:c r="M34" s="19" t="str">
        <x:f>IF(I34&gt;0,"COST_RANGE_REQUIRED_3.2",IF(J34&gt;0,"PROVISIONAL_COST_RANGE_3.2","NO_SEPARATE_COST_LINE"))</x:f>
        <x:v>PROVISIONAL_COST_RANGE_3.2</x:v>
      </x:c>
      <x:c r="N34" s="19" t="str">
        <x:v>同一节点+根键最多一个成本行</x:v>
      </x:c>
    </x:row>
    <x:row r="35" ht="46" customHeight="1">
      <x:c r="A35" s="391" t="str">
        <x:v>BOM31C-030</x:v>
      </x:c>
      <x:c r="B35" s="391" t="str">
        <x:v>PC-N90-MAX-CAND</x:v>
      </x:c>
      <x:c r="C35" s="391" t="str">
        <x:v>BOM_BATTERY_PACK</x:v>
      </x:c>
      <x:c r="D35" s="391" t="str">
        <x:v>动力电池包与高压系统</x:v>
      </x:c>
      <x:c r="E35" s="391" t="str">
        <x:v>SAFETY</x:v>
      </x:c>
      <x:c r="F35" s="391" t="n">
        <x:f>COUNTIFS('58_事实边界裁定'!$C$6:$C$127,B35,'58_事实边界裁定'!$P$6:$P$127,C35)</x:f>
        <x:v>8</x:v>
      </x:c>
      <x:c r="G35" s="391" t="n">
        <x:f>COUNTIFS('58_事实边界裁定'!$C$6:$C$127,B35,'58_事实边界裁定'!$P$6:$P$127,C35,'58_事实边界裁定'!$J$6:$J$127,1)</x:f>
        <x:v>0</x:v>
      </x:c>
      <x:c r="H35" s="391" t="n">
        <x:f>COUNTIFS('58_事实边界裁定'!$C$6:$C$127,B35,'58_事实边界裁定'!$P$6:$P$127,C35,'58_事实边界裁定'!$K$6:$K$127,1)</x:f>
        <x:v>8</x:v>
      </x:c>
      <x:c r="I35" s="391" t="n">
        <x:f>COUNTIFS('58_事实边界裁定'!$C$6:$C$127,B35,'58_事实边界裁定'!$P$6:$P$127,C35,'58_事实边界裁定'!$L$6:$L$127,1)</x:f>
        <x:v>0</x:v>
      </x:c>
      <x:c r="J35" s="391" t="n">
        <x:f>COUNTIFS('58_事实边界裁定'!$C$6:$C$127,B35,'58_事实边界裁定'!$P$6:$P$127,C35,'58_事实边界裁定'!$M$6:$M$127,1)</x:f>
        <x:v>1</x:v>
      </x:c>
      <x:c r="K35" s="391" t="n">
        <x:f>COUNTIFS('58_事实边界裁定'!$C$6:$C$127,B35,'58_事实边界裁定'!$P$6:$P$127,C35)-J35</x:f>
        <x:v>7</x:v>
      </x:c>
      <x:c r="L35" s="391" t="str">
        <x:f>IF(I35&gt;0,"STRICT_RELEASE_ROOT",IF(J35&gt;0,"ENGINEERING_PROVISIONAL_ROOT",IF(H35&gt;0,"SYSTEM_OR_SUPPORT_NO_SEPARATE_COST","HOLD_OR_POOL")))</x:f>
        <x:v>ENGINEERING_PROVISIONAL_ROOT</x:v>
      </x:c>
      <x:c r="M35" s="391" t="str">
        <x:f>IF(I35&gt;0,"COST_RANGE_REQUIRED_3.2",IF(J35&gt;0,"PROVISIONAL_COST_RANGE_3.2","NO_SEPARATE_COST_LINE"))</x:f>
        <x:v>PROVISIONAL_COST_RANGE_3.2</x:v>
      </x:c>
      <x:c r="N35" s="391" t="str">
        <x:v>电池容量、化学体系、续航、补能与安全指标共用电池根</x:v>
      </x:c>
    </x:row>
    <x:row r="36" ht="46" customHeight="1">
      <x:c r="A36" s="19" t="str">
        <x:v>BOM31C-031</x:v>
      </x:c>
      <x:c r="B36" s="19" t="str">
        <x:v>PC-N90-MAX-CAND</x:v>
      </x:c>
      <x:c r="C36" s="19" t="str">
        <x:v>BOM_BODY_SAFETY</x:v>
      </x:c>
      <x:c r="D36" s="19" t="str">
        <x:v>白车身安全结构</x:v>
      </x:c>
      <x:c r="E36" s="19" t="str">
        <x:v>BODY_SAFETY</x:v>
      </x:c>
      <x:c r="F36" s="19" t="n">
        <x:f>COUNTIFS('58_事实边界裁定'!$C$6:$C$127,B36,'58_事实边界裁定'!$P$6:$P$127,C36)</x:f>
        <x:v>4</x:v>
      </x:c>
      <x:c r="G36" s="19" t="n">
        <x:f>COUNTIFS('58_事实边界裁定'!$C$6:$C$127,B36,'58_事实边界裁定'!$P$6:$P$127,C36,'58_事实边界裁定'!$J$6:$J$127,1)</x:f>
        <x:v>0</x:v>
      </x:c>
      <x:c r="H36" s="19" t="n">
        <x:f>COUNTIFS('58_事实边界裁定'!$C$6:$C$127,B36,'58_事实边界裁定'!$P$6:$P$127,C36,'58_事实边界裁定'!$K$6:$K$127,1)</x:f>
        <x:v>4</x:v>
      </x:c>
      <x:c r="I36" s="19" t="n">
        <x:f>COUNTIFS('58_事实边界裁定'!$C$6:$C$127,B36,'58_事实边界裁定'!$P$6:$P$127,C36,'58_事实边界裁定'!$L$6:$L$127,1)</x:f>
        <x:v>0</x:v>
      </x:c>
      <x:c r="J36" s="19" t="n">
        <x:f>COUNTIFS('58_事实边界裁定'!$C$6:$C$127,B36,'58_事实边界裁定'!$P$6:$P$127,C36,'58_事实边界裁定'!$M$6:$M$127,1)</x:f>
        <x:v>1</x:v>
      </x:c>
      <x:c r="K36" s="19" t="n">
        <x:f>COUNTIFS('58_事实边界裁定'!$C$6:$C$127,B36,'58_事实边界裁定'!$P$6:$P$127,C36)-J36</x:f>
        <x:v>3</x:v>
      </x:c>
      <x:c r="L36" s="19" t="str">
        <x:f>IF(I36&gt;0,"STRICT_RELEASE_ROOT",IF(J36&gt;0,"ENGINEERING_PROVISIONAL_ROOT",IF(H36&gt;0,"SYSTEM_OR_SUPPORT_NO_SEPARATE_COST","HOLD_OR_POOL")))</x:f>
        <x:v>ENGINEERING_PROVISIONAL_ROOT</x:v>
      </x:c>
      <x:c r="M36" s="19" t="str">
        <x:f>IF(I36&gt;0,"COST_RANGE_REQUIRED_3.2",IF(J36&gt;0,"PROVISIONAL_COST_RANGE_3.2","NO_SEPARATE_COST_LINE"))</x:f>
        <x:v>PROVISIONAL_COST_RANGE_3.2</x:v>
      </x:c>
      <x:c r="N36" s="19" t="str">
        <x:v>同一节点+根键最多一个成本行</x:v>
      </x:c>
    </x:row>
    <x:row r="37" ht="46" customHeight="1">
      <x:c r="A37" s="391" t="str">
        <x:v>BOM31C-032</x:v>
      </x:c>
      <x:c r="B37" s="391" t="str">
        <x:v>PC-N90-MAX-CAND</x:v>
      </x:c>
      <x:c r="C37" s="391" t="str">
        <x:v>BOM_BODY_SPACE_GEOMETRY</x:v>
      </x:c>
      <x:c r="D37" s="391" t="str">
        <x:v>车身空间与地板滑轨</x:v>
      </x:c>
      <x:c r="E37" s="391" t="str">
        <x:v>BODY_SPACE</x:v>
      </x:c>
      <x:c r="F37" s="391" t="n">
        <x:f>COUNTIFS('58_事实边界裁定'!$C$6:$C$127,B37,'58_事实边界裁定'!$P$6:$P$127,C37)</x:f>
        <x:v>13</x:v>
      </x:c>
      <x:c r="G37" s="391" t="n">
        <x:f>COUNTIFS('58_事实边界裁定'!$C$6:$C$127,B37,'58_事实边界裁定'!$P$6:$P$127,C37,'58_事实边界裁定'!$J$6:$J$127,1)</x:f>
        <x:v>0</x:v>
      </x:c>
      <x:c r="H37" s="391" t="n">
        <x:f>COUNTIFS('58_事实边界裁定'!$C$6:$C$127,B37,'58_事实边界裁定'!$P$6:$P$127,C37,'58_事实边界裁定'!$K$6:$K$127,1)</x:f>
        <x:v>12</x:v>
      </x:c>
      <x:c r="I37" s="391" t="n">
        <x:f>COUNTIFS('58_事实边界裁定'!$C$6:$C$127,B37,'58_事实边界裁定'!$P$6:$P$127,C37,'58_事实边界裁定'!$L$6:$L$127,1)</x:f>
        <x:v>0</x:v>
      </x:c>
      <x:c r="J37" s="391" t="n">
        <x:f>COUNTIFS('58_事实边界裁定'!$C$6:$C$127,B37,'58_事实边界裁定'!$P$6:$P$127,C37,'58_事实边界裁定'!$M$6:$M$127,1)</x:f>
        <x:v>0</x:v>
      </x:c>
      <x:c r="K37" s="391" t="n">
        <x:f>COUNTIFS('58_事实边界裁定'!$C$6:$C$127,B37,'58_事实边界裁定'!$P$6:$P$127,C37)-J37</x:f>
        <x:v>13</x:v>
      </x:c>
      <x:c r="L37" s="391" t="str">
        <x:f>IF(I37&gt;0,"STRICT_RELEASE_ROOT",IF(J37&gt;0,"ENGINEERING_PROVISIONAL_ROOT",IF(H37&gt;0,"SYSTEM_OR_SUPPORT_NO_SEPARATE_COST","HOLD_OR_POOL")))</x:f>
        <x:v>SYSTEM_OR_SUPPORT_NO_SEPARATE_COST</x:v>
      </x:c>
      <x:c r="M37" s="391" t="str">
        <x:f>IF(I37&gt;0,"COST_RANGE_REQUIRED_3.2",IF(J37&gt;0,"PROVISIONAL_COST_RANGE_3.2","NO_SEPARATE_COST_LINE"))</x:f>
        <x:v>NO_SEPARATE_COST_LINE</x:v>
      </x:c>
      <x:c r="N37" s="391" t="str">
        <x:v>同一节点+根键最多一个成本行</x:v>
      </x:c>
    </x:row>
    <x:row r="38" ht="46" customHeight="1">
      <x:c r="A38" s="19" t="str">
        <x:v>BOM31C-033</x:v>
      </x:c>
      <x:c r="B38" s="19" t="str">
        <x:v>PC-N90-MAX-CAND</x:v>
      </x:c>
      <x:c r="C38" s="19" t="str">
        <x:v>BOM_BRAKING</x:v>
      </x:c>
      <x:c r="D38" s="19" t="str">
        <x:v>制动系统</x:v>
      </x:c>
      <x:c r="E38" s="19" t="str">
        <x:v>CHASSIS</x:v>
      </x:c>
      <x:c r="F38" s="19" t="n">
        <x:f>COUNTIFS('58_事实边界裁定'!$C$6:$C$127,B38,'58_事实边界裁定'!$P$6:$P$127,C38)</x:f>
        <x:v>2</x:v>
      </x:c>
      <x:c r="G38" s="19" t="n">
        <x:f>COUNTIFS('58_事实边界裁定'!$C$6:$C$127,B38,'58_事实边界裁定'!$P$6:$P$127,C38,'58_事实边界裁定'!$J$6:$J$127,1)</x:f>
        <x:v>0</x:v>
      </x:c>
      <x:c r="H38" s="19" t="n">
        <x:f>COUNTIFS('58_事实边界裁定'!$C$6:$C$127,B38,'58_事实边界裁定'!$P$6:$P$127,C38,'58_事实边界裁定'!$K$6:$K$127,1)</x:f>
        <x:v>2</x:v>
      </x:c>
      <x:c r="I38" s="19" t="n">
        <x:f>COUNTIFS('58_事实边界裁定'!$C$6:$C$127,B38,'58_事实边界裁定'!$P$6:$P$127,C38,'58_事实边界裁定'!$L$6:$L$127,1)</x:f>
        <x:v>0</x:v>
      </x:c>
      <x:c r="J38" s="19" t="n">
        <x:f>COUNTIFS('58_事实边界裁定'!$C$6:$C$127,B38,'58_事实边界裁定'!$P$6:$P$127,C38,'58_事实边界裁定'!$M$6:$M$127,1)</x:f>
        <x:v>1</x:v>
      </x:c>
      <x:c r="K38" s="19" t="n">
        <x:f>COUNTIFS('58_事实边界裁定'!$C$6:$C$127,B38,'58_事实边界裁定'!$P$6:$P$127,C38)-J38</x:f>
        <x:v>1</x:v>
      </x:c>
      <x:c r="L38" s="19" t="str">
        <x:f>IF(I38&gt;0,"STRICT_RELEASE_ROOT",IF(J38&gt;0,"ENGINEERING_PROVISIONAL_ROOT",IF(H38&gt;0,"SYSTEM_OR_SUPPORT_NO_SEPARATE_COST","HOLD_OR_POOL")))</x:f>
        <x:v>ENGINEERING_PROVISIONAL_ROOT</x:v>
      </x:c>
      <x:c r="M38" s="19" t="str">
        <x:f>IF(I38&gt;0,"COST_RANGE_REQUIRED_3.2",IF(J38&gt;0,"PROVISIONAL_COST_RANGE_3.2","NO_SEPARATE_COST_LINE"))</x:f>
        <x:v>PROVISIONAL_COST_RANGE_3.2</x:v>
      </x:c>
      <x:c r="N38" s="19" t="str">
        <x:v>同一节点+根键最多一个成本行</x:v>
      </x:c>
    </x:row>
    <x:row r="39" ht="46" customHeight="1">
      <x:c r="A39" s="391" t="str">
        <x:v>BOM31C-034</x:v>
      </x:c>
      <x:c r="B39" s="391" t="str">
        <x:v>PC-N90-MAX-CAND</x:v>
      </x:c>
      <x:c r="C39" s="391" t="str">
        <x:v>BOM_CABIN_220V</x:v>
      </x:c>
      <x:c r="D39" s="391" t="str">
        <x:v>车内220V供电</x:v>
      </x:c>
      <x:c r="E39" s="391" t="str">
        <x:v>CABIN</x:v>
      </x:c>
      <x:c r="F39" s="391" t="n">
        <x:f>COUNTIFS('58_事实边界裁定'!$C$6:$C$127,B39,'58_事实边界裁定'!$P$6:$P$127,C39)</x:f>
        <x:v>1</x:v>
      </x:c>
      <x:c r="G39" s="391" t="n">
        <x:f>COUNTIFS('58_事实边界裁定'!$C$6:$C$127,B39,'58_事实边界裁定'!$P$6:$P$127,C39,'58_事实边界裁定'!$J$6:$J$127,1)</x:f>
        <x:v>0</x:v>
      </x:c>
      <x:c r="H39" s="391" t="n">
        <x:f>COUNTIFS('58_事实边界裁定'!$C$6:$C$127,B39,'58_事实边界裁定'!$P$6:$P$127,C39,'58_事实边界裁定'!$K$6:$K$127,1)</x:f>
        <x:v>1</x:v>
      </x:c>
      <x:c r="I39" s="391" t="n">
        <x:f>COUNTIFS('58_事实边界裁定'!$C$6:$C$127,B39,'58_事实边界裁定'!$P$6:$P$127,C39,'58_事实边界裁定'!$L$6:$L$127,1)</x:f>
        <x:v>0</x:v>
      </x:c>
      <x:c r="J39" s="391" t="n">
        <x:f>COUNTIFS('58_事实边界裁定'!$C$6:$C$127,B39,'58_事实边界裁定'!$P$6:$P$127,C39,'58_事实边界裁定'!$M$6:$M$127,1)</x:f>
        <x:v>1</x:v>
      </x:c>
      <x:c r="K39" s="391" t="n">
        <x:f>COUNTIFS('58_事实边界裁定'!$C$6:$C$127,B39,'58_事实边界裁定'!$P$6:$P$127,C39)-J39</x:f>
        <x:v>0</x:v>
      </x:c>
      <x:c r="L39" s="391" t="str">
        <x:f>IF(I39&gt;0,"STRICT_RELEASE_ROOT",IF(J39&gt;0,"ENGINEERING_PROVISIONAL_ROOT",IF(H39&gt;0,"SYSTEM_OR_SUPPORT_NO_SEPARATE_COST","HOLD_OR_POOL")))</x:f>
        <x:v>ENGINEERING_PROVISIONAL_ROOT</x:v>
      </x:c>
      <x:c r="M39" s="391" t="str">
        <x:f>IF(I39&gt;0,"COST_RANGE_REQUIRED_3.2",IF(J39&gt;0,"PROVISIONAL_COST_RANGE_3.2","NO_SEPARATE_COST_LINE"))</x:f>
        <x:v>PROVISIONAL_COST_RANGE_3.2</x:v>
      </x:c>
      <x:c r="N39" s="391" t="str">
        <x:v>同一节点+根键最多一个成本行</x:v>
      </x:c>
    </x:row>
    <x:row r="40" ht="46" customHeight="1">
      <x:c r="A40" s="19" t="str">
        <x:v>BOM31C-035</x:v>
      </x:c>
      <x:c r="B40" s="19" t="str">
        <x:v>PC-N90-MAX-CAND</x:v>
      </x:c>
      <x:c r="C40" s="19" t="str">
        <x:v>BOM_CABIN_PORTS</x:v>
      </x:c>
      <x:c r="D40" s="19" t="str">
        <x:v>座舱生态与电源接口</x:v>
      </x:c>
      <x:c r="E40" s="19" t="str">
        <x:v>CABIN</x:v>
      </x:c>
      <x:c r="F40" s="19" t="n">
        <x:f>COUNTIFS('58_事实边界裁定'!$C$6:$C$127,B40,'58_事实边界裁定'!$P$6:$P$127,C40)</x:f>
        <x:v>2</x:v>
      </x:c>
      <x:c r="G40" s="19" t="n">
        <x:f>COUNTIFS('58_事实边界裁定'!$C$6:$C$127,B40,'58_事实边界裁定'!$P$6:$P$127,C40,'58_事实边界裁定'!$J$6:$J$127,1)</x:f>
        <x:v>0</x:v>
      </x:c>
      <x:c r="H40" s="19" t="n">
        <x:f>COUNTIFS('58_事实边界裁定'!$C$6:$C$127,B40,'58_事实边界裁定'!$P$6:$P$127,C40,'58_事实边界裁定'!$K$6:$K$127,1)</x:f>
        <x:v>2</x:v>
      </x:c>
      <x:c r="I40" s="19" t="n">
        <x:f>COUNTIFS('58_事实边界裁定'!$C$6:$C$127,B40,'58_事实边界裁定'!$P$6:$P$127,C40,'58_事实边界裁定'!$L$6:$L$127,1)</x:f>
        <x:v>0</x:v>
      </x:c>
      <x:c r="J40" s="19" t="n">
        <x:f>COUNTIFS('58_事实边界裁定'!$C$6:$C$127,B40,'58_事实边界裁定'!$P$6:$P$127,C40,'58_事实边界裁定'!$M$6:$M$127,1)</x:f>
        <x:v>1</x:v>
      </x:c>
      <x:c r="K40" s="19" t="n">
        <x:f>COUNTIFS('58_事实边界裁定'!$C$6:$C$127,B40,'58_事实边界裁定'!$P$6:$P$127,C40)-J40</x:f>
        <x:v>1</x:v>
      </x:c>
      <x:c r="L40" s="19" t="str">
        <x:f>IF(I40&gt;0,"STRICT_RELEASE_ROOT",IF(J40&gt;0,"ENGINEERING_PROVISIONAL_ROOT",IF(H40&gt;0,"SYSTEM_OR_SUPPORT_NO_SEPARATE_COST","HOLD_OR_POOL")))</x:f>
        <x:v>ENGINEERING_PROVISIONAL_ROOT</x:v>
      </x:c>
      <x:c r="M40" s="19" t="str">
        <x:f>IF(I40&gt;0,"COST_RANGE_REQUIRED_3.2",IF(J40&gt;0,"PROVISIONAL_COST_RANGE_3.2","NO_SEPARATE_COST_LINE"))</x:f>
        <x:v>PROVISIONAL_COST_RANGE_3.2</x:v>
      </x:c>
      <x:c r="N40" s="19" t="str">
        <x:v>同一节点+根键最多一个成本行</x:v>
      </x:c>
    </x:row>
    <x:row r="41" ht="46" customHeight="1">
      <x:c r="A41" s="391" t="str">
        <x:v>BOM31C-036</x:v>
      </x:c>
      <x:c r="B41" s="391" t="str">
        <x:v>PC-N90-MAX-CAND</x:v>
      </x:c>
      <x:c r="C41" s="391" t="str">
        <x:v>BOM_CABIN_TRIM</x:v>
      </x:c>
      <x:c r="D41" s="391" t="str">
        <x:v>座舱软包与饰件</x:v>
      </x:c>
      <x:c r="E41" s="391" t="str">
        <x:v>CABIN</x:v>
      </x:c>
      <x:c r="F41" s="391" t="n">
        <x:f>COUNTIFS('58_事实边界裁定'!$C$6:$C$127,B41,'58_事实边界裁定'!$P$6:$P$127,C41)</x:f>
        <x:v>1</x:v>
      </x:c>
      <x:c r="G41" s="391" t="n">
        <x:f>COUNTIFS('58_事实边界裁定'!$C$6:$C$127,B41,'58_事实边界裁定'!$P$6:$P$127,C41,'58_事实边界裁定'!$J$6:$J$127,1)</x:f>
        <x:v>0</x:v>
      </x:c>
      <x:c r="H41" s="391" t="n">
        <x:f>COUNTIFS('58_事实边界裁定'!$C$6:$C$127,B41,'58_事实边界裁定'!$P$6:$P$127,C41,'58_事实边界裁定'!$K$6:$K$127,1)</x:f>
        <x:v>1</x:v>
      </x:c>
      <x:c r="I41" s="391" t="n">
        <x:f>COUNTIFS('58_事实边界裁定'!$C$6:$C$127,B41,'58_事实边界裁定'!$P$6:$P$127,C41,'58_事实边界裁定'!$L$6:$L$127,1)</x:f>
        <x:v>0</x:v>
      </x:c>
      <x:c r="J41" s="391" t="n">
        <x:f>COUNTIFS('58_事实边界裁定'!$C$6:$C$127,B41,'58_事实边界裁定'!$P$6:$P$127,C41,'58_事实边界裁定'!$M$6:$M$127,1)</x:f>
        <x:v>1</x:v>
      </x:c>
      <x:c r="K41" s="391" t="n">
        <x:f>COUNTIFS('58_事实边界裁定'!$C$6:$C$127,B41,'58_事实边界裁定'!$P$6:$P$127,C41)-J41</x:f>
        <x:v>0</x:v>
      </x:c>
      <x:c r="L41" s="391" t="str">
        <x:f>IF(I41&gt;0,"STRICT_RELEASE_ROOT",IF(J41&gt;0,"ENGINEERING_PROVISIONAL_ROOT",IF(H41&gt;0,"SYSTEM_OR_SUPPORT_NO_SEPARATE_COST","HOLD_OR_POOL")))</x:f>
        <x:v>ENGINEERING_PROVISIONAL_ROOT</x:v>
      </x:c>
      <x:c r="M41" s="391" t="str">
        <x:f>IF(I41&gt;0,"COST_RANGE_REQUIRED_3.2",IF(J41&gt;0,"PROVISIONAL_COST_RANGE_3.2","NO_SEPARATE_COST_LINE"))</x:f>
        <x:v>PROVISIONAL_COST_RANGE_3.2</x:v>
      </x:c>
      <x:c r="N41" s="391" t="str">
        <x:v>同一节点+根键最多一个成本行</x:v>
      </x:c>
    </x:row>
    <x:row r="42" ht="46" customHeight="1">
      <x:c r="A42" s="19" t="str">
        <x:v>BOM31C-037</x:v>
      </x:c>
      <x:c r="B42" s="19" t="str">
        <x:v>PC-N90-MAX-CAND</x:v>
      </x:c>
      <x:c r="C42" s="19" t="str">
        <x:v>BOM_CHASSIS_ARCH</x:v>
      </x:c>
      <x:c r="D42" s="19" t="str">
        <x:v>基础悬架结构</x:v>
      </x:c>
      <x:c r="E42" s="19" t="str">
        <x:v>CHASSIS</x:v>
      </x:c>
      <x:c r="F42" s="19" t="n">
        <x:f>COUNTIFS('58_事实边界裁定'!$C$6:$C$127,B42,'58_事实边界裁定'!$P$6:$P$127,C42)</x:f>
        <x:v>1</x:v>
      </x:c>
      <x:c r="G42" s="19" t="n">
        <x:f>COUNTIFS('58_事实边界裁定'!$C$6:$C$127,B42,'58_事实边界裁定'!$P$6:$P$127,C42,'58_事实边界裁定'!$J$6:$J$127,1)</x:f>
        <x:v>0</x:v>
      </x:c>
      <x:c r="H42" s="19" t="n">
        <x:f>COUNTIFS('58_事实边界裁定'!$C$6:$C$127,B42,'58_事实边界裁定'!$P$6:$P$127,C42,'58_事实边界裁定'!$K$6:$K$127,1)</x:f>
        <x:v>1</x:v>
      </x:c>
      <x:c r="I42" s="19" t="n">
        <x:f>COUNTIFS('58_事实边界裁定'!$C$6:$C$127,B42,'58_事实边界裁定'!$P$6:$P$127,C42,'58_事实边界裁定'!$L$6:$L$127,1)</x:f>
        <x:v>0</x:v>
      </x:c>
      <x:c r="J42" s="19" t="n">
        <x:f>COUNTIFS('58_事实边界裁定'!$C$6:$C$127,B42,'58_事实边界裁定'!$P$6:$P$127,C42,'58_事实边界裁定'!$M$6:$M$127,1)</x:f>
        <x:v>1</x:v>
      </x:c>
      <x:c r="K42" s="19" t="n">
        <x:f>COUNTIFS('58_事实边界裁定'!$C$6:$C$127,B42,'58_事实边界裁定'!$P$6:$P$127,C42)-J42</x:f>
        <x:v>0</x:v>
      </x:c>
      <x:c r="L42" s="19" t="str">
        <x:f>IF(I42&gt;0,"STRICT_RELEASE_ROOT",IF(J42&gt;0,"ENGINEERING_PROVISIONAL_ROOT",IF(H42&gt;0,"SYSTEM_OR_SUPPORT_NO_SEPARATE_COST","HOLD_OR_POOL")))</x:f>
        <x:v>ENGINEERING_PROVISIONAL_ROOT</x:v>
      </x:c>
      <x:c r="M42" s="19" t="str">
        <x:f>IF(I42&gt;0,"COST_RANGE_REQUIRED_3.2",IF(J42&gt;0,"PROVISIONAL_COST_RANGE_3.2","NO_SEPARATE_COST_LINE"))</x:f>
        <x:v>PROVISIONAL_COST_RANGE_3.2</x:v>
      </x:c>
      <x:c r="N42" s="19" t="str">
        <x:v>同一节点+根键最多一个成本行</x:v>
      </x:c>
    </x:row>
    <x:row r="43" ht="46" customHeight="1">
      <x:c r="A43" s="391" t="str">
        <x:v>BOM31C-038</x:v>
      </x:c>
      <x:c r="B43" s="391" t="str">
        <x:v>PC-N90-MAX-CAND</x:v>
      </x:c>
      <x:c r="C43" s="391" t="str">
        <x:v>BOM_CONNECTIVITY</x:v>
      </x:c>
      <x:c r="D43" s="391" t="str">
        <x:v>车载通信系统</x:v>
      </x:c>
      <x:c r="E43" s="391" t="str">
        <x:v>ELECTRONICS</x:v>
      </x:c>
      <x:c r="F43" s="391" t="n">
        <x:f>COUNTIFS('58_事实边界裁定'!$C$6:$C$127,B43,'58_事实边界裁定'!$P$6:$P$127,C43)</x:f>
        <x:v>1</x:v>
      </x:c>
      <x:c r="G43" s="391" t="n">
        <x:f>COUNTIFS('58_事实边界裁定'!$C$6:$C$127,B43,'58_事实边界裁定'!$P$6:$P$127,C43,'58_事实边界裁定'!$J$6:$J$127,1)</x:f>
        <x:v>1</x:v>
      </x:c>
      <x:c r="H43" s="391" t="n">
        <x:f>COUNTIFS('58_事实边界裁定'!$C$6:$C$127,B43,'58_事实边界裁定'!$P$6:$P$127,C43,'58_事实边界裁定'!$K$6:$K$127,1)</x:f>
        <x:v>1</x:v>
      </x:c>
      <x:c r="I43" s="391" t="n">
        <x:f>COUNTIFS('58_事实边界裁定'!$C$6:$C$127,B43,'58_事实边界裁定'!$P$6:$P$127,C43,'58_事实边界裁定'!$L$6:$L$127,1)</x:f>
        <x:v>1</x:v>
      </x:c>
      <x:c r="J43" s="391" t="n">
        <x:f>COUNTIFS('58_事实边界裁定'!$C$6:$C$127,B43,'58_事实边界裁定'!$P$6:$P$127,C43,'58_事实边界裁定'!$M$6:$M$127,1)</x:f>
        <x:v>1</x:v>
      </x:c>
      <x:c r="K43" s="391" t="n">
        <x:f>COUNTIFS('58_事实边界裁定'!$C$6:$C$127,B43,'58_事实边界裁定'!$P$6:$P$127,C43)-J43</x:f>
        <x:v>0</x:v>
      </x:c>
      <x:c r="L43" s="391" t="str">
        <x:f>IF(I43&gt;0,"STRICT_RELEASE_ROOT",IF(J43&gt;0,"ENGINEERING_PROVISIONAL_ROOT",IF(H43&gt;0,"SYSTEM_OR_SUPPORT_NO_SEPARATE_COST","HOLD_OR_POOL")))</x:f>
        <x:v>STRICT_RELEASE_ROOT</x:v>
      </x:c>
      <x:c r="M43" s="391" t="str">
        <x:f>IF(I43&gt;0,"COST_RANGE_REQUIRED_3.2",IF(J43&gt;0,"PROVISIONAL_COST_RANGE_3.2","NO_SEPARATE_COST_LINE"))</x:f>
        <x:v>COST_RANGE_REQUIRED_3.2</x:v>
      </x:c>
      <x:c r="N43" s="391" t="str">
        <x:v>同一节点+根键最多一个成本行</x:v>
      </x:c>
    </x:row>
    <x:row r="44" ht="46" customHeight="1">
      <x:c r="A44" s="19" t="str">
        <x:v>BOM31C-039</x:v>
      </x:c>
      <x:c r="B44" s="19" t="str">
        <x:v>PC-N90-MAX-CAND</x:v>
      </x:c>
      <x:c r="C44" s="19" t="str">
        <x:v>BOM_E_DRIVE</x:v>
      </x:c>
      <x:c r="D44" s="19" t="str">
        <x:v>双电机四驱电驱总成</x:v>
      </x:c>
      <x:c r="E44" s="19" t="str">
        <x:v>POWERTRAIN</x:v>
      </x:c>
      <x:c r="F44" s="19" t="n">
        <x:f>COUNTIFS('58_事实边界裁定'!$C$6:$C$127,B44,'58_事实边界裁定'!$P$6:$P$127,C44)</x:f>
        <x:v>4</x:v>
      </x:c>
      <x:c r="G44" s="19" t="n">
        <x:f>COUNTIFS('58_事实边界裁定'!$C$6:$C$127,B44,'58_事实边界裁定'!$P$6:$P$127,C44,'58_事实边界裁定'!$J$6:$J$127,1)</x:f>
        <x:v>0</x:v>
      </x:c>
      <x:c r="H44" s="19" t="n">
        <x:f>COUNTIFS('58_事实边界裁定'!$C$6:$C$127,B44,'58_事实边界裁定'!$P$6:$P$127,C44,'58_事实边界裁定'!$K$6:$K$127,1)</x:f>
        <x:v>4</x:v>
      </x:c>
      <x:c r="I44" s="19" t="n">
        <x:f>COUNTIFS('58_事实边界裁定'!$C$6:$C$127,B44,'58_事实边界裁定'!$P$6:$P$127,C44,'58_事实边界裁定'!$L$6:$L$127,1)</x:f>
        <x:v>0</x:v>
      </x:c>
      <x:c r="J44" s="19" t="n">
        <x:f>COUNTIFS('58_事实边界裁定'!$C$6:$C$127,B44,'58_事实边界裁定'!$P$6:$P$127,C44,'58_事实边界裁定'!$M$6:$M$127,1)</x:f>
        <x:v>1</x:v>
      </x:c>
      <x:c r="K44" s="19" t="n">
        <x:f>COUNTIFS('58_事实边界裁定'!$C$6:$C$127,B44,'58_事实边界裁定'!$P$6:$P$127,C44)-J44</x:f>
        <x:v>3</x:v>
      </x:c>
      <x:c r="L44" s="19" t="str">
        <x:f>IF(I44&gt;0,"STRICT_RELEASE_ROOT",IF(J44&gt;0,"ENGINEERING_PROVISIONAL_ROOT",IF(H44&gt;0,"SYSTEM_OR_SUPPORT_NO_SEPARATE_COST","HOLD_OR_POOL")))</x:f>
        <x:v>ENGINEERING_PROVISIONAL_ROOT</x:v>
      </x:c>
      <x:c r="M44" s="19" t="str">
        <x:f>IF(I44&gt;0,"COST_RANGE_REQUIRED_3.2",IF(J44&gt;0,"PROVISIONAL_COST_RANGE_3.2","NO_SEPARATE_COST_LINE"))</x:f>
        <x:v>PROVISIONAL_COST_RANGE_3.2</x:v>
      </x:c>
      <x:c r="N44" s="19" t="str">
        <x:v>同一节点+根键最多一个成本行</x:v>
      </x:c>
    </x:row>
    <x:row r="45" ht="46" customHeight="1">
      <x:c r="A45" s="391" t="str">
        <x:v>BOM31C-040</x:v>
      </x:c>
      <x:c r="B45" s="391" t="str">
        <x:v>PC-N90-MAX-CAND</x:v>
      </x:c>
      <x:c r="C45" s="391" t="str">
        <x:v>BOM_FRIDGE</x:v>
      </x:c>
      <x:c r="D45" s="391" t="str">
        <x:v>车载冰箱</x:v>
      </x:c>
      <x:c r="E45" s="391" t="str">
        <x:v>CABIN</x:v>
      </x:c>
      <x:c r="F45" s="391" t="n">
        <x:f>COUNTIFS('58_事实边界裁定'!$C$6:$C$127,B45,'58_事实边界裁定'!$P$6:$P$127,C45)</x:f>
        <x:v>2</x:v>
      </x:c>
      <x:c r="G45" s="391" t="n">
        <x:f>COUNTIFS('58_事实边界裁定'!$C$6:$C$127,B45,'58_事实边界裁定'!$P$6:$P$127,C45,'58_事实边界裁定'!$J$6:$J$127,1)</x:f>
        <x:v>0</x:v>
      </x:c>
      <x:c r="H45" s="391" t="n">
        <x:f>COUNTIFS('58_事实边界裁定'!$C$6:$C$127,B45,'58_事实边界裁定'!$P$6:$P$127,C45,'58_事实边界裁定'!$K$6:$K$127,1)</x:f>
        <x:v>2</x:v>
      </x:c>
      <x:c r="I45" s="391" t="n">
        <x:f>COUNTIFS('58_事实边界裁定'!$C$6:$C$127,B45,'58_事实边界裁定'!$P$6:$P$127,C45,'58_事实边界裁定'!$L$6:$L$127,1)</x:f>
        <x:v>0</x:v>
      </x:c>
      <x:c r="J45" s="391" t="n">
        <x:f>COUNTIFS('58_事实边界裁定'!$C$6:$C$127,B45,'58_事实边界裁定'!$P$6:$P$127,C45,'58_事实边界裁定'!$M$6:$M$127,1)</x:f>
        <x:v>1</x:v>
      </x:c>
      <x:c r="K45" s="391" t="n">
        <x:f>COUNTIFS('58_事实边界裁定'!$C$6:$C$127,B45,'58_事实边界裁定'!$P$6:$P$127,C45)-J45</x:f>
        <x:v>1</x:v>
      </x:c>
      <x:c r="L45" s="391" t="str">
        <x:f>IF(I45&gt;0,"STRICT_RELEASE_ROOT",IF(J45&gt;0,"ENGINEERING_PROVISIONAL_ROOT",IF(H45&gt;0,"SYSTEM_OR_SUPPORT_NO_SEPARATE_COST","HOLD_OR_POOL")))</x:f>
        <x:v>ENGINEERING_PROVISIONAL_ROOT</x:v>
      </x:c>
      <x:c r="M45" s="391" t="str">
        <x:f>IF(I45&gt;0,"COST_RANGE_REQUIRED_3.2",IF(J45&gt;0,"PROVISIONAL_COST_RANGE_3.2","NO_SEPARATE_COST_LINE"))</x:f>
        <x:v>PROVISIONAL_COST_RANGE_3.2</x:v>
      </x:c>
      <x:c r="N45" s="391" t="str">
        <x:v>同一节点+根键最多一个成本行</x:v>
      </x:c>
    </x:row>
    <x:row r="46" ht="46" customHeight="1">
      <x:c r="A46" s="19" t="str">
        <x:v>BOM31C-041</x:v>
      </x:c>
      <x:c r="B46" s="19" t="str">
        <x:v>PC-N90-MAX-CAND</x:v>
      </x:c>
      <x:c r="C46" s="19" t="str">
        <x:v>BOM_FRONT_SWIVEL_SEAT</x:v>
      </x:c>
      <x:c r="D46" s="19" t="str">
        <x:v>前排旋转座椅机构</x:v>
      </x:c>
      <x:c r="E46" s="19" t="str">
        <x:v>COMFORT</x:v>
      </x:c>
      <x:c r="F46" s="19" t="n">
        <x:f>COUNTIFS('58_事实边界裁定'!$C$6:$C$127,B46,'58_事实边界裁定'!$P$6:$P$127,C46)</x:f>
        <x:v>1</x:v>
      </x:c>
      <x:c r="G46" s="19" t="n">
        <x:f>COUNTIFS('58_事实边界裁定'!$C$6:$C$127,B46,'58_事实边界裁定'!$P$6:$P$127,C46,'58_事实边界裁定'!$J$6:$J$127,1)</x:f>
        <x:v>0</x:v>
      </x:c>
      <x:c r="H46" s="19" t="n">
        <x:f>COUNTIFS('58_事实边界裁定'!$C$6:$C$127,B46,'58_事实边界裁定'!$P$6:$P$127,C46,'58_事实边界裁定'!$K$6:$K$127,1)</x:f>
        <x:v>0</x:v>
      </x:c>
      <x:c r="I46" s="19" t="n">
        <x:f>COUNTIFS('58_事实边界裁定'!$C$6:$C$127,B46,'58_事实边界裁定'!$P$6:$P$127,C46,'58_事实边界裁定'!$L$6:$L$127,1)</x:f>
        <x:v>0</x:v>
      </x:c>
      <x:c r="J46" s="19" t="n">
        <x:f>COUNTIFS('58_事实边界裁定'!$C$6:$C$127,B46,'58_事实边界裁定'!$P$6:$P$127,C46,'58_事实边界裁定'!$M$6:$M$127,1)</x:f>
        <x:v>0</x:v>
      </x:c>
      <x:c r="K46" s="19" t="n">
        <x:f>COUNTIFS('58_事实边界裁定'!$C$6:$C$127,B46,'58_事实边界裁定'!$P$6:$P$127,C46)-J46</x:f>
        <x:v>1</x:v>
      </x:c>
      <x:c r="L46" s="19" t="str">
        <x:f>IF(I46&gt;0,"STRICT_RELEASE_ROOT",IF(J46&gt;0,"ENGINEERING_PROVISIONAL_ROOT",IF(H46&gt;0,"SYSTEM_OR_SUPPORT_NO_SEPARATE_COST","HOLD_OR_POOL")))</x:f>
        <x:v>HOLD_OR_POOL</x:v>
      </x:c>
      <x:c r="M46" s="19" t="str">
        <x:f>IF(I46&gt;0,"COST_RANGE_REQUIRED_3.2",IF(J46&gt;0,"PROVISIONAL_COST_RANGE_3.2","NO_SEPARATE_COST_LINE"))</x:f>
        <x:v>NO_SEPARATE_COST_LINE</x:v>
      </x:c>
      <x:c r="N46" s="19" t="str">
        <x:v>同一节点+根键最多一个成本行</x:v>
      </x:c>
    </x:row>
    <x:row r="47" ht="46" customHeight="1">
      <x:c r="A47" s="391" t="str">
        <x:v>BOM31C-042</x:v>
      </x:c>
      <x:c r="B47" s="391" t="str">
        <x:v>PC-N90-MAX-CAND</x:v>
      </x:c>
      <x:c r="C47" s="391" t="str">
        <x:v>BOM_FUEL_TANK</x:v>
      </x:c>
      <x:c r="D47" s="391" t="str">
        <x:v>燃油箱系统</x:v>
      </x:c>
      <x:c r="E47" s="391" t="str">
        <x:v>ENERGY</x:v>
      </x:c>
      <x:c r="F47" s="391" t="n">
        <x:f>COUNTIFS('58_事实边界裁定'!$C$6:$C$127,B47,'58_事实边界裁定'!$P$6:$P$127,C47)</x:f>
        <x:v>1</x:v>
      </x:c>
      <x:c r="G47" s="391" t="n">
        <x:f>COUNTIFS('58_事实边界裁定'!$C$6:$C$127,B47,'58_事实边界裁定'!$P$6:$P$127,C47,'58_事实边界裁定'!$J$6:$J$127,1)</x:f>
        <x:v>0</x:v>
      </x:c>
      <x:c r="H47" s="391" t="n">
        <x:f>COUNTIFS('58_事实边界裁定'!$C$6:$C$127,B47,'58_事实边界裁定'!$P$6:$P$127,C47,'58_事实边界裁定'!$K$6:$K$127,1)</x:f>
        <x:v>1</x:v>
      </x:c>
      <x:c r="I47" s="391" t="n">
        <x:f>COUNTIFS('58_事实边界裁定'!$C$6:$C$127,B47,'58_事实边界裁定'!$P$6:$P$127,C47,'58_事实边界裁定'!$L$6:$L$127,1)</x:f>
        <x:v>0</x:v>
      </x:c>
      <x:c r="J47" s="391" t="n">
        <x:f>COUNTIFS('58_事实边界裁定'!$C$6:$C$127,B47,'58_事实边界裁定'!$P$6:$P$127,C47,'58_事实边界裁定'!$M$6:$M$127,1)</x:f>
        <x:v>1</x:v>
      </x:c>
      <x:c r="K47" s="391" t="n">
        <x:f>COUNTIFS('58_事实边界裁定'!$C$6:$C$127,B47,'58_事实边界裁定'!$P$6:$P$127,C47)-J47</x:f>
        <x:v>0</x:v>
      </x:c>
      <x:c r="L47" s="391" t="str">
        <x:f>IF(I47&gt;0,"STRICT_RELEASE_ROOT",IF(J47&gt;0,"ENGINEERING_PROVISIONAL_ROOT",IF(H47&gt;0,"SYSTEM_OR_SUPPORT_NO_SEPARATE_COST","HOLD_OR_POOL")))</x:f>
        <x:v>ENGINEERING_PROVISIONAL_ROOT</x:v>
      </x:c>
      <x:c r="M47" s="391" t="str">
        <x:f>IF(I47&gt;0,"COST_RANGE_REQUIRED_3.2",IF(J47&gt;0,"PROVISIONAL_COST_RANGE_3.2","NO_SEPARATE_COST_LINE"))</x:f>
        <x:v>PROVISIONAL_COST_RANGE_3.2</x:v>
      </x:c>
      <x:c r="N47" s="391" t="str">
        <x:v>同一节点+根键最多一个成本行</x:v>
      </x:c>
    </x:row>
    <x:row r="48" ht="46" customHeight="1">
      <x:c r="A48" s="19" t="str">
        <x:v>BOM31C-043</x:v>
      </x:c>
      <x:c r="B48" s="19" t="str">
        <x:v>PC-N90-MAX-CAND</x:v>
      </x:c>
      <x:c r="C48" s="19" t="str">
        <x:v>BOM_GLAZING</x:v>
      </x:c>
      <x:c r="D48" s="19" t="str">
        <x:v>全车玻璃系统</x:v>
      </x:c>
      <x:c r="E48" s="19" t="str">
        <x:v>BODY_SPACE</x:v>
      </x:c>
      <x:c r="F48" s="19" t="n">
        <x:f>COUNTIFS('58_事实边界裁定'!$C$6:$C$127,B48,'58_事实边界裁定'!$P$6:$P$127,C48)</x:f>
        <x:v>1</x:v>
      </x:c>
      <x:c r="G48" s="19" t="n">
        <x:f>COUNTIFS('58_事实边界裁定'!$C$6:$C$127,B48,'58_事实边界裁定'!$P$6:$P$127,C48,'58_事实边界裁定'!$J$6:$J$127,1)</x:f>
        <x:v>0</x:v>
      </x:c>
      <x:c r="H48" s="19" t="n">
        <x:f>COUNTIFS('58_事实边界裁定'!$C$6:$C$127,B48,'58_事实边界裁定'!$P$6:$P$127,C48,'58_事实边界裁定'!$K$6:$K$127,1)</x:f>
        <x:v>1</x:v>
      </x:c>
      <x:c r="I48" s="19" t="n">
        <x:f>COUNTIFS('58_事实边界裁定'!$C$6:$C$127,B48,'58_事实边界裁定'!$P$6:$P$127,C48,'58_事实边界裁定'!$L$6:$L$127,1)</x:f>
        <x:v>0</x:v>
      </x:c>
      <x:c r="J48" s="19" t="n">
        <x:f>COUNTIFS('58_事实边界裁定'!$C$6:$C$127,B48,'58_事实边界裁定'!$P$6:$P$127,C48,'58_事实边界裁定'!$M$6:$M$127,1)</x:f>
        <x:v>1</x:v>
      </x:c>
      <x:c r="K48" s="19" t="n">
        <x:f>COUNTIFS('58_事实边界裁定'!$C$6:$C$127,B48,'58_事实边界裁定'!$P$6:$P$127,C48)-J48</x:f>
        <x:v>0</x:v>
      </x:c>
      <x:c r="L48" s="19" t="str">
        <x:f>IF(I48&gt;0,"STRICT_RELEASE_ROOT",IF(J48&gt;0,"ENGINEERING_PROVISIONAL_ROOT",IF(H48&gt;0,"SYSTEM_OR_SUPPORT_NO_SEPARATE_COST","HOLD_OR_POOL")))</x:f>
        <x:v>ENGINEERING_PROVISIONAL_ROOT</x:v>
      </x:c>
      <x:c r="M48" s="19" t="str">
        <x:f>IF(I48&gt;0,"COST_RANGE_REQUIRED_3.2",IF(J48&gt;0,"PROVISIONAL_COST_RANGE_3.2","NO_SEPARATE_COST_LINE"))</x:f>
        <x:v>PROVISIONAL_COST_RANGE_3.2</x:v>
      </x:c>
      <x:c r="N48" s="19" t="str">
        <x:v>同一节点+根键最多一个成本行</x:v>
      </x:c>
    </x:row>
    <x:row r="49" ht="46" customHeight="1">
      <x:c r="A49" s="391" t="str">
        <x:v>BOM31C-044</x:v>
      </x:c>
      <x:c r="B49" s="391" t="str">
        <x:v>PC-N90-MAX-CAND</x:v>
      </x:c>
      <x:c r="C49" s="391" t="str">
        <x:v>BOM_HVAC</x:v>
      </x:c>
      <x:c r="D49" s="391" t="str">
        <x:v>热泵空调与分区温控</x:v>
      </x:c>
      <x:c r="E49" s="391" t="str">
        <x:v>COMFORT</x:v>
      </x:c>
      <x:c r="F49" s="391" t="n">
        <x:f>COUNTIFS('58_事实边界裁定'!$C$6:$C$127,B49,'58_事实边界裁定'!$P$6:$P$127,C49)</x:f>
        <x:v>1</x:v>
      </x:c>
      <x:c r="G49" s="391" t="n">
        <x:f>COUNTIFS('58_事实边界裁定'!$C$6:$C$127,B49,'58_事实边界裁定'!$P$6:$P$127,C49,'58_事实边界裁定'!$J$6:$J$127,1)</x:f>
        <x:v>0</x:v>
      </x:c>
      <x:c r="H49" s="391" t="n">
        <x:f>COUNTIFS('58_事实边界裁定'!$C$6:$C$127,B49,'58_事实边界裁定'!$P$6:$P$127,C49,'58_事实边界裁定'!$K$6:$K$127,1)</x:f>
        <x:v>1</x:v>
      </x:c>
      <x:c r="I49" s="391" t="n">
        <x:f>COUNTIFS('58_事实边界裁定'!$C$6:$C$127,B49,'58_事实边界裁定'!$P$6:$P$127,C49,'58_事实边界裁定'!$L$6:$L$127,1)</x:f>
        <x:v>0</x:v>
      </x:c>
      <x:c r="J49" s="391" t="n">
        <x:f>COUNTIFS('58_事实边界裁定'!$C$6:$C$127,B49,'58_事实边界裁定'!$P$6:$P$127,C49,'58_事实边界裁定'!$M$6:$M$127,1)</x:f>
        <x:v>1</x:v>
      </x:c>
      <x:c r="K49" s="391" t="n">
        <x:f>COUNTIFS('58_事实边界裁定'!$C$6:$C$127,B49,'58_事实边界裁定'!$P$6:$P$127,C49)-J49</x:f>
        <x:v>0</x:v>
      </x:c>
      <x:c r="L49" s="391" t="str">
        <x:f>IF(I49&gt;0,"STRICT_RELEASE_ROOT",IF(J49&gt;0,"ENGINEERING_PROVISIONAL_ROOT",IF(H49&gt;0,"SYSTEM_OR_SUPPORT_NO_SEPARATE_COST","HOLD_OR_POOL")))</x:f>
        <x:v>ENGINEERING_PROVISIONAL_ROOT</x:v>
      </x:c>
      <x:c r="M49" s="391" t="str">
        <x:f>IF(I49&gt;0,"COST_RANGE_REQUIRED_3.2",IF(J49&gt;0,"PROVISIONAL_COST_RANGE_3.2","NO_SEPARATE_COST_LINE"))</x:f>
        <x:v>PROVISIONAL_COST_RANGE_3.2</x:v>
      </x:c>
      <x:c r="N49" s="391" t="str">
        <x:v>同一节点+根键最多一个成本行</x:v>
      </x:c>
    </x:row>
    <x:row r="50" ht="46" customHeight="1">
      <x:c r="A50" s="19" t="str">
        <x:v>BOM31C-045</x:v>
      </x:c>
      <x:c r="B50" s="19" t="str">
        <x:v>PC-N90-MAX-CAND</x:v>
      </x:c>
      <x:c r="C50" s="19" t="str">
        <x:v>BOM_HYDRAULIC_BUSHING</x:v>
      </x:c>
      <x:c r="D50" s="19" t="str">
        <x:v>液压衬套</x:v>
      </x:c>
      <x:c r="E50" s="19" t="str">
        <x:v>CHASSIS</x:v>
      </x:c>
      <x:c r="F50" s="19" t="n">
        <x:f>COUNTIFS('58_事实边界裁定'!$C$6:$C$127,B50,'58_事实边界裁定'!$P$6:$P$127,C50)</x:f>
        <x:v>1</x:v>
      </x:c>
      <x:c r="G50" s="19" t="n">
        <x:f>COUNTIFS('58_事实边界裁定'!$C$6:$C$127,B50,'58_事实边界裁定'!$P$6:$P$127,C50,'58_事实边界裁定'!$J$6:$J$127,1)</x:f>
        <x:v>0</x:v>
      </x:c>
      <x:c r="H50" s="19" t="n">
        <x:f>COUNTIFS('58_事实边界裁定'!$C$6:$C$127,B50,'58_事实边界裁定'!$P$6:$P$127,C50,'58_事实边界裁定'!$K$6:$K$127,1)</x:f>
        <x:v>1</x:v>
      </x:c>
      <x:c r="I50" s="19" t="n">
        <x:f>COUNTIFS('58_事实边界裁定'!$C$6:$C$127,B50,'58_事实边界裁定'!$P$6:$P$127,C50,'58_事实边界裁定'!$L$6:$L$127,1)</x:f>
        <x:v>0</x:v>
      </x:c>
      <x:c r="J50" s="19" t="n">
        <x:f>COUNTIFS('58_事实边界裁定'!$C$6:$C$127,B50,'58_事实边界裁定'!$P$6:$P$127,C50,'58_事实边界裁定'!$M$6:$M$127,1)</x:f>
        <x:v>1</x:v>
      </x:c>
      <x:c r="K50" s="19" t="n">
        <x:f>COUNTIFS('58_事实边界裁定'!$C$6:$C$127,B50,'58_事实边界裁定'!$P$6:$P$127,C50)-J50</x:f>
        <x:v>0</x:v>
      </x:c>
      <x:c r="L50" s="19" t="str">
        <x:f>IF(I50&gt;0,"STRICT_RELEASE_ROOT",IF(J50&gt;0,"ENGINEERING_PROVISIONAL_ROOT",IF(H50&gt;0,"SYSTEM_OR_SUPPORT_NO_SEPARATE_COST","HOLD_OR_POOL")))</x:f>
        <x:v>ENGINEERING_PROVISIONAL_ROOT</x:v>
      </x:c>
      <x:c r="M50" s="19" t="str">
        <x:f>IF(I50&gt;0,"COST_RANGE_REQUIRED_3.2",IF(J50&gt;0,"PROVISIONAL_COST_RANGE_3.2","NO_SEPARATE_COST_LINE"))</x:f>
        <x:v>PROVISIONAL_COST_RANGE_3.2</x:v>
      </x:c>
      <x:c r="N50" s="19" t="str">
        <x:v>同一节点+根键最多一个成本行</x:v>
      </x:c>
    </x:row>
    <x:row r="51" ht="46" customHeight="1">
      <x:c r="A51" s="391" t="str">
        <x:v>BOM31C-046</x:v>
      </x:c>
      <x:c r="B51" s="391" t="str">
        <x:v>PC-N90-MAX-CAND</x:v>
      </x:c>
      <x:c r="C51" s="391" t="str">
        <x:v>BOM_LOW_VOLTAGE</x:v>
      </x:c>
      <x:c r="D51" s="391" t="str">
        <x:v>Flyback低压供电系统</x:v>
      </x:c>
      <x:c r="E51" s="391" t="str">
        <x:v>ELECTRONICS</x:v>
      </x:c>
      <x:c r="F51" s="391" t="n">
        <x:f>COUNTIFS('58_事实边界裁定'!$C$6:$C$127,B51,'58_事实边界裁定'!$P$6:$P$127,C51)</x:f>
        <x:v>1</x:v>
      </x:c>
      <x:c r="G51" s="391" t="n">
        <x:f>COUNTIFS('58_事实边界裁定'!$C$6:$C$127,B51,'58_事实边界裁定'!$P$6:$P$127,C51,'58_事实边界裁定'!$J$6:$J$127,1)</x:f>
        <x:v>1</x:v>
      </x:c>
      <x:c r="H51" s="391" t="n">
        <x:f>COUNTIFS('58_事实边界裁定'!$C$6:$C$127,B51,'58_事实边界裁定'!$P$6:$P$127,C51,'58_事实边界裁定'!$K$6:$K$127,1)</x:f>
        <x:v>1</x:v>
      </x:c>
      <x:c r="I51" s="391" t="n">
        <x:f>COUNTIFS('58_事实边界裁定'!$C$6:$C$127,B51,'58_事实边界裁定'!$P$6:$P$127,C51,'58_事实边界裁定'!$L$6:$L$127,1)</x:f>
        <x:v>1</x:v>
      </x:c>
      <x:c r="J51" s="391" t="n">
        <x:f>COUNTIFS('58_事实边界裁定'!$C$6:$C$127,B51,'58_事实边界裁定'!$P$6:$P$127,C51,'58_事实边界裁定'!$M$6:$M$127,1)</x:f>
        <x:v>1</x:v>
      </x:c>
      <x:c r="K51" s="391" t="n">
        <x:f>COUNTIFS('58_事实边界裁定'!$C$6:$C$127,B51,'58_事实边界裁定'!$P$6:$P$127,C51)-J51</x:f>
        <x:v>0</x:v>
      </x:c>
      <x:c r="L51" s="391" t="str">
        <x:f>IF(I51&gt;0,"STRICT_RELEASE_ROOT",IF(J51&gt;0,"ENGINEERING_PROVISIONAL_ROOT",IF(H51&gt;0,"SYSTEM_OR_SUPPORT_NO_SEPARATE_COST","HOLD_OR_POOL")))</x:f>
        <x:v>STRICT_RELEASE_ROOT</x:v>
      </x:c>
      <x:c r="M51" s="391" t="str">
        <x:f>IF(I51&gt;0,"COST_RANGE_REQUIRED_3.2",IF(J51&gt;0,"PROVISIONAL_COST_RANGE_3.2","NO_SEPARATE_COST_LINE"))</x:f>
        <x:v>COST_RANGE_REQUIRED_3.2</x:v>
      </x:c>
      <x:c r="N51" s="391" t="str">
        <x:v>同一节点+根键最多一个成本行</x:v>
      </x:c>
    </x:row>
    <x:row r="52" ht="46" customHeight="1">
      <x:c r="A52" s="19" t="str">
        <x:v>BOM31C-047</x:v>
      </x:c>
      <x:c r="B52" s="19" t="str">
        <x:v>PC-N90-MAX-CAND</x:v>
      </x:c>
      <x:c r="C52" s="19" t="str">
        <x:v>BOM_RANGE_EXTENDER_EFFICIENCY</x:v>
      </x:c>
      <x:c r="D52" s="19" t="str">
        <x:v>增程能耗与燃油适应性</x:v>
      </x:c>
      <x:c r="E52" s="19" t="str">
        <x:v>ENERGY</x:v>
      </x:c>
      <x:c r="F52" s="19" t="n">
        <x:f>COUNTIFS('58_事实边界裁定'!$C$6:$C$127,B52,'58_事实边界裁定'!$P$6:$P$127,C52)</x:f>
        <x:v>2</x:v>
      </x:c>
      <x:c r="G52" s="19" t="n">
        <x:f>COUNTIFS('58_事实边界裁定'!$C$6:$C$127,B52,'58_事实边界裁定'!$P$6:$P$127,C52,'58_事实边界裁定'!$J$6:$J$127,1)</x:f>
        <x:v>0</x:v>
      </x:c>
      <x:c r="H52" s="19" t="n">
        <x:f>COUNTIFS('58_事实边界裁定'!$C$6:$C$127,B52,'58_事实边界裁定'!$P$6:$P$127,C52,'58_事实边界裁定'!$K$6:$K$127,1)</x:f>
        <x:v>2</x:v>
      </x:c>
      <x:c r="I52" s="19" t="n">
        <x:f>COUNTIFS('58_事实边界裁定'!$C$6:$C$127,B52,'58_事实边界裁定'!$P$6:$P$127,C52,'58_事实边界裁定'!$L$6:$L$127,1)</x:f>
        <x:v>0</x:v>
      </x:c>
      <x:c r="J52" s="19" t="n">
        <x:f>COUNTIFS('58_事实边界裁定'!$C$6:$C$127,B52,'58_事实边界裁定'!$P$6:$P$127,C52,'58_事实边界裁定'!$M$6:$M$127,1)</x:f>
        <x:v>0</x:v>
      </x:c>
      <x:c r="K52" s="19" t="n">
        <x:f>COUNTIFS('58_事实边界裁定'!$C$6:$C$127,B52,'58_事实边界裁定'!$P$6:$P$127,C52)-J52</x:f>
        <x:v>2</x:v>
      </x:c>
      <x:c r="L52" s="19" t="str">
        <x:f>IF(I52&gt;0,"STRICT_RELEASE_ROOT",IF(J52&gt;0,"ENGINEERING_PROVISIONAL_ROOT",IF(H52&gt;0,"SYSTEM_OR_SUPPORT_NO_SEPARATE_COST","HOLD_OR_POOL")))</x:f>
        <x:v>SYSTEM_OR_SUPPORT_NO_SEPARATE_COST</x:v>
      </x:c>
      <x:c r="M52" s="19" t="str">
        <x:f>IF(I52&gt;0,"COST_RANGE_REQUIRED_3.2",IF(J52&gt;0,"PROVISIONAL_COST_RANGE_3.2","NO_SEPARATE_COST_LINE"))</x:f>
        <x:v>NO_SEPARATE_COST_LINE</x:v>
      </x:c>
      <x:c r="N52" s="19" t="str">
        <x:v>同一节点+根键最多一个成本行</x:v>
      </x:c>
    </x:row>
    <x:row r="53" ht="46" customHeight="1">
      <x:c r="A53" s="391" t="str">
        <x:v>BOM31C-048</x:v>
      </x:c>
      <x:c r="B53" s="391" t="str">
        <x:v>PC-N90-MAX-CAND</x:v>
      </x:c>
      <x:c r="C53" s="391" t="str">
        <x:v>BOM_REAR_LIDAR</x:v>
      </x:c>
      <x:c r="D53" s="391" t="str">
        <x:v>后向固态激光雷达</x:v>
      </x:c>
      <x:c r="E53" s="391" t="str">
        <x:v>ADAS</x:v>
      </x:c>
      <x:c r="F53" s="391" t="n">
        <x:f>COUNTIFS('58_事实边界裁定'!$C$6:$C$127,B53,'58_事实边界裁定'!$P$6:$P$127,C53)</x:f>
        <x:v>1</x:v>
      </x:c>
      <x:c r="G53" s="391" t="n">
        <x:f>COUNTIFS('58_事实边界裁定'!$C$6:$C$127,B53,'58_事实边界裁定'!$P$6:$P$127,C53,'58_事实边界裁定'!$J$6:$J$127,1)</x:f>
        <x:v>0</x:v>
      </x:c>
      <x:c r="H53" s="391" t="n">
        <x:f>COUNTIFS('58_事实边界裁定'!$C$6:$C$127,B53,'58_事实边界裁定'!$P$6:$P$127,C53,'58_事实边界裁定'!$K$6:$K$127,1)</x:f>
        <x:v>1</x:v>
      </x:c>
      <x:c r="I53" s="391" t="n">
        <x:f>COUNTIFS('58_事实边界裁定'!$C$6:$C$127,B53,'58_事实边界裁定'!$P$6:$P$127,C53,'58_事实边界裁定'!$L$6:$L$127,1)</x:f>
        <x:v>0</x:v>
      </x:c>
      <x:c r="J53" s="391" t="n">
        <x:f>COUNTIFS('58_事实边界裁定'!$C$6:$C$127,B53,'58_事实边界裁定'!$P$6:$P$127,C53,'58_事实边界裁定'!$M$6:$M$127,1)</x:f>
        <x:v>1</x:v>
      </x:c>
      <x:c r="K53" s="391" t="n">
        <x:f>COUNTIFS('58_事实边界裁定'!$C$6:$C$127,B53,'58_事实边界裁定'!$P$6:$P$127,C53)-J53</x:f>
        <x:v>0</x:v>
      </x:c>
      <x:c r="L53" s="391" t="str">
        <x:f>IF(I53&gt;0,"STRICT_RELEASE_ROOT",IF(J53&gt;0,"ENGINEERING_PROVISIONAL_ROOT",IF(H53&gt;0,"SYSTEM_OR_SUPPORT_NO_SEPARATE_COST","HOLD_OR_POOL")))</x:f>
        <x:v>ENGINEERING_PROVISIONAL_ROOT</x:v>
      </x:c>
      <x:c r="M53" s="391" t="str">
        <x:f>IF(I53&gt;0,"COST_RANGE_REQUIRED_3.2",IF(J53&gt;0,"PROVISIONAL_COST_RANGE_3.2","NO_SEPARATE_COST_LINE"))</x:f>
        <x:v>PROVISIONAL_COST_RANGE_3.2</x:v>
      </x:c>
      <x:c r="N53" s="391" t="str">
        <x:v>同一节点+根键最多一个成本行</x:v>
      </x:c>
    </x:row>
    <x:row r="54" ht="46" customHeight="1">
      <x:c r="A54" s="19" t="str">
        <x:v>BOM31C-049</x:v>
      </x:c>
      <x:c r="B54" s="19" t="str">
        <x:v>PC-N90-MAX-CAND</x:v>
      </x:c>
      <x:c r="C54" s="19" t="str">
        <x:v>BOM_RESTRAINT</x:v>
      </x:c>
      <x:c r="D54" s="19" t="str">
        <x:v>乘员约束系统</x:v>
      </x:c>
      <x:c r="E54" s="19" t="str">
        <x:v>SAFETY</x:v>
      </x:c>
      <x:c r="F54" s="19" t="n">
        <x:f>COUNTIFS('58_事实边界裁定'!$C$6:$C$127,B54,'58_事实边界裁定'!$P$6:$P$127,C54)</x:f>
        <x:v>3</x:v>
      </x:c>
      <x:c r="G54" s="19" t="n">
        <x:f>COUNTIFS('58_事实边界裁定'!$C$6:$C$127,B54,'58_事实边界裁定'!$P$6:$P$127,C54,'58_事实边界裁定'!$J$6:$J$127,1)</x:f>
        <x:v>0</x:v>
      </x:c>
      <x:c r="H54" s="19" t="n">
        <x:f>COUNTIFS('58_事实边界裁定'!$C$6:$C$127,B54,'58_事实边界裁定'!$P$6:$P$127,C54,'58_事实边界裁定'!$K$6:$K$127,1)</x:f>
        <x:v>3</x:v>
      </x:c>
      <x:c r="I54" s="19" t="n">
        <x:f>COUNTIFS('58_事实边界裁定'!$C$6:$C$127,B54,'58_事实边界裁定'!$P$6:$P$127,C54,'58_事实边界裁定'!$L$6:$L$127,1)</x:f>
        <x:v>0</x:v>
      </x:c>
      <x:c r="J54" s="19" t="n">
        <x:f>COUNTIFS('58_事实边界裁定'!$C$6:$C$127,B54,'58_事实边界裁定'!$P$6:$P$127,C54,'58_事实边界裁定'!$M$6:$M$127,1)</x:f>
        <x:v>1</x:v>
      </x:c>
      <x:c r="K54" s="19" t="n">
        <x:f>COUNTIFS('58_事实边界裁定'!$C$6:$C$127,B54,'58_事实边界裁定'!$P$6:$P$127,C54)-J54</x:f>
        <x:v>2</x:v>
      </x:c>
      <x:c r="L54" s="19" t="str">
        <x:f>IF(I54&gt;0,"STRICT_RELEASE_ROOT",IF(J54&gt;0,"ENGINEERING_PROVISIONAL_ROOT",IF(H54&gt;0,"SYSTEM_OR_SUPPORT_NO_SEPARATE_COST","HOLD_OR_POOL")))</x:f>
        <x:v>ENGINEERING_PROVISIONAL_ROOT</x:v>
      </x:c>
      <x:c r="M54" s="19" t="str">
        <x:f>IF(I54&gt;0,"COST_RANGE_REQUIRED_3.2",IF(J54&gt;0,"PROVISIONAL_COST_RANGE_3.2","NO_SEPARATE_COST_LINE"))</x:f>
        <x:v>PROVISIONAL_COST_RANGE_3.2</x:v>
      </x:c>
      <x:c r="N54" s="19" t="str">
        <x:v>同一节点+根键最多一个成本行</x:v>
      </x:c>
    </x:row>
    <x:row r="55" ht="46" customHeight="1">
      <x:c r="A55" s="391" t="str">
        <x:v>BOM31C-050</x:v>
      </x:c>
      <x:c r="B55" s="391" t="str">
        <x:v>PC-N90-MAX-CAND</x:v>
      </x:c>
      <x:c r="C55" s="391" t="str">
        <x:v>BOM_SEAT_ARCHITECTURE</x:v>
      </x:c>
      <x:c r="D55" s="391" t="str">
        <x:v>座椅数量与布局</x:v>
      </x:c>
      <x:c r="E55" s="391" t="str">
        <x:v>BODY_SPACE</x:v>
      </x:c>
      <x:c r="F55" s="391" t="n">
        <x:f>COUNTIFS('58_事实边界裁定'!$C$6:$C$127,B55,'58_事实边界裁定'!$P$6:$P$127,C55)</x:f>
        <x:v>2</x:v>
      </x:c>
      <x:c r="G55" s="391" t="n">
        <x:f>COUNTIFS('58_事实边界裁定'!$C$6:$C$127,B55,'58_事实边界裁定'!$P$6:$P$127,C55,'58_事实边界裁定'!$J$6:$J$127,1)</x:f>
        <x:v>0</x:v>
      </x:c>
      <x:c r="H55" s="391" t="n">
        <x:f>COUNTIFS('58_事实边界裁定'!$C$6:$C$127,B55,'58_事实边界裁定'!$P$6:$P$127,C55,'58_事实边界裁定'!$K$6:$K$127,1)</x:f>
        <x:v>2</x:v>
      </x:c>
      <x:c r="I55" s="391" t="n">
        <x:f>COUNTIFS('58_事实边界裁定'!$C$6:$C$127,B55,'58_事实边界裁定'!$P$6:$P$127,C55,'58_事实边界裁定'!$L$6:$L$127,1)</x:f>
        <x:v>0</x:v>
      </x:c>
      <x:c r="J55" s="391" t="n">
        <x:f>COUNTIFS('58_事实边界裁定'!$C$6:$C$127,B55,'58_事实边界裁定'!$P$6:$P$127,C55,'58_事实边界裁定'!$M$6:$M$127,1)</x:f>
        <x:v>1</x:v>
      </x:c>
      <x:c r="K55" s="391" t="n">
        <x:f>COUNTIFS('58_事实边界裁定'!$C$6:$C$127,B55,'58_事实边界裁定'!$P$6:$P$127,C55)-J55</x:f>
        <x:v>1</x:v>
      </x:c>
      <x:c r="L55" s="391" t="str">
        <x:f>IF(I55&gt;0,"STRICT_RELEASE_ROOT",IF(J55&gt;0,"ENGINEERING_PROVISIONAL_ROOT",IF(H55&gt;0,"SYSTEM_OR_SUPPORT_NO_SEPARATE_COST","HOLD_OR_POOL")))</x:f>
        <x:v>ENGINEERING_PROVISIONAL_ROOT</x:v>
      </x:c>
      <x:c r="M55" s="391" t="str">
        <x:f>IF(I55&gt;0,"COST_RANGE_REQUIRED_3.2",IF(J55&gt;0,"PROVISIONAL_COST_RANGE_3.2","NO_SEPARATE_COST_LINE"))</x:f>
        <x:v>PROVISIONAL_COST_RANGE_3.2</x:v>
      </x:c>
      <x:c r="N55" s="391" t="str">
        <x:v>同一节点+根键最多一个成本行</x:v>
      </x:c>
    </x:row>
    <x:row r="56" ht="46" customHeight="1">
      <x:c r="A56" s="19" t="str">
        <x:v>BOM31C-051</x:v>
      </x:c>
      <x:c r="B56" s="19" t="str">
        <x:v>PC-N90-MAX-CAND</x:v>
      </x:c>
      <x:c r="C56" s="19" t="str">
        <x:v>BOM_SEAT_COMFORT</x:v>
      </x:c>
      <x:c r="D56" s="19" t="str">
        <x:v>座椅舒适系统</x:v>
      </x:c>
      <x:c r="E56" s="19" t="str">
        <x:v>COMFORT</x:v>
      </x:c>
      <x:c r="F56" s="19" t="n">
        <x:f>COUNTIFS('58_事实边界裁定'!$C$6:$C$127,B56,'58_事实边界裁定'!$P$6:$P$127,C56)</x:f>
        <x:v>2</x:v>
      </x:c>
      <x:c r="G56" s="19" t="n">
        <x:f>COUNTIFS('58_事实边界裁定'!$C$6:$C$127,B56,'58_事实边界裁定'!$P$6:$P$127,C56,'58_事实边界裁定'!$J$6:$J$127,1)</x:f>
        <x:v>0</x:v>
      </x:c>
      <x:c r="H56" s="19" t="n">
        <x:f>COUNTIFS('58_事实边界裁定'!$C$6:$C$127,B56,'58_事实边界裁定'!$P$6:$P$127,C56,'58_事实边界裁定'!$K$6:$K$127,1)</x:f>
        <x:v>2</x:v>
      </x:c>
      <x:c r="I56" s="19" t="n">
        <x:f>COUNTIFS('58_事实边界裁定'!$C$6:$C$127,B56,'58_事实边界裁定'!$P$6:$P$127,C56,'58_事实边界裁定'!$L$6:$L$127,1)</x:f>
        <x:v>0</x:v>
      </x:c>
      <x:c r="J56" s="19" t="n">
        <x:f>COUNTIFS('58_事实边界裁定'!$C$6:$C$127,B56,'58_事实边界裁定'!$P$6:$P$127,C56,'58_事实边界裁定'!$M$6:$M$127,1)</x:f>
        <x:v>1</x:v>
      </x:c>
      <x:c r="K56" s="19" t="n">
        <x:f>COUNTIFS('58_事实边界裁定'!$C$6:$C$127,B56,'58_事实边界裁定'!$P$6:$P$127,C56)-J56</x:f>
        <x:v>1</x:v>
      </x:c>
      <x:c r="L56" s="19" t="str">
        <x:f>IF(I56&gt;0,"STRICT_RELEASE_ROOT",IF(J56&gt;0,"ENGINEERING_PROVISIONAL_ROOT",IF(H56&gt;0,"SYSTEM_OR_SUPPORT_NO_SEPARATE_COST","HOLD_OR_POOL")))</x:f>
        <x:v>ENGINEERING_PROVISIONAL_ROOT</x:v>
      </x:c>
      <x:c r="M56" s="19" t="str">
        <x:f>IF(I56&gt;0,"COST_RANGE_REQUIRED_3.2",IF(J56&gt;0,"PROVISIONAL_COST_RANGE_3.2","NO_SEPARATE_COST_LINE"))</x:f>
        <x:v>PROVISIONAL_COST_RANGE_3.2</x:v>
      </x:c>
      <x:c r="N56" s="19" t="str">
        <x:v>同一节点+根键最多一个成本行</x:v>
      </x:c>
    </x:row>
    <x:row r="57" ht="46" customHeight="1">
      <x:c r="A57" s="391" t="str">
        <x:v>BOM31C-052</x:v>
      </x:c>
      <x:c r="B57" s="391" t="str">
        <x:v>PC-N90-MAX-CAND</x:v>
      </x:c>
      <x:c r="C57" s="391" t="str">
        <x:v>BOM_SMART_CABIN</x:v>
      </x:c>
      <x:c r="D57" s="391" t="str">
        <x:v>澎湃智能座舱软件系统</x:v>
      </x:c>
      <x:c r="E57" s="391" t="str">
        <x:v>CABIN</x:v>
      </x:c>
      <x:c r="F57" s="391" t="n">
        <x:f>COUNTIFS('58_事实边界裁定'!$C$6:$C$127,B57,'58_事实边界裁定'!$P$6:$P$127,C57)</x:f>
        <x:v>4</x:v>
      </x:c>
      <x:c r="G57" s="391" t="n">
        <x:f>COUNTIFS('58_事实边界裁定'!$C$6:$C$127,B57,'58_事实边界裁定'!$P$6:$P$127,C57,'58_事实边界裁定'!$J$6:$J$127,1)</x:f>
        <x:v>1</x:v>
      </x:c>
      <x:c r="H57" s="391" t="n">
        <x:f>COUNTIFS('58_事实边界裁定'!$C$6:$C$127,B57,'58_事实边界裁定'!$P$6:$P$127,C57,'58_事实边界裁定'!$K$6:$K$127,1)</x:f>
        <x:v>2</x:v>
      </x:c>
      <x:c r="I57" s="391" t="n">
        <x:f>COUNTIFS('58_事实边界裁定'!$C$6:$C$127,B57,'58_事实边界裁定'!$P$6:$P$127,C57,'58_事实边界裁定'!$L$6:$L$127,1)</x:f>
        <x:v>0</x:v>
      </x:c>
      <x:c r="J57" s="391" t="n">
        <x:f>COUNTIFS('58_事实边界裁定'!$C$6:$C$127,B57,'58_事实边界裁定'!$P$6:$P$127,C57,'58_事实边界裁定'!$M$6:$M$127,1)</x:f>
        <x:v>0</x:v>
      </x:c>
      <x:c r="K57" s="391" t="n">
        <x:f>COUNTIFS('58_事实边界裁定'!$C$6:$C$127,B57,'58_事实边界裁定'!$P$6:$P$127,C57)-J57</x:f>
        <x:v>4</x:v>
      </x:c>
      <x:c r="L57" s="391" t="str">
        <x:f>IF(I57&gt;0,"STRICT_RELEASE_ROOT",IF(J57&gt;0,"ENGINEERING_PROVISIONAL_ROOT",IF(H57&gt;0,"SYSTEM_OR_SUPPORT_NO_SEPARATE_COST","HOLD_OR_POOL")))</x:f>
        <x:v>SYSTEM_OR_SUPPORT_NO_SEPARATE_COST</x:v>
      </x:c>
      <x:c r="M57" s="391" t="str">
        <x:f>IF(I57&gt;0,"COST_RANGE_REQUIRED_3.2",IF(J57&gt;0,"PROVISIONAL_COST_RANGE_3.2","NO_SEPARATE_COST_LINE"))</x:f>
        <x:v>NO_SEPARATE_COST_LINE</x:v>
      </x:c>
      <x:c r="N57" s="391" t="str">
        <x:v>同一节点+根键最多一个成本行</x:v>
      </x:c>
    </x:row>
    <x:row r="58" ht="46" customHeight="1">
      <x:c r="A58" s="19" t="str">
        <x:v>BOM31C-053</x:v>
      </x:c>
      <x:c r="B58" s="19" t="str">
        <x:v>PC-N90-MAX-CAND</x:v>
      </x:c>
      <x:c r="C58" s="19" t="str">
        <x:v>BOM_TIRE_WHEEL_BASE</x:v>
      </x:c>
      <x:c r="D58" s="19" t="str">
        <x:v>基础轮胎与行驶系统</x:v>
      </x:c>
      <x:c r="E58" s="19" t="str">
        <x:v>SAFETY</x:v>
      </x:c>
      <x:c r="F58" s="19" t="n">
        <x:f>COUNTIFS('58_事实边界裁定'!$C$6:$C$127,B58,'58_事实边界裁定'!$P$6:$P$127,C58)</x:f>
        <x:v>3</x:v>
      </x:c>
      <x:c r="G58" s="19" t="n">
        <x:f>COUNTIFS('58_事实边界裁定'!$C$6:$C$127,B58,'58_事实边界裁定'!$P$6:$P$127,C58,'58_事实边界裁定'!$J$6:$J$127,1)</x:f>
        <x:v>0</x:v>
      </x:c>
      <x:c r="H58" s="19" t="n">
        <x:f>COUNTIFS('58_事实边界裁定'!$C$6:$C$127,B58,'58_事实边界裁定'!$P$6:$P$127,C58,'58_事实边界裁定'!$K$6:$K$127,1)</x:f>
        <x:v>3</x:v>
      </x:c>
      <x:c r="I58" s="19" t="n">
        <x:f>COUNTIFS('58_事实边界裁定'!$C$6:$C$127,B58,'58_事实边界裁定'!$P$6:$P$127,C58,'58_事实边界裁定'!$L$6:$L$127,1)</x:f>
        <x:v>0</x:v>
      </x:c>
      <x:c r="J58" s="19" t="n">
        <x:f>COUNTIFS('58_事实边界裁定'!$C$6:$C$127,B58,'58_事实边界裁定'!$P$6:$P$127,C58,'58_事实边界裁定'!$M$6:$M$127,1)</x:f>
        <x:v>1</x:v>
      </x:c>
      <x:c r="K58" s="19" t="n">
        <x:f>COUNTIFS('58_事实边界裁定'!$C$6:$C$127,B58,'58_事实边界裁定'!$P$6:$P$127,C58)-J58</x:f>
        <x:v>2</x:v>
      </x:c>
      <x:c r="L58" s="19" t="str">
        <x:f>IF(I58&gt;0,"STRICT_RELEASE_ROOT",IF(J58&gt;0,"ENGINEERING_PROVISIONAL_ROOT",IF(H58&gt;0,"SYSTEM_OR_SUPPORT_NO_SEPARATE_COST","HOLD_OR_POOL")))</x:f>
        <x:v>ENGINEERING_PROVISIONAL_ROOT</x:v>
      </x:c>
      <x:c r="M58" s="19" t="str">
        <x:f>IF(I58&gt;0,"COST_RANGE_REQUIRED_3.2",IF(J58&gt;0,"PROVISIONAL_COST_RANGE_3.2","NO_SEPARATE_COST_LINE"))</x:f>
        <x:v>PROVISIONAL_COST_RANGE_3.2</x:v>
      </x:c>
      <x:c r="N58" s="19" t="str">
        <x:v>同一节点+根键最多一个成本行</x:v>
      </x:c>
    </x:row>
    <x:row r="59" ht="46" customHeight="1">
      <x:c r="A59" s="391" t="str">
        <x:v>BOM31C-054</x:v>
      </x:c>
      <x:c r="B59" s="391" t="str">
        <x:v>PC-N90-MAX-CAND</x:v>
      </x:c>
      <x:c r="C59" s="391" t="str">
        <x:v>BOM_V2L</x:v>
      </x:c>
      <x:c r="D59" s="391" t="str">
        <x:v>对外放电系统</x:v>
      </x:c>
      <x:c r="E59" s="391" t="str">
        <x:v>ENERGY</x:v>
      </x:c>
      <x:c r="F59" s="391" t="n">
        <x:f>COUNTIFS('58_事实边界裁定'!$C$6:$C$127,B59,'58_事实边界裁定'!$P$6:$P$127,C59)</x:f>
        <x:v>1</x:v>
      </x:c>
      <x:c r="G59" s="391" t="n">
        <x:f>COUNTIFS('58_事实边界裁定'!$C$6:$C$127,B59,'58_事实边界裁定'!$P$6:$P$127,C59,'58_事实边界裁定'!$J$6:$J$127,1)</x:f>
        <x:v>0</x:v>
      </x:c>
      <x:c r="H59" s="391" t="n">
        <x:f>COUNTIFS('58_事实边界裁定'!$C$6:$C$127,B59,'58_事实边界裁定'!$P$6:$P$127,C59,'58_事实边界裁定'!$K$6:$K$127,1)</x:f>
        <x:v>1</x:v>
      </x:c>
      <x:c r="I59" s="391" t="n">
        <x:f>COUNTIFS('58_事实边界裁定'!$C$6:$C$127,B59,'58_事实边界裁定'!$P$6:$P$127,C59,'58_事实边界裁定'!$L$6:$L$127,1)</x:f>
        <x:v>0</x:v>
      </x:c>
      <x:c r="J59" s="391" t="n">
        <x:f>COUNTIFS('58_事实边界裁定'!$C$6:$C$127,B59,'58_事实边界裁定'!$P$6:$P$127,C59,'58_事实边界裁定'!$M$6:$M$127,1)</x:f>
        <x:v>1</x:v>
      </x:c>
      <x:c r="K59" s="391" t="n">
        <x:f>COUNTIFS('58_事实边界裁定'!$C$6:$C$127,B59,'58_事实边界裁定'!$P$6:$P$127,C59)-J59</x:f>
        <x:v>0</x:v>
      </x:c>
      <x:c r="L59" s="391" t="str">
        <x:f>IF(I59&gt;0,"STRICT_RELEASE_ROOT",IF(J59&gt;0,"ENGINEERING_PROVISIONAL_ROOT",IF(H59&gt;0,"SYSTEM_OR_SUPPORT_NO_SEPARATE_COST","HOLD_OR_POOL")))</x:f>
        <x:v>ENGINEERING_PROVISIONAL_ROOT</x:v>
      </x:c>
      <x:c r="M59" s="391" t="str">
        <x:f>IF(I59&gt;0,"COST_RANGE_REQUIRED_3.2",IF(J59&gt;0,"PROVISIONAL_COST_RANGE_3.2","NO_SEPARATE_COST_LINE"))</x:f>
        <x:v>PROVISIONAL_COST_RANGE_3.2</x:v>
      </x:c>
      <x:c r="N59" s="391" t="str">
        <x:v>同一节点+根键最多一个成本行</x:v>
      </x:c>
    </x:row>
    <x:row r="60" ht="46" customHeight="1">
      <x:c r="A60" s="19" t="str">
        <x:v>BOM31C-055</x:v>
      </x:c>
      <x:c r="B60" s="19" t="str">
        <x:v>PC-N90-MAX-CAND</x:v>
      </x:c>
      <x:c r="C60" s="19" t="str">
        <x:v>BOM_WADING_SAFETY</x:v>
      </x:c>
      <x:c r="D60" s="19" t="str">
        <x:v>涉水感知与脱困系统</x:v>
      </x:c>
      <x:c r="E60" s="19" t="str">
        <x:v>SAFETY</x:v>
      </x:c>
      <x:c r="F60" s="19" t="n">
        <x:f>COUNTIFS('58_事实边界裁定'!$C$6:$C$127,B60,'58_事实边界裁定'!$P$6:$P$127,C60)</x:f>
        <x:v>3</x:v>
      </x:c>
      <x:c r="G60" s="19" t="n">
        <x:f>COUNTIFS('58_事实边界裁定'!$C$6:$C$127,B60,'58_事实边界裁定'!$P$6:$P$127,C60,'58_事实边界裁定'!$J$6:$J$127,1)</x:f>
        <x:v>1</x:v>
      </x:c>
      <x:c r="H60" s="19" t="n">
        <x:f>COUNTIFS('58_事实边界裁定'!$C$6:$C$127,B60,'58_事实边界裁定'!$P$6:$P$127,C60,'58_事实边界裁定'!$K$6:$K$127,1)</x:f>
        <x:v>3</x:v>
      </x:c>
      <x:c r="I60" s="19" t="n">
        <x:f>COUNTIFS('58_事实边界裁定'!$C$6:$C$127,B60,'58_事实边界裁定'!$P$6:$P$127,C60,'58_事实边界裁定'!$L$6:$L$127,1)</x:f>
        <x:v>0</x:v>
      </x:c>
      <x:c r="J60" s="19" t="n">
        <x:f>COUNTIFS('58_事实边界裁定'!$C$6:$C$127,B60,'58_事实边界裁定'!$P$6:$P$127,C60,'58_事实边界裁定'!$M$6:$M$127,1)</x:f>
        <x:v>1</x:v>
      </x:c>
      <x:c r="K60" s="19" t="n">
        <x:f>COUNTIFS('58_事实边界裁定'!$C$6:$C$127,B60,'58_事实边界裁定'!$P$6:$P$127,C60)-J60</x:f>
        <x:v>2</x:v>
      </x:c>
      <x:c r="L60" s="19" t="str">
        <x:f>IF(I60&gt;0,"STRICT_RELEASE_ROOT",IF(J60&gt;0,"ENGINEERING_PROVISIONAL_ROOT",IF(H60&gt;0,"SYSTEM_OR_SUPPORT_NO_SEPARATE_COST","HOLD_OR_POOL")))</x:f>
        <x:v>ENGINEERING_PROVISIONAL_ROOT</x:v>
      </x:c>
      <x:c r="M60" s="19" t="str">
        <x:f>IF(I60&gt;0,"COST_RANGE_REQUIRED_3.2",IF(J60&gt;0,"PROVISIONAL_COST_RANGE_3.2","NO_SEPARATE_COST_LINE"))</x:f>
        <x:v>PROVISIONAL_COST_RANGE_3.2</x:v>
      </x:c>
      <x:c r="N60" s="19" t="str">
        <x:v>同一节点+根键最多一个成本行</x:v>
      </x:c>
    </x:row>
    <x:row r="61" ht="46" customHeight="1">
      <x:c r="A61" s="391" t="str">
        <x:v>BOM31C-056</x:v>
      </x:c>
      <x:c r="B61" s="391" t="str">
        <x:v>PC-N90-MAX-CAND</x:v>
      </x:c>
      <x:c r="C61" s="391" t="str">
        <x:v>BOM_ZERO_GRAVITY_SEAT</x:v>
      </x:c>
      <x:c r="D61" s="391" t="str">
        <x:v>零重力座椅机构</x:v>
      </x:c>
      <x:c r="E61" s="391" t="str">
        <x:v>COMFORT</x:v>
      </x:c>
      <x:c r="F61" s="391" t="n">
        <x:f>COUNTIFS('58_事实边界裁定'!$C$6:$C$127,B61,'58_事实边界裁定'!$P$6:$P$127,C61)</x:f>
        <x:v>1</x:v>
      </x:c>
      <x:c r="G61" s="391" t="n">
        <x:f>COUNTIFS('58_事实边界裁定'!$C$6:$C$127,B61,'58_事实边界裁定'!$P$6:$P$127,C61,'58_事实边界裁定'!$J$6:$J$127,1)</x:f>
        <x:v>0</x:v>
      </x:c>
      <x:c r="H61" s="391" t="n">
        <x:f>COUNTIFS('58_事实边界裁定'!$C$6:$C$127,B61,'58_事实边界裁定'!$P$6:$P$127,C61,'58_事实边界裁定'!$K$6:$K$127,1)</x:f>
        <x:v>0</x:v>
      </x:c>
      <x:c r="I61" s="391" t="n">
        <x:f>COUNTIFS('58_事实边界裁定'!$C$6:$C$127,B61,'58_事实边界裁定'!$P$6:$P$127,C61,'58_事实边界裁定'!$L$6:$L$127,1)</x:f>
        <x:v>0</x:v>
      </x:c>
      <x:c r="J61" s="391" t="n">
        <x:f>COUNTIFS('58_事实边界裁定'!$C$6:$C$127,B61,'58_事实边界裁定'!$P$6:$P$127,C61,'58_事实边界裁定'!$M$6:$M$127,1)</x:f>
        <x:v>0</x:v>
      </x:c>
      <x:c r="K61" s="391" t="n">
        <x:f>COUNTIFS('58_事实边界裁定'!$C$6:$C$127,B61,'58_事实边界裁定'!$P$6:$P$127,C61)-J61</x:f>
        <x:v>1</x:v>
      </x:c>
      <x:c r="L61" s="391" t="str">
        <x:f>IF(I61&gt;0,"STRICT_RELEASE_ROOT",IF(J61&gt;0,"ENGINEERING_PROVISIONAL_ROOT",IF(H61&gt;0,"SYSTEM_OR_SUPPORT_NO_SEPARATE_COST","HOLD_OR_POOL")))</x:f>
        <x:v>HOLD_OR_POOL</x:v>
      </x:c>
      <x:c r="M61" s="391" t="str">
        <x:f>IF(I61&gt;0,"COST_RANGE_REQUIRED_3.2",IF(J61&gt;0,"PROVISIONAL_COST_RANGE_3.2","NO_SEPARATE_COST_LINE"))</x:f>
        <x:v>NO_SEPARATE_COST_LINE</x:v>
      </x:c>
      <x:c r="N61" s="391" t="str">
        <x:v>同一节点+根键最多一个成本行</x:v>
      </x:c>
    </x:row>
    <x:row r="62" ht="46" customHeight="1">
      <x:c r="A62" s="19" t="str">
        <x:v>BOM31C-057</x:v>
      </x:c>
      <x:c r="B62" s="19" t="str">
        <x:v>PC-N90-MAX-CAND</x:v>
      </x:c>
      <x:c r="C62" s="19" t="str">
        <x:v>OPT_GRILLE_TRIM</x:v>
      </x:c>
      <x:c r="D62" s="19" t="str">
        <x:v>前格栅饰板选择</x:v>
      </x:c>
      <x:c r="E62" s="19" t="str">
        <x:v>EXTERIOR</x:v>
      </x:c>
      <x:c r="F62" s="19" t="n">
        <x:f>COUNTIFS('58_事实边界裁定'!$C$6:$C$127,B62,'58_事实边界裁定'!$P$6:$P$127,C62)</x:f>
        <x:v>1</x:v>
      </x:c>
      <x:c r="G62" s="19" t="n">
        <x:f>COUNTIFS('58_事实边界裁定'!$C$6:$C$127,B62,'58_事实边界裁定'!$P$6:$P$127,C62,'58_事实边界裁定'!$J$6:$J$127,1)</x:f>
        <x:v>0</x:v>
      </x:c>
      <x:c r="H62" s="19" t="n">
        <x:f>COUNTIFS('58_事实边界裁定'!$C$6:$C$127,B62,'58_事实边界裁定'!$P$6:$P$127,C62,'58_事实边界裁定'!$K$6:$K$127,1)</x:f>
        <x:v>0</x:v>
      </x:c>
      <x:c r="I62" s="19" t="n">
        <x:f>COUNTIFS('58_事实边界裁定'!$C$6:$C$127,B62,'58_事实边界裁定'!$P$6:$P$127,C62,'58_事实边界裁定'!$L$6:$L$127,1)</x:f>
        <x:v>0</x:v>
      </x:c>
      <x:c r="J62" s="19" t="n">
        <x:f>COUNTIFS('58_事实边界裁定'!$C$6:$C$127,B62,'58_事实边界裁定'!$P$6:$P$127,C62,'58_事实边界裁定'!$M$6:$M$127,1)</x:f>
        <x:v>0</x:v>
      </x:c>
      <x:c r="K62" s="19" t="n">
        <x:f>COUNTIFS('58_事实边界裁定'!$C$6:$C$127,B62,'58_事实边界裁定'!$P$6:$P$127,C62)-J62</x:f>
        <x:v>1</x:v>
      </x:c>
      <x:c r="L62" s="19" t="str">
        <x:f>IF(I62&gt;0,"STRICT_RELEASE_ROOT",IF(J62&gt;0,"ENGINEERING_PROVISIONAL_ROOT",IF(H62&gt;0,"SYSTEM_OR_SUPPORT_NO_SEPARATE_COST","HOLD_OR_POOL")))</x:f>
        <x:v>HOLD_OR_POOL</x:v>
      </x:c>
      <x:c r="M62" s="19" t="str">
        <x:f>IF(I62&gt;0,"COST_RANGE_REQUIRED_3.2",IF(J62&gt;0,"PROVISIONAL_COST_RANGE_3.2","NO_SEPARATE_COST_LINE"))</x:f>
        <x:v>NO_SEPARATE_COST_LINE</x:v>
      </x:c>
      <x:c r="N62" s="19" t="str">
        <x:v>同一节点+根键最多一个成本行</x:v>
      </x:c>
    </x:row>
    <x:row r="63" ht="46" customHeight="1">
      <x:c r="A63" s="391" t="str">
        <x:v>BOM31C-058</x:v>
      </x:c>
      <x:c r="B63" s="391" t="str">
        <x:v>PC-N90-MAX-CAND</x:v>
      </x:c>
      <x:c r="C63" s="391" t="str">
        <x:v>OPT_POWER_RUNNING_BOARDS</x:v>
      </x:c>
      <x:c r="D63" s="391" t="str">
        <x:v>电动迎宾踏板选装</x:v>
      </x:c>
      <x:c r="E63" s="391" t="str">
        <x:v>EXTERIOR</x:v>
      </x:c>
      <x:c r="F63" s="391" t="n">
        <x:f>COUNTIFS('58_事实边界裁定'!$C$6:$C$127,B63,'58_事实边界裁定'!$P$6:$P$127,C63)</x:f>
        <x:v>1</x:v>
      </x:c>
      <x:c r="G63" s="391" t="n">
        <x:f>COUNTIFS('58_事实边界裁定'!$C$6:$C$127,B63,'58_事实边界裁定'!$P$6:$P$127,C63,'58_事实边界裁定'!$J$6:$J$127,1)</x:f>
        <x:v>0</x:v>
      </x:c>
      <x:c r="H63" s="391" t="n">
        <x:f>COUNTIFS('58_事实边界裁定'!$C$6:$C$127,B63,'58_事实边界裁定'!$P$6:$P$127,C63,'58_事实边界裁定'!$K$6:$K$127,1)</x:f>
        <x:v>0</x:v>
      </x:c>
      <x:c r="I63" s="391" t="n">
        <x:f>COUNTIFS('58_事实边界裁定'!$C$6:$C$127,B63,'58_事实边界裁定'!$P$6:$P$127,C63,'58_事实边界裁定'!$L$6:$L$127,1)</x:f>
        <x:v>0</x:v>
      </x:c>
      <x:c r="J63" s="391" t="n">
        <x:f>COUNTIFS('58_事实边界裁定'!$C$6:$C$127,B63,'58_事实边界裁定'!$P$6:$P$127,C63,'58_事实边界裁定'!$M$6:$M$127,1)</x:f>
        <x:v>0</x:v>
      </x:c>
      <x:c r="K63" s="391" t="n">
        <x:f>COUNTIFS('58_事实边界裁定'!$C$6:$C$127,B63,'58_事实边界裁定'!$P$6:$P$127,C63)-J63</x:f>
        <x:v>1</x:v>
      </x:c>
      <x:c r="L63" s="391" t="str">
        <x:f>IF(I63&gt;0,"STRICT_RELEASE_ROOT",IF(J63&gt;0,"ENGINEERING_PROVISIONAL_ROOT",IF(H63&gt;0,"SYSTEM_OR_SUPPORT_NO_SEPARATE_COST","HOLD_OR_POOL")))</x:f>
        <x:v>HOLD_OR_POOL</x:v>
      </x:c>
      <x:c r="M63" s="391" t="str">
        <x:f>IF(I63&gt;0,"COST_RANGE_REQUIRED_3.2",IF(J63&gt;0,"PROVISIONAL_COST_RANGE_3.2","NO_SEPARATE_COST_LINE"))</x:f>
        <x:v>NO_SEPARATE_COST_LINE</x:v>
      </x:c>
      <x:c r="N63" s="391" t="str">
        <x:v>同一节点+根键最多一个成本行</x:v>
      </x:c>
    </x:row>
    <x:row r="64" ht="46" customHeight="1">
      <x:c r="A64" s="19" t="str">
        <x:v>BOM31C-059</x:v>
      </x:c>
      <x:c r="B64" s="19" t="str">
        <x:v>PC-N90-MAX-CAND</x:v>
      </x:c>
      <x:c r="C64" s="19" t="str">
        <x:v>OPT_SMART_POWER_DOORS</x:v>
      </x:c>
      <x:c r="D64" s="19" t="str">
        <x:v>智能电动门选装</x:v>
      </x:c>
      <x:c r="E64" s="19" t="str">
        <x:v>EXTERIOR</x:v>
      </x:c>
      <x:c r="F64" s="19" t="n">
        <x:f>COUNTIFS('58_事实边界裁定'!$C$6:$C$127,B64,'58_事实边界裁定'!$P$6:$P$127,C64)</x:f>
        <x:v>1</x:v>
      </x:c>
      <x:c r="G64" s="19" t="n">
        <x:f>COUNTIFS('58_事实边界裁定'!$C$6:$C$127,B64,'58_事实边界裁定'!$P$6:$P$127,C64,'58_事实边界裁定'!$J$6:$J$127,1)</x:f>
        <x:v>0</x:v>
      </x:c>
      <x:c r="H64" s="19" t="n">
        <x:f>COUNTIFS('58_事实边界裁定'!$C$6:$C$127,B64,'58_事实边界裁定'!$P$6:$P$127,C64,'58_事实边界裁定'!$K$6:$K$127,1)</x:f>
        <x:v>0</x:v>
      </x:c>
      <x:c r="I64" s="19" t="n">
        <x:f>COUNTIFS('58_事实边界裁定'!$C$6:$C$127,B64,'58_事实边界裁定'!$P$6:$P$127,C64,'58_事实边界裁定'!$L$6:$L$127,1)</x:f>
        <x:v>0</x:v>
      </x:c>
      <x:c r="J64" s="19" t="n">
        <x:f>COUNTIFS('58_事实边界裁定'!$C$6:$C$127,B64,'58_事实边界裁定'!$P$6:$P$127,C64,'58_事实边界裁定'!$M$6:$M$127,1)</x:f>
        <x:v>0</x:v>
      </x:c>
      <x:c r="K64" s="19" t="n">
        <x:f>COUNTIFS('58_事实边界裁定'!$C$6:$C$127,B64,'58_事实边界裁定'!$P$6:$P$127,C64)-J64</x:f>
        <x:v>1</x:v>
      </x:c>
      <x:c r="L64" s="19" t="str">
        <x:f>IF(I64&gt;0,"STRICT_RELEASE_ROOT",IF(J64&gt;0,"ENGINEERING_PROVISIONAL_ROOT",IF(H64&gt;0,"SYSTEM_OR_SUPPORT_NO_SEPARATE_COST","HOLD_OR_POOL")))</x:f>
        <x:v>HOLD_OR_POOL</x:v>
      </x:c>
      <x:c r="M64" s="19" t="str">
        <x:f>IF(I64&gt;0,"COST_RANGE_REQUIRED_3.2",IF(J64&gt;0,"PROVISIONAL_COST_RANGE_3.2","NO_SEPARATE_COST_LINE"))</x:f>
        <x:v>NO_SEPARATE_COST_LINE</x:v>
      </x:c>
      <x:c r="N64" s="19" t="str">
        <x:v>同一节点+根键最多一个成本行</x:v>
      </x:c>
    </x:row>
    <x:row r="65" ht="46" customHeight="1">
      <x:c r="A65" s="391" t="str">
        <x:v>BOM31C-060</x:v>
      </x:c>
      <x:c r="B65" s="391" t="str">
        <x:v>PC-N90-MAX-CAND</x:v>
      </x:c>
      <x:c r="C65" s="391" t="str">
        <x:v>OPT_WHEEL_DESIGN</x:v>
      </x:c>
      <x:c r="D65" s="391" t="str">
        <x:v>21英寸轮毂造型选择</x:v>
      </x:c>
      <x:c r="E65" s="391" t="str">
        <x:v>EXTERIOR</x:v>
      </x:c>
      <x:c r="F65" s="391" t="n">
        <x:f>COUNTIFS('58_事实边界裁定'!$C$6:$C$127,B65,'58_事实边界裁定'!$P$6:$P$127,C65)</x:f>
        <x:v>1</x:v>
      </x:c>
      <x:c r="G65" s="391" t="n">
        <x:f>COUNTIFS('58_事实边界裁定'!$C$6:$C$127,B65,'58_事实边界裁定'!$P$6:$P$127,C65,'58_事实边界裁定'!$J$6:$J$127,1)</x:f>
        <x:v>0</x:v>
      </x:c>
      <x:c r="H65" s="391" t="n">
        <x:f>COUNTIFS('58_事实边界裁定'!$C$6:$C$127,B65,'58_事实边界裁定'!$P$6:$P$127,C65,'58_事实边界裁定'!$K$6:$K$127,1)</x:f>
        <x:v>0</x:v>
      </x:c>
      <x:c r="I65" s="391" t="n">
        <x:f>COUNTIFS('58_事实边界裁定'!$C$6:$C$127,B65,'58_事实边界裁定'!$P$6:$P$127,C65,'58_事实边界裁定'!$L$6:$L$127,1)</x:f>
        <x:v>0</x:v>
      </x:c>
      <x:c r="J65" s="391" t="n">
        <x:f>COUNTIFS('58_事实边界裁定'!$C$6:$C$127,B65,'58_事实边界裁定'!$P$6:$P$127,C65,'58_事实边界裁定'!$M$6:$M$127,1)</x:f>
        <x:v>0</x:v>
      </x:c>
      <x:c r="K65" s="391" t="n">
        <x:f>COUNTIFS('58_事实边界裁定'!$C$6:$C$127,B65,'58_事实边界裁定'!$P$6:$P$127,C65)-J65</x:f>
        <x:v>1</x:v>
      </x:c>
      <x:c r="L65" s="391" t="str">
        <x:f>IF(I65&gt;0,"STRICT_RELEASE_ROOT",IF(J65&gt;0,"ENGINEERING_PROVISIONAL_ROOT",IF(H65&gt;0,"SYSTEM_OR_SUPPORT_NO_SEPARATE_COST","HOLD_OR_POOL")))</x:f>
        <x:v>HOLD_OR_POOL</x:v>
      </x:c>
      <x:c r="M65" s="391" t="str">
        <x:f>IF(I65&gt;0,"COST_RANGE_REQUIRED_3.2",IF(J65&gt;0,"PROVISIONAL_COST_RANGE_3.2","NO_SEPARATE_COST_LINE"))</x:f>
        <x:v>NO_SEPARATE_COST_LINE</x:v>
      </x:c>
      <x:c r="N65" s="391" t="str">
        <x:v>同一节点+根键最多一个成本行</x:v>
      </x:c>
    </x:row>
    <x:row r="67" ht="24" customHeight="1">
      <x:c r="A67" s="394" t="str">
        <x:v>监管技术底座：证明车型工程身份，不证明商业标配</x:v>
      </x:c>
      <x:c r="B67" s="394"/>
      <x:c r="C67" s="394"/>
      <x:c r="D67" s="394"/>
      <x:c r="E67" s="394"/>
      <x:c r="F67" s="394"/>
      <x:c r="G67" s="394"/>
      <x:c r="H67" s="394"/>
      <x:c r="I67" s="394"/>
      <x:c r="J67" s="394"/>
      <x:c r="K67" s="394"/>
      <x:c r="L67" s="394"/>
      <x:c r="M67" s="394"/>
      <x:c r="N67" s="394"/>
    </x:row>
    <x:row r="68" ht="48" customHeight="1">
      <x:c r="A68" s="390" t="str">
        <x:v>core_id</x:v>
      </x:c>
      <x:c r="B68" s="390" t="str">
        <x:v>commercial_node_id</x:v>
      </x:c>
      <x:c r="C68" s="390" t="str">
        <x:v>miit_model_key</x:v>
      </x:c>
      <x:c r="D68" s="390" t="str">
        <x:v>regulatory_fact</x:v>
      </x:c>
      <x:c r="E68" s="390" t="str">
        <x:v>value</x:v>
      </x:c>
      <x:c r="F68" s="390" t="str">
        <x:v>evidence_grade</x:v>
      </x:c>
      <x:c r="G68" s="390" t="str">
        <x:v>commercial_standard_flag</x:v>
      </x:c>
      <x:c r="H68" s="390" t="str">
        <x:v>engineering_core_flag</x:v>
      </x:c>
      <x:c r="I68" s="390" t="str">
        <x:v>cost_line_flag</x:v>
      </x:c>
      <x:c r="J68" s="390" t="str">
        <x:v>mapping_status</x:v>
      </x:c>
      <x:c r="K68" s="390" t="str">
        <x:v>official_product_binding</x:v>
      </x:c>
      <x:c r="L68" s="390" t="str">
        <x:v>pricing_use</x:v>
      </x:c>
      <x:c r="M68" s="390" t="str">
        <x:v>open_gap</x:v>
      </x:c>
      <x:c r="N68" s="390" t="str">
        <x:v>as_of</x:v>
      </x:c>
    </x:row>
    <x:row r="69" ht="56" customHeight="1">
      <x:c r="A69" s="19" t="str">
        <x:v>CORE-N70-01</x:v>
      </x:c>
      <x:c r="B69" s="19" t="str">
        <x:v>PC-N70-MAX-CAND</x:v>
      </x:c>
      <x:c r="C69" s="19" t="str">
        <x:v>MIIT409-A1 / XMA6500KREEVA1</x:v>
      </x:c>
      <x:c r="D69" s="19" t="str">
        <x:v>座位数</x:v>
      </x:c>
      <x:c r="E69" s="19" t="str">
        <x:v>5座</x:v>
      </x:c>
      <x:c r="F69" s="19" t="str">
        <x:v>E1-G</x:v>
      </x:c>
      <x:c r="G69" s="19" t="n">
        <x:v>0</x:v>
      </x:c>
      <x:c r="H69" s="19" t="n">
        <x:v>1</x:v>
      </x:c>
      <x:c r="I69" s="19" t="n">
        <x:v>0</x:v>
      </x:c>
      <x:c r="J69" s="19" t="str">
        <x:v>MAPPED_MEDIUM</x:v>
      </x:c>
      <x:c r="K69" s="19" t="str">
        <x:v>N70 Max商业节点</x:v>
      </x:c>
      <x:c r="L69" s="19" t="str">
        <x:v>工程骨架，不计版本增量</x:v>
      </x:c>
      <x:c r="M69" s="19" t="str">
        <x:v>等待App车辆SKU唯一映射</x:v>
      </x:c>
      <x:c r="N69" s="19" t="str">
        <x:v>2026-08-04</x:v>
      </x:c>
    </x:row>
    <x:row r="70" ht="56" customHeight="1">
      <x:c r="A70" s="391" t="str">
        <x:v>CORE-N70-02</x:v>
      </x:c>
      <x:c r="B70" s="391" t="str">
        <x:v>PC-N70-MAX-CAND</x:v>
      </x:c>
      <x:c r="C70" s="391" t="str">
        <x:v>MIIT409-A1 / XMA6500KREEVA1</x:v>
      </x:c>
      <x:c r="D70" s="391" t="str">
        <x:v>动力电池化学/供应商</x:v>
      </x:c>
      <x:c r="E70" s="391" t="str">
        <x:v>三元锂 / 中创新航</x:v>
      </x:c>
      <x:c r="F70" s="391" t="str">
        <x:v>E1-G</x:v>
      </x:c>
      <x:c r="G70" s="391" t="n">
        <x:v>0</x:v>
      </x:c>
      <x:c r="H70" s="391" t="n">
        <x:v>1</x:v>
      </x:c>
      <x:c r="I70" s="391" t="n">
        <x:v>0</x:v>
      </x:c>
      <x:c r="J70" s="391" t="str">
        <x:v>MAPPED_MEDIUM</x:v>
      </x:c>
      <x:c r="K70" s="391" t="str">
        <x:v>N70 Max商业节点</x:v>
      </x:c>
      <x:c r="L70" s="391" t="str">
        <x:v>电池根属性；容量仍HOLD</x:v>
      </x:c>
      <x:c r="M70" s="391" t="str">
        <x:v>76kWh不得据此绑定</x:v>
      </x:c>
      <x:c r="N70" s="391" t="str">
        <x:v>2026-08-04</x:v>
      </x:c>
    </x:row>
    <x:row r="71" ht="56" customHeight="1">
      <x:c r="A71" s="19" t="str">
        <x:v>CORE-N70-03</x:v>
      </x:c>
      <x:c r="B71" s="19" t="str">
        <x:v>PC-N70-MAX-CAND</x:v>
      </x:c>
      <x:c r="C71" s="19" t="str">
        <x:v>MIIT409-A1 / XMA6500KREEVA1</x:v>
      </x:c>
      <x:c r="D71" s="19" t="str">
        <x:v>增程器</x:v>
      </x:c>
      <x:c r="E71" s="19" t="str">
        <x:v>M15DRE / 1499mL / 112kW</x:v>
      </x:c>
      <x:c r="F71" s="19" t="str">
        <x:v>E1-G</x:v>
      </x:c>
      <x:c r="G71" s="19" t="n">
        <x:v>0</x:v>
      </x:c>
      <x:c r="H71" s="19" t="n">
        <x:v>1</x:v>
      </x:c>
      <x:c r="I71" s="19" t="n">
        <x:v>0</x:v>
      </x:c>
      <x:c r="J71" s="19" t="str">
        <x:v>MAPPED_MEDIUM</x:v>
      </x:c>
      <x:c r="K71" s="19" t="str">
        <x:v>N70 Max商业节点</x:v>
      </x:c>
      <x:c r="L71" s="19" t="str">
        <x:v>工程技术底座</x:v>
      </x:c>
      <x:c r="M71" s="19" t="str">
        <x:v>正式公告与App版本待补</x:v>
      </x:c>
      <x:c r="N71" s="19" t="str">
        <x:v>2026-08-04</x:v>
      </x:c>
    </x:row>
    <x:row r="72" ht="56" customHeight="1">
      <x:c r="A72" s="391" t="str">
        <x:v>CORE-N70-04</x:v>
      </x:c>
      <x:c r="B72" s="391" t="str">
        <x:v>PC-N70-MAX-CAND</x:v>
      </x:c>
      <x:c r="C72" s="391" t="str">
        <x:v>MIIT409-A1 / XMA6500KREEVA1</x:v>
      </x:c>
      <x:c r="D72" s="391" t="str">
        <x:v>轮胎允许集合</x:v>
      </x:c>
      <x:c r="E72" s="391" t="str">
        <x:v>245/55R19；255/45R21</x:v>
      </x:c>
      <x:c r="F72" s="391" t="str">
        <x:v>E1-G</x:v>
      </x:c>
      <x:c r="G72" s="391" t="n">
        <x:v>0</x:v>
      </x:c>
      <x:c r="H72" s="391" t="n">
        <x:v>1</x:v>
      </x:c>
      <x:c r="I72" s="391" t="n">
        <x:v>0</x:v>
      </x:c>
      <x:c r="J72" s="391" t="str">
        <x:v>ALLOWED_SET_ONLY</x:v>
      </x:c>
      <x:c r="K72" s="391" t="str">
        <x:v>N70 Max商业节点</x:v>
      </x:c>
      <x:c r="L72" s="391" t="str">
        <x:v>不得当作基础轮胎</x:v>
      </x:c>
      <x:c r="M72" s="391" t="str">
        <x:v>标准轮胎/轮毂仍未锁</x:v>
      </x:c>
      <x:c r="N72" s="391" t="str">
        <x:v>2026-08-04</x:v>
      </x:c>
    </x:row>
    <x:row r="73" ht="56" customHeight="1">
      <x:c r="A73" s="19" t="str">
        <x:v>CORE-N90-01</x:v>
      </x:c>
      <x:c r="B73" s="19" t="str">
        <x:v>PC-N90-MAX-CAND</x:v>
      </x:c>
      <x:c r="C73" s="19" t="str">
        <x:v>MIIT409-N90 / XMA6530KREEVA1</x:v>
      </x:c>
      <x:c r="D73" s="19" t="str">
        <x:v>商业座位绑定</x:v>
      </x:c>
      <x:c r="E73" s="19" t="str">
        <x:v>V-N90-7 ONLY</x:v>
      </x:c>
      <x:c r="F73" s="19" t="str">
        <x:v>E1-G×E1-X</x:v>
      </x:c>
      <x:c r="G73" s="19" t="n">
        <x:v>0</x:v>
      </x:c>
      <x:c r="H73" s="19" t="n">
        <x:v>1</x:v>
      </x:c>
      <x:c r="I73" s="19" t="n">
        <x:v>0</x:v>
      </x:c>
      <x:c r="J73" s="19" t="str">
        <x:v>MAPPED_MEDIUM</x:v>
      </x:c>
      <x:c r="K73" s="19" t="str">
        <x:v>N90 Max七座</x:v>
      </x:c>
      <x:c r="L73" s="19" t="str">
        <x:v>工程身份与座位差分</x:v>
      </x:c>
      <x:c r="M73" s="19" t="str">
        <x:v>五座准入变体不得生成第二销售SKU</x:v>
      </x:c>
      <x:c r="N73" s="19" t="str">
        <x:v>2026-08-04</x:v>
      </x:c>
    </x:row>
  </x:sheetData>
  <x:mergeCells>
    <x:mergeCell ref="A1:N1"/>
    <x:mergeCell ref="A2:N2"/>
    <x:mergeCell ref="A3:N3"/>
    <x:mergeCell ref="A67:N67"/>
  </x:mergeCells>
  <x:conditionalFormatting sqref="G6:M65">
    <x:cfRule type="containsText" dxfId="1010" priority="1" operator="containsText" text="PASS"/>
    <x:cfRule type="containsText" dxfId="1011" priority="2" operator="containsText" text="READY"/>
    <x:cfRule type="containsText" dxfId="1012" priority="3" operator="containsText" text="TRUE"/>
    <x:cfRule type="containsText" dxfId="1013" priority="4" operator="containsText" text="LOCKED"/>
    <x:cfRule type="containsText" dxfId="1014" priority="5" operator="containsText" text="STANDARD"/>
    <x:cfRule type="containsText" dxfId="1015" priority="6" operator="containsText" text="INCLUDED"/>
    <x:cfRule type="containsText" dxfId="1016" priority="7" operator="containsText" text="OPTION"/>
    <x:cfRule type="containsText" dxfId="1017" priority="8" operator="containsText" text="PROVISIONAL"/>
    <x:cfRule type="containsText" dxfId="1018" priority="9" operator="containsText" text="ENGINEERING"/>
    <x:cfRule type="containsText" dxfId="1019" priority="10" operator="containsText" text="ACCESSORY"/>
    <x:cfRule type="containsText" dxfId="1020" priority="11" operator="containsText" text="SEPARATE"/>
    <x:cfRule type="containsText" dxfId="1021" priority="12" operator="containsText" text="CANDIDATE"/>
    <x:cfRule type="containsText" dxfId="1022" priority="13" operator="containsText" text="HOLD"/>
    <x:cfRule type="containsText" dxfId="1023" priority="14" operator="containsText" text="NOT_DISCLOSED"/>
    <x:cfRule type="containsText" dxfId="1024" priority="15" operator="containsText" text="SUPPRESS"/>
    <x:cfRule type="containsText" dxfId="1025" priority="16" operator="containsText" text="BLOCKED"/>
    <x:cfRule type="containsText" dxfId="1026" priority="17" operator="containsText" text="FAIL"/>
    <x:cfRule type="containsText" dxfId="1027" priority="18" operator="containsText" text="FALSE"/>
    <x:cfRule type="containsText" dxfId="1028" priority="19" operator="containsText" text="CONFLICT"/>
  </x:conditionalFormatting>
  <x:conditionalFormatting sqref="F69:L73">
    <x:cfRule type="containsText" dxfId="1029" priority="20" operator="containsText" text="PASS"/>
    <x:cfRule type="containsText" dxfId="1030" priority="21" operator="containsText" text="READY"/>
    <x:cfRule type="containsText" dxfId="1031" priority="22" operator="containsText" text="TRUE"/>
    <x:cfRule type="containsText" dxfId="1032" priority="23" operator="containsText" text="LOCKED"/>
    <x:cfRule type="containsText" dxfId="1033" priority="24" operator="containsText" text="STANDARD"/>
    <x:cfRule type="containsText" dxfId="1034" priority="25" operator="containsText" text="INCLUDED"/>
    <x:cfRule type="containsText" dxfId="1035" priority="26" operator="containsText" text="OPTION"/>
    <x:cfRule type="containsText" dxfId="1036" priority="27" operator="containsText" text="PROVISIONAL"/>
    <x:cfRule type="containsText" dxfId="1037" priority="28" operator="containsText" text="ENGINEERING"/>
    <x:cfRule type="containsText" dxfId="1038" priority="29" operator="containsText" text="ACCESSORY"/>
    <x:cfRule type="containsText" dxfId="1039" priority="30" operator="containsText" text="SEPARATE"/>
    <x:cfRule type="containsText" dxfId="1040" priority="31" operator="containsText" text="CANDIDATE"/>
    <x:cfRule type="containsText" dxfId="1041" priority="32" operator="containsText" text="HOLD"/>
    <x:cfRule type="containsText" dxfId="1042" priority="33" operator="containsText" text="NOT_DISCLOSED"/>
    <x:cfRule type="containsText" dxfId="1043" priority="34" operator="containsText" text="SUPPRESS"/>
    <x:cfRule type="containsText" dxfId="1044" priority="35" operator="containsText" text="BLOCKED"/>
    <x:cfRule type="containsText" dxfId="1045" priority="36" operator="containsText" text="FAIL"/>
    <x:cfRule type="containsText" dxfId="1046" priority="37" operator="containsText" text="FALSE"/>
    <x:cfRule type="containsText" dxfId="1047" priority="38" operator="containsText" text="CONFLICT"/>
  </x:conditionalFormatting>
  <x:pageMargins left="0.7" right="0.7" top="0.75" bottom="0.75" header="0.3" footer="0.3"/>
</x:worksheet>
</file>

<file path=xl/worksheets/sheet6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23" hidden="0" customWidth="1"/>
    <x:col min="3" max="3" width="20" hidden="0" customWidth="1"/>
    <x:col min="4" max="4" width="28" hidden="0" customWidth="1"/>
    <x:col min="5" max="5" width="30" hidden="0" customWidth="1"/>
    <x:col min="6" max="6" width="20" hidden="0" customWidth="1"/>
    <x:col min="7" max="7" width="24" hidden="0" customWidth="1"/>
    <x:col min="8" max="8" width="54" hidden="0" customWidth="1"/>
    <x:col min="9" max="9" width="18" hidden="0" customWidth="1"/>
    <x:col min="10" max="10" width="18" hidden="0" customWidth="1"/>
    <x:col min="11" max="11" width="20" hidden="0" customWidth="1"/>
    <x:col min="12" max="12" width="18" hidden="0" customWidth="1"/>
    <x:col min="13" max="13" width="58" hidden="0" customWidth="1"/>
    <x:col min="14" max="14" width="42" hidden="0" customWidth="1"/>
    <x:col min="15" max="15" width="54" hidden="0" customWidth="1"/>
    <x:col min="16" max="16" width="16" hidden="0" customWidth="1"/>
  </x:cols>
  <x:sheetData>
    <x:row r="1" ht="30" customHeight="1">
      <x:c r="A1" s="378" t="str">
        <x:v>60｜N90 Max 明确选装与另购附件池</x:v>
      </x:c>
      <x:c r="B1" s="378"/>
      <x:c r="C1" s="378"/>
      <x:c r="D1" s="378"/>
      <x:c r="E1" s="378"/>
      <x:c r="F1" s="378"/>
      <x:c r="G1" s="378"/>
      <x:c r="H1" s="378"/>
      <x:c r="I1" s="378"/>
      <x:c r="J1" s="378"/>
      <x:c r="K1" s="378"/>
      <x:c r="L1" s="378"/>
      <x:c r="M1" s="378"/>
      <x:c r="N1" s="378"/>
      <x:c r="O1" s="378"/>
      <x:c r="P1" s="378"/>
    </x:row>
    <x:row r="2" ht="22" customHeight="1">
      <x:c r="A2" s="381" t="str">
        <x:v>6项OPTION_POOL + 6项ACCESSORY_POOL｜基础整车BOM均排除</x:v>
      </x:c>
      <x:c r="B2" s="381"/>
      <x:c r="C2" s="381"/>
      <x:c r="D2" s="381"/>
      <x:c r="E2" s="381"/>
      <x:c r="F2" s="381"/>
      <x:c r="G2" s="381"/>
      <x:c r="H2" s="381"/>
      <x:c r="I2" s="381"/>
      <x:c r="J2" s="381"/>
      <x:c r="K2" s="381"/>
      <x:c r="L2" s="381"/>
      <x:c r="M2" s="381"/>
      <x:c r="N2" s="381"/>
      <x:c r="O2" s="381"/>
      <x:c r="P2" s="381"/>
    </x:row>
    <x:row r="3" ht="58" customHeight="1">
      <x:c r="A3" s="385" t="str">
        <x:v>选装和附件的“存在”已锁定，但官方价格、基础替代关系与套装绑定尚未发布。轮毂四款是四选一；零重力座椅“最多4把”只是上限。</x:v>
      </x:c>
      <x:c r="B3" s="385"/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  <x:c r="O3" s="385"/>
      <x:c r="P3" s="385"/>
    </x:row>
    <x:row r="5" ht="58" customHeight="1">
      <x:c r="A5" s="390" t="str">
        <x:v>pool_id</x:v>
      </x:c>
      <x:c r="B5" s="390" t="str">
        <x:v>commercial_node_id</x:v>
      </x:c>
      <x:c r="C5" s="390" t="str">
        <x:v>pool_type</x:v>
      </x:c>
      <x:c r="D5" s="390" t="str">
        <x:v>feature_code</x:v>
      </x:c>
      <x:c r="E5" s="390" t="str">
        <x:v>item_name</x:v>
      </x:c>
      <x:c r="F5" s="390" t="str">
        <x:v>claim_refs</x:v>
      </x:c>
      <x:c r="G5" s="390" t="str">
        <x:v>source_ids</x:v>
      </x:c>
      <x:c r="H5" s="390" t="str">
        <x:v>official_wording</x:v>
      </x:c>
      <x:c r="I5" s="390" t="str">
        <x:v>base_bom_included</x:v>
      </x:c>
      <x:c r="J5" s="390" t="str">
        <x:v>current_app_included</x:v>
      </x:c>
      <x:c r="K5" s="390" t="str">
        <x:v>official_option_price_cny</x:v>
      </x:c>
      <x:c r="L5" s="390" t="str">
        <x:v>price_status</x:v>
      </x:c>
      <x:c r="M5" s="390" t="str">
        <x:v>replacement_or_dependency</x:v>
      </x:c>
      <x:c r="N5" s="390" t="str">
        <x:v>cost_model_use</x:v>
      </x:c>
      <x:c r="O5" s="390" t="str">
        <x:v>promotion_boundary</x:v>
      </x:c>
      <x:c r="P5" s="390" t="str">
        <x:v>as_of</x:v>
      </x:c>
    </x:row>
    <x:row r="6" ht="60" customHeight="1">
      <x:c r="A6" s="19" t="str">
        <x:v>POOL31C-01</x:v>
      </x:c>
      <x:c r="B6" s="19" t="str">
        <x:v>PC-N90-MAX-CAND</x:v>
      </x:c>
      <x:c r="C6" s="19" t="str">
        <x:v>OPTION_POOL</x:v>
      </x:c>
      <x:c r="D6" s="19" t="str">
        <x:v>smart_power_doors</x:v>
      </x:c>
      <x:c r="E6" s="19" t="str">
        <x:v>智能电动门选装</x:v>
      </x:c>
      <x:c r="F6" s="19" t="str">
        <x:v>B31-C105</x:v>
      </x:c>
      <x:c r="G6" s="19" t="str">
        <x:v>B31_SRC_N90_WEB</x:v>
      </x:c>
      <x:c r="H6" s="19" t="str">
        <x:v>可选智能电动门</x:v>
      </x:c>
      <x:c r="I6" s="19" t="n">
        <x:f>0</x:f>
        <x:v>0</x:v>
      </x:c>
      <x:c r="J6" s="19" t="n">
        <x:f>0</x:f>
        <x:v>0</x:v>
      </x:c>
      <x:c r="K6" s="19" t="str"/>
      <x:c r="L6" s="19" t="str">
        <x:v>NOT_PUBLISHED</x:v>
      </x:c>
      <x:c r="M6" s="19" t="str">
        <x:v>替换/升级基础机械门机构；支持语音不代表电动门标配</x:v>
      </x:c>
      <x:c r="N6" s="19" t="str">
        <x:v>Phase3.2可建立选装成本区间，不得称官方价</x:v>
      </x:c>
      <x:c r="O6" s="19" t="str">
        <x:v>无已知促销可改变产品属性</x:v>
      </x:c>
      <x:c r="P6" s="19" t="str">
        <x:v>2026-08-04</x:v>
      </x:c>
    </x:row>
    <x:row r="7" ht="60" customHeight="1">
      <x:c r="A7" s="391" t="str">
        <x:v>POOL31C-02</x:v>
      </x:c>
      <x:c r="B7" s="391" t="str">
        <x:v>PC-N90-MAX-CAND</x:v>
      </x:c>
      <x:c r="C7" s="391" t="str">
        <x:v>OPTION_POOL</x:v>
      </x:c>
      <x:c r="D7" s="391" t="str">
        <x:v>power_running_boards</x:v>
      </x:c>
      <x:c r="E7" s="391" t="str">
        <x:v>电动迎宾踏板选装</x:v>
      </x:c>
      <x:c r="F7" s="391" t="str">
        <x:v>B31-C106</x:v>
      </x:c>
      <x:c r="G7" s="391" t="str">
        <x:v>B31_SRC_N90_WEB</x:v>
      </x:c>
      <x:c r="H7" s="391" t="str">
        <x:v>电动迎宾踏板可选</x:v>
      </x:c>
      <x:c r="I7" s="391" t="n">
        <x:f>0</x:f>
        <x:v>0</x:v>
      </x:c>
      <x:c r="J7" s="391" t="n">
        <x:f>0</x:f>
        <x:v>0</x:v>
      </x:c>
      <x:c r="K7" s="391" t="str"/>
      <x:c r="L7" s="391" t="str">
        <x:v>NOT_PUBLISHED</x:v>
      </x:c>
      <x:c r="M7" s="391" t="str">
        <x:v>新增外挂踏板总成；不并入基础车身成本</x:v>
      </x:c>
      <x:c r="N7" s="391" t="str">
        <x:v>Phase3.2可建立选装成本区间，不得称官方价</x:v>
      </x:c>
      <x:c r="O7" s="391" t="str">
        <x:v>无已知促销可改变产品属性</x:v>
      </x:c>
      <x:c r="P7" s="391" t="str">
        <x:v>2026-08-04</x:v>
      </x:c>
    </x:row>
    <x:row r="8" ht="60" customHeight="1">
      <x:c r="A8" s="19" t="str">
        <x:v>POOL31C-03</x:v>
      </x:c>
      <x:c r="B8" s="19" t="str">
        <x:v>PC-N90-MAX-CAND</x:v>
      </x:c>
      <x:c r="C8" s="19" t="str">
        <x:v>OPTION_POOL</x:v>
      </x:c>
      <x:c r="D8" s="19" t="str">
        <x:v>front_swivel_seats</x:v>
      </x:c>
      <x:c r="E8" s="19" t="str">
        <x:v>前排旋转座椅机构</x:v>
      </x:c>
      <x:c r="F8" s="19" t="str">
        <x:v>B31-C107</x:v>
      </x:c>
      <x:c r="G8" s="19" t="str">
        <x:v>B31_SRC_N90_WEB</x:v>
      </x:c>
      <x:c r="H8" s="19" t="str">
        <x:v>可选装电动旋转一排座椅</x:v>
      </x:c>
      <x:c r="I8" s="19" t="n">
        <x:f>0</x:f>
        <x:v>0</x:v>
      </x:c>
      <x:c r="J8" s="19" t="n">
        <x:f>0</x:f>
        <x:v>0</x:v>
      </x:c>
      <x:c r="K8" s="19" t="str"/>
      <x:c r="L8" s="19" t="str">
        <x:v>NOT_PUBLISHED</x:v>
      </x:c>
      <x:c r="M8" s="19" t="str">
        <x:v>替换前排基础座椅转台机构；与座椅包需防重复</x:v>
      </x:c>
      <x:c r="N8" s="19" t="str">
        <x:v>Phase3.2可建立选装成本区间，不得称官方价</x:v>
      </x:c>
      <x:c r="O8" s="19" t="str">
        <x:v>无已知促销可改变产品属性</x:v>
      </x:c>
      <x:c r="P8" s="19" t="str">
        <x:v>2026-08-04</x:v>
      </x:c>
    </x:row>
    <x:row r="9" ht="60" customHeight="1">
      <x:c r="A9" s="391" t="str">
        <x:v>POOL31C-04</x:v>
      </x:c>
      <x:c r="B9" s="391" t="str">
        <x:v>PC-N90-MAX-CAND</x:v>
      </x:c>
      <x:c r="C9" s="391" t="str">
        <x:v>OPTION_POOL</x:v>
      </x:c>
      <x:c r="D9" s="391" t="str">
        <x:v>zero_gravity_seats</x:v>
      </x:c>
      <x:c r="E9" s="391" t="str">
        <x:v>零重力座椅机构</x:v>
      </x:c>
      <x:c r="F9" s="391" t="str">
        <x:v>B31-C108</x:v>
      </x:c>
      <x:c r="G9" s="391" t="str">
        <x:v>B31_SRC_N90_WEB</x:v>
      </x:c>
      <x:c r="H9" s="391" t="str">
        <x:v>全车最多可选4把零重力座椅</x:v>
      </x:c>
      <x:c r="I9" s="391" t="n">
        <x:f>0</x:f>
        <x:v>0</x:v>
      </x:c>
      <x:c r="J9" s="391" t="n">
        <x:f>0</x:f>
        <x:v>0</x:v>
      </x:c>
      <x:c r="K9" s="391" t="str"/>
      <x:c r="L9" s="391" t="str">
        <x:v>NOT_PUBLISHED</x:v>
      </x:c>
      <x:c r="M9" s="391" t="str">
        <x:v>最多可选4把是上限，不是基础数量；需按座椅位拆包</x:v>
      </x:c>
      <x:c r="N9" s="391" t="str">
        <x:v>Phase3.2可建立选装成本区间，不得称官方价</x:v>
      </x:c>
      <x:c r="O9" s="391" t="str">
        <x:v>无已知促销可改变产品属性</x:v>
      </x:c>
      <x:c r="P9" s="391" t="str">
        <x:v>2026-08-04</x:v>
      </x:c>
    </x:row>
    <x:row r="10" ht="60" customHeight="1">
      <x:c r="A10" s="19" t="str">
        <x:v>POOL31C-05</x:v>
      </x:c>
      <x:c r="B10" s="19" t="str">
        <x:v>PC-N90-MAX-CAND</x:v>
      </x:c>
      <x:c r="C10" s="19" t="str">
        <x:v>OPTION_POOL</x:v>
      </x:c>
      <x:c r="D10" s="19" t="str">
        <x:v>wheel_designs_21</x:v>
      </x:c>
      <x:c r="E10" s="19" t="str">
        <x:v>21英寸轮毂造型选择</x:v>
      </x:c>
      <x:c r="F10" s="19" t="str">
        <x:v>B31-C109</x:v>
      </x:c>
      <x:c r="G10" s="19" t="str">
        <x:v>B31_SRC_N90_WEB</x:v>
      </x:c>
      <x:c r="H10" s="19" t="str">
        <x:v>四款轮毂设计可选</x:v>
      </x:c>
      <x:c r="I10" s="19" t="n">
        <x:f>0</x:f>
        <x:v>0</x:v>
      </x:c>
      <x:c r="J10" s="19" t="n">
        <x:f>0</x:f>
        <x:v>0</x:v>
      </x:c>
      <x:c r="K10" s="19" t="str"/>
      <x:c r="L10" s="19" t="str">
        <x:v>NOT_PUBLISHED</x:v>
      </x:c>
      <x:c r="M10" s="19" t="str">
        <x:v>四款中选择一款；不能把四套轮毂同时计入选装成本</x:v>
      </x:c>
      <x:c r="N10" s="19" t="str">
        <x:v>Phase3.2可建立选装成本区间，不得称官方价</x:v>
      </x:c>
      <x:c r="O10" s="19" t="str">
        <x:v>无已知促销可改变产品属性</x:v>
      </x:c>
      <x:c r="P10" s="19" t="str">
        <x:v>2026-08-04</x:v>
      </x:c>
    </x:row>
    <x:row r="11" ht="60" customHeight="1">
      <x:c r="A11" s="391" t="str">
        <x:v>POOL31C-06</x:v>
      </x:c>
      <x:c r="B11" s="391" t="str">
        <x:v>PC-N90-MAX-CAND</x:v>
      </x:c>
      <x:c r="C11" s="391" t="str">
        <x:v>OPTION_POOL</x:v>
      </x:c>
      <x:c r="D11" s="391" t="str">
        <x:v>grille_trim</x:v>
      </x:c>
      <x:c r="E11" s="391" t="str">
        <x:v>前格栅饰板选择</x:v>
      </x:c>
      <x:c r="F11" s="391" t="str">
        <x:v>B31-C110</x:v>
      </x:c>
      <x:c r="G11" s="391" t="str">
        <x:v>B31_SRC_N90_WEB</x:v>
      </x:c>
      <x:c r="H11" s="391" t="str">
        <x:v>前格栅饰板提供多种替换方案可选</x:v>
      </x:c>
      <x:c r="I11" s="391" t="n">
        <x:f>0</x:f>
        <x:v>0</x:v>
      </x:c>
      <x:c r="J11" s="391" t="n">
        <x:f>0</x:f>
        <x:v>0</x:v>
      </x:c>
      <x:c r="K11" s="391" t="str"/>
      <x:c r="L11" s="391" t="str">
        <x:v>NOT_PUBLISHED</x:v>
      </x:c>
      <x:c r="M11" s="391" t="str">
        <x:v>替换前格栅饰板，不与基础格栅整套重复计价</x:v>
      </x:c>
      <x:c r="N11" s="391" t="str">
        <x:v>Phase3.2可建立选装成本区间，不得称官方价</x:v>
      </x:c>
      <x:c r="O11" s="391" t="str">
        <x:v>无已知促销可改变产品属性</x:v>
      </x:c>
      <x:c r="P11" s="391" t="str">
        <x:v>2026-08-04</x:v>
      </x:c>
    </x:row>
    <x:row r="12" ht="60" customHeight="1">
      <x:c r="A12" s="19" t="str">
        <x:v>POOL31C-07</x:v>
      </x:c>
      <x:c r="B12" s="19" t="str">
        <x:v>PC-N90-MAX-CAND</x:v>
      </x:c>
      <x:c r="C12" s="19" t="str">
        <x:v>ACCESSORY_POOL</x:v>
      </x:c>
      <x:c r="D12" s="19" t="str">
        <x:v>vehicle_table</x:v>
      </x:c>
      <x:c r="E12" s="19" t="str">
        <x:v>车载桌板附件</x:v>
      </x:c>
      <x:c r="F12" s="19" t="str">
        <x:v>B31-C111</x:v>
      </x:c>
      <x:c r="G12" s="19" t="str">
        <x:v>B31_SRC_N90_WEB</x:v>
      </x:c>
      <x:c r="H12" s="19" t="str">
        <x:v>车载桌板需单独购买</x:v>
      </x:c>
      <x:c r="I12" s="19" t="n">
        <x:f>0</x:f>
        <x:v>0</x:v>
      </x:c>
      <x:c r="J12" s="19" t="n">
        <x:f>0</x:f>
        <x:v>0</x:v>
      </x:c>
      <x:c r="K12" s="19" t="str"/>
      <x:c r="L12" s="19" t="str">
        <x:v>NOT_PUBLISHED</x:v>
      </x:c>
      <x:c r="M12" s="19" t="str">
        <x:v>另购附件；999元赠送权益不改变附件属性</x:v>
      </x:c>
      <x:c r="N12" s="19" t="str">
        <x:v>附件生态单列，不进入整车售价桥</x:v>
      </x:c>
      <x:c r="O12" s="19" t="str">
        <x:v>小订赠送价值999元桌板属于限时权益，不是基础指导价或永久标配</x:v>
      </x:c>
      <x:c r="P12" s="19" t="str">
        <x:v>2026-08-04</x:v>
      </x:c>
    </x:row>
    <x:row r="13" ht="60" customHeight="1">
      <x:c r="A13" s="391" t="str">
        <x:v>POOL31C-08</x:v>
      </x:c>
      <x:c r="B13" s="391" t="str">
        <x:v>PC-N90-MAX-CAND</x:v>
      </x:c>
      <x:c r="C13" s="391" t="str">
        <x:v>ACCESSORY_POOL</x:v>
      </x:c>
      <x:c r="D13" s="391" t="str">
        <x:v>mattress</x:v>
      </x:c>
      <x:c r="E13" s="391" t="str">
        <x:v>专用床垫附件</x:v>
      </x:c>
      <x:c r="F13" s="391" t="str">
        <x:v>B31-C112</x:v>
      </x:c>
      <x:c r="G13" s="391" t="str">
        <x:v>B31_SRC_N90_WEB</x:v>
      </x:c>
      <x:c r="H13" s="391" t="str">
        <x:v>床垫需要单独购买</x:v>
      </x:c>
      <x:c r="I13" s="391" t="n">
        <x:f>0</x:f>
        <x:v>0</x:v>
      </x:c>
      <x:c r="J13" s="391" t="n">
        <x:f>0</x:f>
        <x:v>0</x:v>
      </x:c>
      <x:c r="K13" s="391" t="str"/>
      <x:c r="L13" s="391" t="str">
        <x:v>NOT_PUBLISHED</x:v>
      </x:c>
      <x:c r="M13" s="391" t="str">
        <x:v>另购露营附件；整车基础BOM排除</x:v>
      </x:c>
      <x:c r="N13" s="391" t="str">
        <x:v>附件生态单列，不进入整车售价桥</x:v>
      </x:c>
      <x:c r="O13" s="391" t="str">
        <x:v>无已知促销可改变产品属性</x:v>
      </x:c>
      <x:c r="P13" s="391" t="str">
        <x:v>2026-08-04</x:v>
      </x:c>
    </x:row>
    <x:row r="14" ht="60" customHeight="1">
      <x:c r="A14" s="19" t="str">
        <x:v>POOL31C-09</x:v>
      </x:c>
      <x:c r="B14" s="19" t="str">
        <x:v>PC-N90-MAX-CAND</x:v>
      </x:c>
      <x:c r="C14" s="19" t="str">
        <x:v>ACCESSORY_POOL</x:v>
      </x:c>
      <x:c r="D14" s="19" t="str">
        <x:v>privacy_curtains</x:v>
      </x:c>
      <x:c r="E14" s="19" t="str">
        <x:v>隐私帘附件</x:v>
      </x:c>
      <x:c r="F14" s="19" t="str">
        <x:v>B31-C113</x:v>
      </x:c>
      <x:c r="G14" s="19" t="str">
        <x:v>B31_SRC_N90_WEB</x:v>
      </x:c>
      <x:c r="H14" s="19" t="str">
        <x:v>隐私帘需要单独购买</x:v>
      </x:c>
      <x:c r="I14" s="19" t="n">
        <x:f>0</x:f>
        <x:v>0</x:v>
      </x:c>
      <x:c r="J14" s="19" t="n">
        <x:f>0</x:f>
        <x:v>0</x:v>
      </x:c>
      <x:c r="K14" s="19" t="str"/>
      <x:c r="L14" s="19" t="str">
        <x:v>NOT_PUBLISHED</x:v>
      </x:c>
      <x:c r="M14" s="19" t="str">
        <x:v>另购露营附件；整车基础BOM排除</x:v>
      </x:c>
      <x:c r="N14" s="19" t="str">
        <x:v>附件生态单列，不进入整车售价桥</x:v>
      </x:c>
      <x:c r="O14" s="19" t="str">
        <x:v>无已知促销可改变产品属性</x:v>
      </x:c>
      <x:c r="P14" s="19" t="str">
        <x:v>2026-08-04</x:v>
      </x:c>
    </x:row>
    <x:row r="15" ht="60" customHeight="1">
      <x:c r="A15" s="391" t="str">
        <x:v>POOL31C-10</x:v>
      </x:c>
      <x:c r="B15" s="391" t="str">
        <x:v>PC-N90-MAX-CAND</x:v>
      </x:c>
      <x:c r="C15" s="391" t="str">
        <x:v>ACCESSORY_POOL</x:v>
      </x:c>
      <x:c r="D15" s="391" t="str">
        <x:v>tail_tent</x:v>
      </x:c>
      <x:c r="E15" s="391" t="str">
        <x:v>尾帐附件</x:v>
      </x:c>
      <x:c r="F15" s="391" t="str">
        <x:v>B31-C114</x:v>
      </x:c>
      <x:c r="G15" s="391" t="str">
        <x:v>B31_SRC_N90_WEB</x:v>
      </x:c>
      <x:c r="H15" s="391" t="str">
        <x:v>尾帐需单独购买</x:v>
      </x:c>
      <x:c r="I15" s="391" t="n">
        <x:f>0</x:f>
        <x:v>0</x:v>
      </x:c>
      <x:c r="J15" s="391" t="n">
        <x:f>0</x:f>
        <x:v>0</x:v>
      </x:c>
      <x:c r="K15" s="391" t="str"/>
      <x:c r="L15" s="391" t="str">
        <x:v>NOT_PUBLISHED</x:v>
      </x:c>
      <x:c r="M15" s="391" t="str">
        <x:v>另购露营附件；整车基础BOM排除</x:v>
      </x:c>
      <x:c r="N15" s="391" t="str">
        <x:v>附件生态单列，不进入整车售价桥</x:v>
      </x:c>
      <x:c r="O15" s="391" t="str">
        <x:v>无已知促销可改变产品属性</x:v>
      </x:c>
      <x:c r="P15" s="391" t="str">
        <x:v>2026-08-04</x:v>
      </x:c>
    </x:row>
    <x:row r="16" ht="60" customHeight="1">
      <x:c r="A16" s="19" t="str">
        <x:v>POOL31C-11</x:v>
      </x:c>
      <x:c r="B16" s="19" t="str">
        <x:v>PC-N90-MAX-CAND</x:v>
      </x:c>
      <x:c r="C16" s="19" t="str">
        <x:v>ACCESSORY_POOL</x:v>
      </x:c>
      <x:c r="D16" s="19" t="str">
        <x:v>side_tent</x:v>
      </x:c>
      <x:c r="E16" s="19" t="str">
        <x:v>车边帐附件</x:v>
      </x:c>
      <x:c r="F16" s="19" t="str">
        <x:v>B31-C115</x:v>
      </x:c>
      <x:c r="G16" s="19" t="str">
        <x:v>B31_SRC_N90_WEB</x:v>
      </x:c>
      <x:c r="H16" s="19" t="str">
        <x:v>车边帐需单独购买</x:v>
      </x:c>
      <x:c r="I16" s="19" t="n">
        <x:f>0</x:f>
        <x:v>0</x:v>
      </x:c>
      <x:c r="J16" s="19" t="n">
        <x:f>0</x:f>
        <x:v>0</x:v>
      </x:c>
      <x:c r="K16" s="19" t="str"/>
      <x:c r="L16" s="19" t="str">
        <x:v>NOT_PUBLISHED</x:v>
      </x:c>
      <x:c r="M16" s="19" t="str">
        <x:v>另购露营附件；整车基础BOM排除</x:v>
      </x:c>
      <x:c r="N16" s="19" t="str">
        <x:v>附件生态单列，不进入整车售价桥</x:v>
      </x:c>
      <x:c r="O16" s="19" t="str">
        <x:v>无已知促销可改变产品属性</x:v>
      </x:c>
      <x:c r="P16" s="19" t="str">
        <x:v>2026-08-04</x:v>
      </x:c>
    </x:row>
    <x:row r="17" ht="60" customHeight="1">
      <x:c r="A17" s="391" t="str">
        <x:v>POOL31C-12</x:v>
      </x:c>
      <x:c r="B17" s="391" t="str">
        <x:v>PC-N90-MAX-CAND</x:v>
      </x:c>
      <x:c r="C17" s="391" t="str">
        <x:v>ACCESSORY_POOL</x:v>
      </x:c>
      <x:c r="D17" s="391" t="str">
        <x:v>passenger_seat_pad</x:v>
      </x:c>
      <x:c r="E17" s="391" t="str">
        <x:v>副驾靠背扩展Pad附件</x:v>
      </x:c>
      <x:c r="F17" s="391" t="str">
        <x:v>B31-C116</x:v>
      </x:c>
      <x:c r="G17" s="391" t="str">
        <x:v>B31_SRC_N90_WEB</x:v>
      </x:c>
      <x:c r="H17" s="391" t="str">
        <x:v>副驾靠背扩展Pad需自行购买</x:v>
      </x:c>
      <x:c r="I17" s="391" t="n">
        <x:f>0</x:f>
        <x:v>0</x:v>
      </x:c>
      <x:c r="J17" s="391" t="n">
        <x:f>0</x:f>
        <x:v>0</x:v>
      </x:c>
      <x:c r="K17" s="391" t="str"/>
      <x:c r="L17" s="391" t="str">
        <x:v>NOT_PUBLISHED</x:v>
      </x:c>
      <x:c r="M17" s="391" t="str">
        <x:v>需自行购买；“六屏联动”不得据此认定完整六屏基础标配</x:v>
      </x:c>
      <x:c r="N17" s="391" t="str">
        <x:v>附件生态单列，不进入整车售价桥</x:v>
      </x:c>
      <x:c r="O17" s="391" t="str">
        <x:v>无已知促销可改变产品属性</x:v>
      </x:c>
      <x:c r="P17" s="391" t="str">
        <x:v>2026-08-04</x:v>
      </x:c>
    </x:row>
  </x:sheetData>
  <x:mergeCells>
    <x:mergeCell ref="A1:P1"/>
    <x:mergeCell ref="A2:P2"/>
    <x:mergeCell ref="A3:P3"/>
  </x:mergeCells>
  <x:conditionalFormatting sqref="C6:L17">
    <x:cfRule type="containsText" dxfId="1048" priority="1" operator="containsText" text="PASS"/>
    <x:cfRule type="containsText" dxfId="1049" priority="2" operator="containsText" text="READY"/>
    <x:cfRule type="containsText" dxfId="1050" priority="3" operator="containsText" text="TRUE"/>
    <x:cfRule type="containsText" dxfId="1051" priority="4" operator="containsText" text="LOCKED"/>
    <x:cfRule type="containsText" dxfId="1052" priority="5" operator="containsText" text="STANDARD"/>
    <x:cfRule type="containsText" dxfId="1053" priority="6" operator="containsText" text="INCLUDED"/>
    <x:cfRule type="containsText" dxfId="1054" priority="7" operator="containsText" text="OPTION"/>
    <x:cfRule type="containsText" dxfId="1055" priority="8" operator="containsText" text="PROVISIONAL"/>
    <x:cfRule type="containsText" dxfId="1056" priority="9" operator="containsText" text="ENGINEERING"/>
    <x:cfRule type="containsText" dxfId="1057" priority="10" operator="containsText" text="ACCESSORY"/>
    <x:cfRule type="containsText" dxfId="1058" priority="11" operator="containsText" text="SEPARATE"/>
    <x:cfRule type="containsText" dxfId="1059" priority="12" operator="containsText" text="CANDIDATE"/>
    <x:cfRule type="containsText" dxfId="1060" priority="13" operator="containsText" text="HOLD"/>
    <x:cfRule type="containsText" dxfId="1061" priority="14" operator="containsText" text="NOT_DISCLOSED"/>
    <x:cfRule type="containsText" dxfId="1062" priority="15" operator="containsText" text="SUPPRESS"/>
    <x:cfRule type="containsText" dxfId="1063" priority="16" operator="containsText" text="BLOCKED"/>
    <x:cfRule type="containsText" dxfId="1064" priority="17" operator="containsText" text="FAIL"/>
    <x:cfRule type="containsText" dxfId="1065" priority="18" operator="containsText" text="FALSE"/>
    <x:cfRule type="containsText" dxfId="1066" priority="19" operator="containsText" text="CONFLICT"/>
  </x:conditionalFormatting>
  <x:pageMargins left="0.7" right="0.7" top="0.75" bottom="0.75" header="0.3" footer="0.3"/>
</x:worksheet>
</file>

<file path=xl/worksheets/sheet6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1" hidden="0" customWidth="1"/>
    <x:col min="3" max="3" width="23" hidden="0" customWidth="1"/>
    <x:col min="4" max="4" width="28" hidden="0" customWidth="1"/>
    <x:col min="5" max="5" width="40" hidden="0" customWidth="1"/>
    <x:col min="6" max="6" width="38" hidden="0" customWidth="1"/>
    <x:col min="7" max="7" width="34" hidden="0" customWidth="1"/>
    <x:col min="8" max="8" width="58" hidden="0" customWidth="1"/>
    <x:col min="9" max="9" width="13" hidden="0" customWidth="1"/>
    <x:col min="10" max="10" width="34" hidden="0" customWidth="1"/>
  </x:cols>
  <x:sheetData>
    <x:row r="1" ht="30" customHeight="1">
      <x:c r="A1" s="378" t="str">
        <x:v>61｜Phase 3.1C 补证队列</x:v>
      </x:c>
      <x:c r="B1" s="378"/>
      <x:c r="C1" s="378"/>
      <x:c r="D1" s="378"/>
      <x:c r="E1" s="378"/>
      <x:c r="F1" s="378"/>
      <x:c r="G1" s="378"/>
      <x:c r="H1" s="378"/>
      <x:c r="I1" s="378"/>
      <x:c r="J1" s="378"/>
    </x:row>
    <x:row r="2" ht="22" customHeight="1">
      <x:c r="A2" s="381" t="str">
        <x:v>按P0/P1/P2排列｜每项缺口都对应明确阻断对象</x:v>
      </x:c>
      <x:c r="B2" s="381"/>
      <x:c r="C2" s="381"/>
      <x:c r="D2" s="381"/>
      <x:c r="E2" s="381"/>
      <x:c r="F2" s="381"/>
      <x:c r="G2" s="381"/>
      <x:c r="H2" s="381"/>
      <x:c r="I2" s="381"/>
      <x:c r="J2" s="381"/>
    </x:row>
    <x:row r="3" ht="58" customHeight="1">
      <x:c r="A3" s="385" t="str">
        <x:v>P0优先解决车辆身份、完整配置修订、正式指导价与两端商业化；P1补齐N70电池/底盘/座舱及N90选装关系。缺字段保持NULL/NOT_EVIDENCED，不得填0。</x:v>
      </x:c>
      <x:c r="B3" s="385"/>
      <x:c r="C3" s="385"/>
      <x:c r="D3" s="385"/>
      <x:c r="E3" s="385"/>
      <x:c r="F3" s="385"/>
      <x:c r="G3" s="385"/>
      <x:c r="H3" s="385"/>
      <x:c r="I3" s="385"/>
      <x:c r="J3" s="385"/>
    </x:row>
    <x:row r="5" ht="50" customHeight="1">
      <x:c r="A5" s="390" t="str">
        <x:v>gap_id</x:v>
      </x:c>
      <x:c r="B5" s="390" t="str">
        <x:v>priority</x:v>
      </x:c>
      <x:c r="C5" s="390" t="str">
        <x:v>target</x:v>
      </x:c>
      <x:c r="D5" s="390" t="str">
        <x:v>field_or_question</x:v>
      </x:c>
      <x:c r="E5" s="390" t="str">
        <x:v>required_evidence</x:v>
      </x:c>
      <x:c r="F5" s="390" t="str">
        <x:v>preferred_source</x:v>
      </x:c>
      <x:c r="G5" s="390" t="str">
        <x:v>blocking_impact</x:v>
      </x:c>
      <x:c r="H5" s="390" t="str">
        <x:v>current_state</x:v>
      </x:c>
      <x:c r="I5" s="390" t="str">
        <x:v>status</x:v>
      </x:c>
      <x:c r="J5" s="390" t="str">
        <x:v>next_trigger</x:v>
      </x:c>
    </x:row>
    <x:row r="6" ht="58" customHeight="1">
      <x:c r="A6" s="19" t="str">
        <x:v>GAP-01</x:v>
      </x:c>
      <x:c r="B6" s="19" t="str">
        <x:v>P0</x:v>
      </x:c>
      <x:c r="C6" s="19" t="str">
        <x:v>PC-N70-MAX-CAND</x:v>
      </x:c>
      <x:c r="D6" s="19" t="str">
        <x:v>App车辆SKU身份</x:v>
      </x:c>
      <x:c r="E6" s="19" t="str">
        <x:v>goods_id + version_id + order_item_id</x:v>
      </x:c>
      <x:c r="F6" s="19" t="str">
        <x:v>官方App车辆配置入口/原始响应</x:v>
      </x:c>
      <x:c r="G6" s="19" t="str">
        <x:v>BLOCKS_APP_CURRENT_AND_PRICE</x:v>
      </x:c>
      <x:c r="H6" s="19" t="str">
        <x:v>公开仅预约咨询/小订意向</x:v>
      </x:c>
      <x:c r="I6" s="19" t="str">
        <x:v>OPEN</x:v>
      </x:c>
      <x:c r="J6" s="19" t="str">
        <x:v>正式发布/开放选配时立即复核</x:v>
      </x:c>
    </x:row>
    <x:row r="7" ht="58" customHeight="1">
      <x:c r="A7" s="391" t="str">
        <x:v>GAP-02</x:v>
      </x:c>
      <x:c r="B7" s="391" t="str">
        <x:v>P0</x:v>
      </x:c>
      <x:c r="C7" s="391" t="str">
        <x:v>PC-N90-MAX-CAND</x:v>
      </x:c>
      <x:c r="D7" s="391" t="str">
        <x:v>App车辆SKU身份</x:v>
      </x:c>
      <x:c r="E7" s="391" t="str">
        <x:v>goods_id + version_id + order_item_id</x:v>
      </x:c>
      <x:c r="F7" s="391" t="str">
        <x:v>官方App车辆配置入口/原始响应</x:v>
      </x:c>
      <x:c r="G7" s="391" t="str">
        <x:v>BLOCKS_APP_CURRENT_AND_PRICE</x:v>
      </x:c>
      <x:c r="H7" s="391" t="str">
        <x:v>公开仅预约咨询/小订意向</x:v>
      </x:c>
      <x:c r="I7" s="391" t="str">
        <x:v>OPEN</x:v>
      </x:c>
      <x:c r="J7" s="391" t="str">
        <x:v>正式发布/开放选配时立即复核</x:v>
      </x:c>
    </x:row>
    <x:row r="8" ht="58" customHeight="1">
      <x:c r="A8" s="19" t="str">
        <x:v>GAP-03</x:v>
      </x:c>
      <x:c r="B8" s="19" t="str">
        <x:v>P0</x:v>
      </x:c>
      <x:c r="C8" s="19" t="str">
        <x:v>PC-N70-MAX-CAND</x:v>
      </x:c>
      <x:c r="D8" s="19" t="str">
        <x:v>完整配置修订</x:v>
      </x:c>
      <x:c r="E8" s="19" t="str">
        <x:v>config_revision + 完整●/○/-表</x:v>
      </x:c>
      <x:c r="F8" s="19" t="str">
        <x:v>官方App/参数配置表原件</x:v>
      </x:c>
      <x:c r="G8" s="19" t="str">
        <x:v>BLOCKS_CURRENT_STANDARD</x:v>
      </x:c>
      <x:c r="H8" s="19" t="str">
        <x:v>现有公开材料不完整</x:v>
      </x:c>
      <x:c r="I8" s="19" t="str">
        <x:v>OPEN</x:v>
      </x:c>
      <x:c r="J8" s="19" t="str">
        <x:v>正式发布/开放选配时立即复核</x:v>
      </x:c>
    </x:row>
    <x:row r="9" ht="58" customHeight="1">
      <x:c r="A9" s="391" t="str">
        <x:v>GAP-04</x:v>
      </x:c>
      <x:c r="B9" s="391" t="str">
        <x:v>P0</x:v>
      </x:c>
      <x:c r="C9" s="391" t="str">
        <x:v>PC-N90-MAX-CAND</x:v>
      </x:c>
      <x:c r="D9" s="391" t="str">
        <x:v>完整配置修订</x:v>
      </x:c>
      <x:c r="E9" s="391" t="str">
        <x:v>config_revision + 完整●/○/-表</x:v>
      </x:c>
      <x:c r="F9" s="391" t="str">
        <x:v>官方App/参数配置表原件</x:v>
      </x:c>
      <x:c r="G9" s="391" t="str">
        <x:v>BLOCKS_CURRENT_STANDARD</x:v>
      </x:c>
      <x:c r="H9" s="391" t="str">
        <x:v>产品页不是逐版本配置表</x:v>
      </x:c>
      <x:c r="I9" s="391" t="str">
        <x:v>OPEN</x:v>
      </x:c>
      <x:c r="J9" s="391" t="str">
        <x:v>正式发布/开放选配时立即复核</x:v>
      </x:c>
    </x:row>
    <x:row r="10" ht="58" customHeight="1">
      <x:c r="A10" s="19" t="str">
        <x:v>GAP-05</x:v>
      </x:c>
      <x:c r="B10" s="19" t="str">
        <x:v>P0</x:v>
      </x:c>
      <x:c r="C10" s="19" t="str">
        <x:v>BOTH_MAX</x:v>
      </x:c>
      <x:c r="D10" s="19" t="str">
        <x:v>正式指导价</x:v>
      </x:c>
      <x:c r="E10" s="19" t="str">
        <x:v>同一effective_at的正式基础指导价</x:v>
      </x:c>
      <x:c r="F10" s="19" t="str">
        <x:v>正式发布会/官网/App价格卡</x:v>
      </x:c>
      <x:c r="G10" s="19" t="str">
        <x:v>BLOCKS_PRICE_BRIDGE</x:v>
      </x:c>
      <x:c r="H10" s="19" t="str">
        <x:v>当前只有25.99/29.99万元预售价</x:v>
      </x:c>
      <x:c r="I10" s="19" t="str">
        <x:v>OPEN</x:v>
      </x:c>
      <x:c r="J10" s="19" t="str">
        <x:v>正式发布/开放选配时立即复核</x:v>
      </x:c>
    </x:row>
    <x:row r="11" ht="58" customHeight="1">
      <x:c r="A11" s="391" t="str">
        <x:v>GAP-06</x:v>
      </x:c>
      <x:c r="B11" s="391" t="str">
        <x:v>P0</x:v>
      </x:c>
      <x:c r="C11" s="391" t="str">
        <x:v>PC-N70-MAX-CAND</x:v>
      </x:c>
      <x:c r="D11" s="391" t="str">
        <x:v>battery_capacity</x:v>
      </x:c>
      <x:c r="E11" s="391" t="str">
        <x:v>N70 Max单车电池容量</x:v>
      </x:c>
      <x:c r="F11" s="391" t="str">
        <x:v>官方版本配置表</x:v>
      </x:c>
      <x:c r="G11" s="391" t="str">
        <x:v>BLOCKS_BATTERY_BOM</x:v>
      </x:c>
      <x:c r="H11" s="391" t="str">
        <x:v>76kWh仅系列最大值；不得直接绑定</x:v>
      </x:c>
      <x:c r="I11" s="391" t="str">
        <x:v>OPEN</x:v>
      </x:c>
      <x:c r="J11" s="391" t="str">
        <x:v>正式发布/开放选配时立即复核</x:v>
      </x:c>
    </x:row>
    <x:row r="12" ht="58" customHeight="1">
      <x:c r="A12" s="19" t="str">
        <x:v>GAP-07</x:v>
      </x:c>
      <x:c r="B12" s="19" t="str">
        <x:v>P1</x:v>
      </x:c>
      <x:c r="C12" s="19" t="str">
        <x:v>PC-N70-MAX-CAND</x:v>
      </x:c>
      <x:c r="D12" s="19" t="str">
        <x:v>fast_charge_rate</x:v>
      </x:c>
      <x:c r="E12" s="19" t="str">
        <x:v>高压平台/倍率/10%-80%时间</x:v>
      </x:c>
      <x:c r="F12" s="19" t="str">
        <x:v>官方N70产品页或配置表</x:v>
      </x:c>
      <x:c r="G12" s="19" t="str">
        <x:v>BLOCKS_CHARGING_COST</x:v>
      </x:c>
      <x:c r="H12" s="19" t="str">
        <x:v>全部NOT_DISCLOSED</x:v>
      </x:c>
      <x:c r="I12" s="19" t="str">
        <x:v>OPEN</x:v>
      </x:c>
      <x:c r="J12" s="19" t="str">
        <x:v>配置器或参数表出现时复核</x:v>
      </x:c>
    </x:row>
    <x:row r="13" ht="58" customHeight="1">
      <x:c r="A13" s="391" t="str">
        <x:v>GAP-08</x:v>
      </x:c>
      <x:c r="B13" s="391" t="str">
        <x:v>P1</x:v>
      </x:c>
      <x:c r="C13" s="391" t="str">
        <x:v>PC-N70-MAX-CAND</x:v>
      </x:c>
      <x:c r="D13" s="391" t="str">
        <x:v>chassis_base</x:v>
      </x:c>
      <x:c r="E13" s="391" t="str">
        <x:v>悬架结构/基础轮胎/制动硬件</x:v>
      </x:c>
      <x:c r="F13" s="391" t="str">
        <x:v>官方版本配置表</x:v>
      </x:c>
      <x:c r="G13" s="391" t="str">
        <x:v>BLOCKS_CHASSIS_BASELINE</x:v>
      </x:c>
      <x:c r="H13" s="391" t="str">
        <x:v>只有空气弹簧+连续阻尼明确标配</x:v>
      </x:c>
      <x:c r="I13" s="391" t="str">
        <x:v>OPEN</x:v>
      </x:c>
      <x:c r="J13" s="391" t="str">
        <x:v>配置器或参数表出现时复核</x:v>
      </x:c>
    </x:row>
    <x:row r="14" ht="58" customHeight="1">
      <x:c r="A14" s="19" t="str">
        <x:v>GAP-09</x:v>
      </x:c>
      <x:c r="B14" s="19" t="str">
        <x:v>P1</x:v>
      </x:c>
      <x:c r="C14" s="19" t="str">
        <x:v>PC-N70-MAX-CAND</x:v>
      </x:c>
      <x:c r="D14" s="19" t="str">
        <x:v>cabin_comfort</x:v>
      </x:c>
      <x:c r="E14" s="19" t="str">
        <x:v>座椅/冰箱/屏幕/扬声器逐项状态</x:v>
      </x:c>
      <x:c r="F14" s="19" t="str">
        <x:v>官方版本配置表</x:v>
      </x:c>
      <x:c r="G14" s="19" t="str">
        <x:v>BLOCKS_CABIN_BOM</x:v>
      </x:c>
      <x:c r="H14" s="19" t="str">
        <x:v>16项NOT_DISCLOSED中多项集中于座舱</x:v>
      </x:c>
      <x:c r="I14" s="19" t="str">
        <x:v>OPEN</x:v>
      </x:c>
      <x:c r="J14" s="19" t="str">
        <x:v>配置器或参数表出现时复核</x:v>
      </x:c>
    </x:row>
    <x:row r="15" ht="58" customHeight="1">
      <x:c r="A15" s="391" t="str">
        <x:v>GAP-10</x:v>
      </x:c>
      <x:c r="B15" s="391" t="str">
        <x:v>P1</x:v>
      </x:c>
      <x:c r="C15" s="391" t="str">
        <x:v>PC-N70-MAX-CAND</x:v>
      </x:c>
      <x:c r="D15" s="391" t="str">
        <x:v>adas_hardware</x:v>
      </x:c>
      <x:c r="E15" s="391" t="str">
        <x:v>传感器数量/芯片/后向激光雷达</x:v>
      </x:c>
      <x:c r="F15" s="391" t="str">
        <x:v>官方版本配置表</x:v>
      </x:c>
      <x:c r="G15" s="391" t="str">
        <x:v>BLOCKS_ADAS_HARDWARE_COST</x:v>
      </x:c>
      <x:c r="H15" s="391" t="str">
        <x:v>HAD标配不等于每项硬件已确认；后向雷达不得从N90下放</x:v>
      </x:c>
      <x:c r="I15" s="391" t="str">
        <x:v>OPEN</x:v>
      </x:c>
      <x:c r="J15" s="391" t="str">
        <x:v>配置器或参数表出现时复核</x:v>
      </x:c>
    </x:row>
    <x:row r="16" ht="58" customHeight="1">
      <x:c r="A16" s="19" t="str">
        <x:v>GAP-11</x:v>
      </x:c>
      <x:c r="B16" s="19" t="str">
        <x:v>P1</x:v>
      </x:c>
      <x:c r="C16" s="19" t="str">
        <x:v>PC-N90-MAX-CAND</x:v>
      </x:c>
      <x:c r="D16" s="19" t="str">
        <x:v>hyperos_cabin</x:v>
      </x:c>
      <x:c r="E16" s="19" t="str">
        <x:v>章节标题对座舱核心的逐项作用域</x:v>
      </x:c>
      <x:c r="F16" s="19" t="str">
        <x:v>App配置表/官方参数表</x:v>
      </x:c>
      <x:c r="G16" s="19" t="str">
        <x:v>BLOCKS_STRICT_STANDARD_PROMOTION</x:v>
      </x:c>
      <x:c r="H16" s="19" t="str">
        <x:v>列章节作用域候选，不计严格标配</x:v>
      </x:c>
      <x:c r="I16" s="19" t="str">
        <x:v>OPEN</x:v>
      </x:c>
      <x:c r="J16" s="19" t="str">
        <x:v>配置器或参数表出现时复核</x:v>
      </x:c>
    </x:row>
    <x:row r="17" ht="58" customHeight="1">
      <x:c r="A17" s="391" t="str">
        <x:v>GAP-12</x:v>
      </x:c>
      <x:c r="B17" s="391" t="str">
        <x:v>P1</x:v>
      </x:c>
      <x:c r="C17" s="391" t="str">
        <x:v>PC-N90-MAX-CAND</x:v>
      </x:c>
      <x:c r="D17" s="391" t="str">
        <x:v>rear_solid_state_lidar</x:v>
      </x:c>
      <x:c r="E17" s="391" t="str">
        <x:v>后向激光雷达是否基础标配</x:v>
      </x:c>
      <x:c r="F17" s="391" t="str">
        <x:v>App配置表/官方参数表</x:v>
      </x:c>
      <x:c r="G17" s="391" t="str">
        <x:v>BLOCKS_STRICT_STANDARD_PROMOTION</x:v>
      </x:c>
      <x:c r="H17" s="391" t="str">
        <x:v>官网展示且处于全系标配章节，但未逐项写标配</x:v>
      </x:c>
      <x:c r="I17" s="391" t="str">
        <x:v>OPEN</x:v>
      </x:c>
      <x:c r="J17" s="391" t="str">
        <x:v>配置器或参数表出现时复核</x:v>
      </x:c>
    </x:row>
    <x:row r="18" ht="58" customHeight="1">
      <x:c r="A18" s="19" t="str">
        <x:v>GAP-13</x:v>
      </x:c>
      <x:c r="B18" s="19" t="str">
        <x:v>P1</x:v>
      </x:c>
      <x:c r="C18" s="19" t="str">
        <x:v>PC-N90-MAX-CAND</x:v>
      </x:c>
      <x:c r="D18" s="19" t="str">
        <x:v>wheel_designs_21</x:v>
      </x:c>
      <x:c r="E18" s="19" t="str">
        <x:v>基础轮毂与四款造型是否加价</x:v>
      </x:c>
      <x:c r="F18" s="19" t="str">
        <x:v>官方选装页/价格表</x:v>
      </x:c>
      <x:c r="G18" s="19" t="str">
        <x:v>BLOCKS_OPTION_PRICE</x:v>
      </x:c>
      <x:c r="H18" s="19" t="str">
        <x:v>只能证明四款可选，不能证明全部付费</x:v>
      </x:c>
      <x:c r="I18" s="19" t="str">
        <x:v>OPEN</x:v>
      </x:c>
      <x:c r="J18" s="19" t="str">
        <x:v>配置器或参数表出现时复核</x:v>
      </x:c>
    </x:row>
    <x:row r="19" ht="58" customHeight="1">
      <x:c r="A19" s="391" t="str">
        <x:v>GAP-14</x:v>
      </x:c>
      <x:c r="B19" s="391" t="str">
        <x:v>P1</x:v>
      </x:c>
      <x:c r="C19" s="391" t="str">
        <x:v>PC-N90-MAX-CAND</x:v>
      </x:c>
      <x:c r="D19" s="391" t="str">
        <x:v>seat_option_packages</x:v>
      </x:c>
      <x:c r="E19" s="391" t="str">
        <x:v>基础座椅与旋转/零重力替代关系</x:v>
      </x:c>
      <x:c r="F19" s="391" t="str">
        <x:v>官方选装页/配置表</x:v>
      </x:c>
      <x:c r="G19" s="391" t="str">
        <x:v>BLOCKS_SEAT_OPTION_COST</x:v>
      </x:c>
      <x:c r="H19" s="391" t="str">
        <x:v>最多4把不是基础数量</x:v>
      </x:c>
      <x:c r="I19" s="391" t="str">
        <x:v>OPEN</x:v>
      </x:c>
      <x:c r="J19" s="391" t="str">
        <x:v>配置器或参数表出现时复核</x:v>
      </x:c>
    </x:row>
    <x:row r="20" ht="58" customHeight="1">
      <x:c r="A20" s="19" t="str">
        <x:v>GAP-15</x:v>
      </x:c>
      <x:c r="B20" s="19" t="str">
        <x:v>P1</x:v>
      </x:c>
      <x:c r="C20" s="19" t="str">
        <x:v>PC-N90-MAX-CAND</x:v>
      </x:c>
      <x:c r="D20" s="19" t="str">
        <x:v>option_prices</x:v>
      </x:c>
      <x:c r="E20" s="19" t="str">
        <x:v>6项官方选装价格与套装绑定</x:v>
      </x:c>
      <x:c r="F20" s="19" t="str">
        <x:v>官方App选装页</x:v>
      </x:c>
      <x:c r="G20" s="19" t="str">
        <x:v>BLOCKS_OPTION_PRICE</x:v>
      </x:c>
      <x:c r="H20" s="19" t="str">
        <x:v>价格均未发布</x:v>
      </x:c>
      <x:c r="I20" s="19" t="str">
        <x:v>OPEN</x:v>
      </x:c>
      <x:c r="J20" s="19" t="str">
        <x:v>配置器或参数表出现时复核</x:v>
      </x:c>
    </x:row>
    <x:row r="21" ht="58" customHeight="1">
      <x:c r="A21" s="391" t="str">
        <x:v>GAP-16</x:v>
      </x:c>
      <x:c r="B21" s="391" t="str">
        <x:v>P2</x:v>
      </x:c>
      <x:c r="C21" s="391" t="str">
        <x:v>PC-N90-MAX-CAND</x:v>
      </x:c>
      <x:c r="D21" s="391" t="str">
        <x:v>accessory_prices</x:v>
      </x:c>
      <x:c r="E21" s="391" t="str">
        <x:v>6项附件价格与供货状态</x:v>
      </x:c>
      <x:c r="F21" s="391" t="str">
        <x:v>官方商城/App附件页</x:v>
      </x:c>
      <x:c r="G21" s="391" t="str">
        <x:v>NON_BLOCKING_BASE_VEHICLE</x:v>
      </x:c>
      <x:c r="H21" s="391" t="str">
        <x:v>附件均已明确另购</x:v>
      </x:c>
      <x:c r="I21" s="391" t="str">
        <x:v>OPEN</x:v>
      </x:c>
      <x:c r="J21" s="391" t="str">
        <x:v>配置器或参数表出现时复核</x:v>
      </x:c>
    </x:row>
    <x:row r="22" ht="58" customHeight="1">
      <x:c r="A22" s="19" t="str">
        <x:v>GAP-17</x:v>
      </x:c>
      <x:c r="B22" s="19" t="str">
        <x:v>P0</x:v>
      </x:c>
      <x:c r="C22" s="19" t="str">
        <x:v>PC-N70-BASE-CAND</x:v>
      </x:c>
      <x:c r="D22" s="19" t="str">
        <x:v>商业化身份</x:v>
      </x:c>
      <x:c r="E22" s="19" t="str">
        <x:v>正式名称/SKU/价格/轴位</x:v>
      </x:c>
      <x:c r="F22" s="19" t="str">
        <x:v>官方版本卡+App车辆SKU</x:v>
      </x:c>
      <x:c r="G22" s="19" t="str">
        <x:v>BLOCKS_B1</x:v>
      </x:c>
      <x:c r="H22" s="19" t="str">
        <x:v>仅监管候选，零商业配置事实</x:v>
      </x:c>
      <x:c r="I22" s="19" t="str">
        <x:v>OPEN</x:v>
      </x:c>
      <x:c r="J22" s="19" t="str">
        <x:v>正式发布/开放选配时立即复核</x:v>
      </x:c>
    </x:row>
    <x:row r="23" ht="58" customHeight="1">
      <x:c r="A23" s="391" t="str">
        <x:v>GAP-18</x:v>
      </x:c>
      <x:c r="B23" s="391" t="str">
        <x:v>P0</x:v>
      </x:c>
      <x:c r="C23" s="391" t="str">
        <x:v>PC-N90-ROOF-CAND</x:v>
      </x:c>
      <x:c r="D23" s="391" t="str">
        <x:v>商业化身份</x:v>
      </x:c>
      <x:c r="E23" s="391" t="str">
        <x:v>正式名称/SKU/价格及同座位普通基线</x:v>
      </x:c>
      <x:c r="F23" s="391" t="str">
        <x:v>官方版本卡+App车辆SKU</x:v>
      </x:c>
      <x:c r="G23" s="391" t="str">
        <x:v>BLOCKS_B3</x:v>
      </x:c>
      <x:c r="H23" s="391" t="str">
        <x:v>仅升顶准入变体；普通商品端当前为七座</x:v>
      </x:c>
      <x:c r="I23" s="391" t="str">
        <x:v>OPEN</x:v>
      </x:c>
      <x:c r="J23" s="391" t="str">
        <x:v>正式发布/开放选配时立即复核</x:v>
      </x:c>
    </x:row>
  </x:sheetData>
  <x:mergeCells>
    <x:mergeCell ref="A1:J1"/>
    <x:mergeCell ref="A2:J2"/>
    <x:mergeCell ref="A3:J3"/>
  </x:mergeCells>
  <x:conditionalFormatting sqref="B6:I23">
    <x:cfRule type="containsText" dxfId="1067" priority="1" operator="containsText" text="PASS"/>
    <x:cfRule type="containsText" dxfId="1068" priority="2" operator="containsText" text="READY"/>
    <x:cfRule type="containsText" dxfId="1069" priority="3" operator="containsText" text="TRUE"/>
    <x:cfRule type="containsText" dxfId="1070" priority="4" operator="containsText" text="LOCKED"/>
    <x:cfRule type="containsText" dxfId="1071" priority="5" operator="containsText" text="STANDARD"/>
    <x:cfRule type="containsText" dxfId="1072" priority="6" operator="containsText" text="INCLUDED"/>
    <x:cfRule type="containsText" dxfId="1073" priority="7" operator="containsText" text="OPTION"/>
    <x:cfRule type="containsText" dxfId="1074" priority="8" operator="containsText" text="PROVISIONAL"/>
    <x:cfRule type="containsText" dxfId="1075" priority="9" operator="containsText" text="ENGINEERING"/>
    <x:cfRule type="containsText" dxfId="1076" priority="10" operator="containsText" text="ACCESSORY"/>
    <x:cfRule type="containsText" dxfId="1077" priority="11" operator="containsText" text="SEPARATE"/>
    <x:cfRule type="containsText" dxfId="1078" priority="12" operator="containsText" text="CANDIDATE"/>
    <x:cfRule type="containsText" dxfId="1079" priority="13" operator="containsText" text="HOLD"/>
    <x:cfRule type="containsText" dxfId="1080" priority="14" operator="containsText" text="NOT_DISCLOSED"/>
    <x:cfRule type="containsText" dxfId="1081" priority="15" operator="containsText" text="SUPPRESS"/>
    <x:cfRule type="containsText" dxfId="1082" priority="16" operator="containsText" text="BLOCKED"/>
    <x:cfRule type="containsText" dxfId="1083" priority="17" operator="containsText" text="FAIL"/>
    <x:cfRule type="containsText" dxfId="1084" priority="18" operator="containsText" text="FALSE"/>
    <x:cfRule type="containsText" dxfId="1085" priority="19" operator="containsText" text="CONFLICT"/>
  </x:conditionalFormatting>
  <x:pageMargins left="0.7" right="0.7" top="0.75" bottom="0.75" header="0.3" footer="0.3"/>
</x:worksheet>
</file>

<file path=xl/worksheets/sheet6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3" hidden="0" customWidth="1"/>
    <x:col min="2" max="2" width="23" hidden="0" customWidth="1"/>
    <x:col min="3" max="3" width="26" hidden="0" customWidth="1"/>
    <x:col min="4" max="4" width="22" hidden="0" customWidth="1"/>
    <x:col min="5" max="5" width="18" hidden="0" customWidth="1"/>
    <x:col min="6" max="6" width="18" hidden="0" customWidth="1"/>
    <x:col min="7" max="7" width="20" hidden="0" customWidth="1"/>
    <x:col min="8" max="8" width="20" hidden="0" customWidth="1"/>
    <x:col min="9" max="9" width="18" hidden="0" customWidth="1"/>
    <x:col min="10" max="10" width="20" hidden="0" customWidth="1"/>
    <x:col min="11" max="11" width="18" hidden="0" customWidth="1"/>
    <x:col min="12" max="12" width="56" hidden="0" customWidth="1"/>
    <x:col min="13" max="13" width="26" hidden="0" customWidth="1"/>
    <x:col min="14" max="14" width="22" hidden="0" customWidth="1"/>
    <x:col min="15" max="15" width="16" hidden="0" customWidth="1"/>
  </x:cols>
  <x:sheetData>
    <x:row r="1" ht="30" customHeight="1">
      <x:c r="A1" s="378" t="str">
        <x:v>62｜App车辆身份与售价桥硬闸门</x:v>
      </x:c>
      <x:c r="B1" s="378"/>
      <x:c r="C1" s="378"/>
      <x:c r="D1" s="378"/>
      <x:c r="E1" s="378"/>
      <x:c r="F1" s="378"/>
      <x:c r="G1" s="378"/>
      <x:c r="H1" s="378"/>
      <x:c r="I1" s="378"/>
      <x:c r="J1" s="378"/>
      <x:c r="K1" s="378"/>
      <x:c r="L1" s="378"/>
      <x:c r="M1" s="378"/>
      <x:c r="N1" s="378"/>
      <x:c r="O1" s="378"/>
    </x:row>
    <x:row r="2" ht="22" customHeight="1">
      <x:c r="A2" s="381" t="str">
        <x:v>公开/现有证据未取得澎程车辆SKU与完整配置修订｜不是断言后台绝对不存在</x:v>
      </x:c>
      <x:c r="B2" s="381"/>
      <x:c r="C2" s="381"/>
      <x:c r="D2" s="381"/>
      <x:c r="E2" s="381"/>
      <x:c r="F2" s="381"/>
      <x:c r="G2" s="381"/>
      <x:c r="H2" s="381"/>
      <x:c r="I2" s="381"/>
      <x:c r="J2" s="381"/>
      <x:c r="K2" s="381"/>
      <x:c r="L2" s="381"/>
      <x:c r="M2" s="381"/>
      <x:c r="N2" s="381"/>
      <x:c r="O2" s="381"/>
    </x:row>
    <x:row r="3" ht="58" customHeight="1">
      <x:c r="A3" s="385" t="str">
        <x:v>官网与App当前SkyNomad入口均停留在“预约咨询/小订意向”。只有车辆稳定ID、可配置状态、完整配置修订和正式指导价同时满足，才允许打开App当前BOM与B1/B2/B3售价桥。</x:v>
      </x:c>
      <x:c r="B3" s="385"/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  <x:c r="O3" s="385"/>
    </x:row>
    <x:row r="5" ht="58" customHeight="1">
      <x:c r="A5" s="390" t="str">
        <x:v>commercial_node_id</x:v>
      </x:c>
      <x:c r="B5" s="390" t="str">
        <x:v>funnel_stage</x:v>
      </x:c>
      <x:c r="C5" s="390" t="str">
        <x:v>commercial_object_type</x:v>
      </x:c>
      <x:c r="D5" s="390" t="str">
        <x:v>goods_id</x:v>
      </x:c>
      <x:c r="E5" s="390" t="str">
        <x:v>version_id</x:v>
      </x:c>
      <x:c r="F5" s="390" t="str">
        <x:v>order_item_id</x:v>
      </x:c>
      <x:c r="G5" s="390" t="str">
        <x:v>config_revision</x:v>
      </x:c>
      <x:c r="H5" s="390" t="str">
        <x:v>configurator_accessible</x:v>
      </x:c>
      <x:c r="I5" s="390" t="str">
        <x:v>base_config_visible</x:v>
      </x:c>
      <x:c r="J5" s="390" t="str">
        <x:v>vehicle_sku_lock</x:v>
      </x:c>
      <x:c r="K5" s="390" t="str">
        <x:v>current_config_authority</x:v>
      </x:c>
      <x:c r="L5" s="390" t="str">
        <x:v>formal_guide_price_locked</x:v>
      </x:c>
      <x:c r="M5" s="390" t="str">
        <x:v>price_bridge_eligible</x:v>
      </x:c>
      <x:c r="N5" s="390" t="str">
        <x:v>status</x:v>
      </x:c>
      <x:c r="O5" s="390" t="str">
        <x:v>blocking_reason</x:v>
      </x:c>
    </x:row>
    <x:row r="6" ht="62" customHeight="1">
      <x:c r="A6" s="19" t="str">
        <x:v>PC-N70-MAX-CAND</x:v>
      </x:c>
      <x:c r="B6" s="19" t="str">
        <x:v>RESERVATION_CONSULTATION / SMALL_ORDER_INTENT</x:v>
      </x:c>
      <x:c r="C6" s="19" t="str">
        <x:v>CAMPAIGN_ENTRY / INTENT_DEPOSIT_PRODUCT</x:v>
      </x:c>
      <x:c r="D6" s="19" t="str"/>
      <x:c r="E6" s="19" t="str"/>
      <x:c r="F6" s="19" t="str"/>
      <x:c r="G6" s="19" t="str"/>
      <x:c r="H6" s="19" t="n">
        <x:f>0</x:f>
        <x:v>0</x:v>
      </x:c>
      <x:c r="I6" s="19" t="n">
        <x:f>0</x:f>
        <x:v>0</x:v>
      </x:c>
      <x:c r="J6" s="19" t="n">
        <x:f>IF(AND(D6&lt;&gt;"",E6&lt;&gt;"",F6&lt;&gt;"",G6&lt;&gt;"",H6=1,I6=1),1,0)</x:f>
        <x:v>0</x:v>
      </x:c>
      <x:c r="K6" s="19" t="n">
        <x:f>IF(AND(J6=1,G6&lt;&gt;""),1,0)</x:f>
        <x:v>0</x:v>
      </x:c>
      <x:c r="L6" s="19" t="n">
        <x:f>0</x:f>
        <x:v>0</x:v>
      </x:c>
      <x:c r="M6" s="19" t="n">
        <x:f>IF(AND(J6=1,K6=1,L6=1),1,0)</x:f>
        <x:v>0</x:v>
      </x:c>
      <x:c r="N6" s="19" t="str">
        <x:f>IF(M6=1,"READY","BLOCKED_PUBLIC_VEHICLE_SKU_AND_CONFIG_REVISION")</x:f>
        <x:v>BLOCKED_PUBLIC_VEHICLE_SKU_AND_CONFIG_REVISION</x:v>
      </x:c>
      <x:c r="O6" s="19" t="str">
        <x:v>预约咨询/意向金活动ID不能代替车辆goods_id/version_id；预售价不能代替正式指导价</x:v>
      </x:c>
    </x:row>
    <x:row r="7" ht="62" customHeight="1">
      <x:c r="A7" s="391" t="str">
        <x:v>PC-N90-MAX-CAND</x:v>
      </x:c>
      <x:c r="B7" s="391" t="str">
        <x:v>RESERVATION_CONSULTATION / SMALL_ORDER_INTENT</x:v>
      </x:c>
      <x:c r="C7" s="391" t="str">
        <x:v>CAMPAIGN_ENTRY / INTENT_DEPOSIT_PRODUCT</x:v>
      </x:c>
      <x:c r="D7" s="391" t="str"/>
      <x:c r="E7" s="391" t="str"/>
      <x:c r="F7" s="391" t="str"/>
      <x:c r="G7" s="391" t="str"/>
      <x:c r="H7" s="391" t="n">
        <x:f>0</x:f>
        <x:v>0</x:v>
      </x:c>
      <x:c r="I7" s="391" t="n">
        <x:f>0</x:f>
        <x:v>0</x:v>
      </x:c>
      <x:c r="J7" s="391" t="n">
        <x:f>IF(AND(D7&lt;&gt;"",E7&lt;&gt;"",F7&lt;&gt;"",G7&lt;&gt;"",H7=1,I7=1),1,0)</x:f>
        <x:v>0</x:v>
      </x:c>
      <x:c r="K7" s="391" t="n">
        <x:f>IF(AND(J7=1,G7&lt;&gt;""),1,0)</x:f>
        <x:v>0</x:v>
      </x:c>
      <x:c r="L7" s="391" t="n">
        <x:f>0</x:f>
        <x:v>0</x:v>
      </x:c>
      <x:c r="M7" s="391" t="n">
        <x:f>IF(AND(J7=1,K7=1,L7=1),1,0)</x:f>
        <x:v>0</x:v>
      </x:c>
      <x:c r="N7" s="391" t="str">
        <x:f>IF(M7=1,"READY","BLOCKED_PUBLIC_VEHICLE_SKU_AND_CONFIG_REVISION")</x:f>
        <x:v>BLOCKED_PUBLIC_VEHICLE_SKU_AND_CONFIG_REVISION</x:v>
      </x:c>
      <x:c r="O7" s="391" t="str">
        <x:v>预约咨询/意向金活动ID不能代替车辆goods_id/version_id；预售价不能代替正式指导价</x:v>
      </x:c>
    </x:row>
    <x:row r="8" ht="62" customHeight="1">
      <x:c r="A8" s="19" t="str">
        <x:v>PC-N70-BASE-CAND</x:v>
      </x:c>
      <x:c r="B8" s="19" t="str">
        <x:v>NO_OBSERVATION</x:v>
      </x:c>
      <x:c r="C8" s="19" t="str">
        <x:v>UNKNOWN</x:v>
      </x:c>
      <x:c r="D8" s="19" t="str"/>
      <x:c r="E8" s="19" t="str"/>
      <x:c r="F8" s="19" t="str"/>
      <x:c r="G8" s="19" t="str"/>
      <x:c r="H8" s="19" t="n">
        <x:f>0</x:f>
        <x:v>0</x:v>
      </x:c>
      <x:c r="I8" s="19" t="n">
        <x:f>0</x:f>
        <x:v>0</x:v>
      </x:c>
      <x:c r="J8" s="19" t="n">
        <x:f>IF(AND(D8&lt;&gt;"",E8&lt;&gt;"",F8&lt;&gt;"",G8&lt;&gt;"",H8=1,I8=1),1,0)</x:f>
        <x:v>0</x:v>
      </x:c>
      <x:c r="K8" s="19" t="n">
        <x:f>IF(AND(J8=1,G8&lt;&gt;""),1,0)</x:f>
        <x:v>0</x:v>
      </x:c>
      <x:c r="L8" s="19" t="n">
        <x:f>0</x:f>
        <x:v>0</x:v>
      </x:c>
      <x:c r="M8" s="19" t="n">
        <x:f>IF(AND(J8=1,K8=1,L8=1),1,0)</x:f>
        <x:v>0</x:v>
      </x:c>
      <x:c r="N8" s="19" t="str">
        <x:f>IF(M8=1,"READY","BLOCKED_PUBLIC_VEHICLE_SKU_AND_CONFIG_REVISION")</x:f>
        <x:v>BLOCKED_PUBLIC_VEHICLE_SKU_AND_CONFIG_REVISION</x:v>
      </x:c>
      <x:c r="O8" s="19" t="str">
        <x:v>监管候选尚无商品入口</x:v>
      </x:c>
    </x:row>
    <x:row r="9" ht="62" customHeight="1">
      <x:c r="A9" s="391" t="str">
        <x:v>PC-N90-ROOF-CAND</x:v>
      </x:c>
      <x:c r="B9" s="391" t="str">
        <x:v>NO_OBSERVATION</x:v>
      </x:c>
      <x:c r="C9" s="391" t="str">
        <x:v>UNKNOWN</x:v>
      </x:c>
      <x:c r="D9" s="391" t="str"/>
      <x:c r="E9" s="391" t="str"/>
      <x:c r="F9" s="391" t="str"/>
      <x:c r="G9" s="391" t="str"/>
      <x:c r="H9" s="391" t="n">
        <x:f>0</x:f>
        <x:v>0</x:v>
      </x:c>
      <x:c r="I9" s="391" t="n">
        <x:f>0</x:f>
        <x:v>0</x:v>
      </x:c>
      <x:c r="J9" s="391" t="n">
        <x:f>IF(AND(D9&lt;&gt;"",E9&lt;&gt;"",F9&lt;&gt;"",G9&lt;&gt;"",H9=1,I9=1),1,0)</x:f>
        <x:v>0</x:v>
      </x:c>
      <x:c r="K9" s="391" t="n">
        <x:f>IF(AND(J9=1,G9&lt;&gt;""),1,0)</x:f>
        <x:v>0</x:v>
      </x:c>
      <x:c r="L9" s="391" t="n">
        <x:f>0</x:f>
        <x:v>0</x:v>
      </x:c>
      <x:c r="M9" s="391" t="n">
        <x:f>IF(AND(J9=1,K9=1,L9=1),1,0)</x:f>
        <x:v>0</x:v>
      </x:c>
      <x:c r="N9" s="391" t="str">
        <x:f>IF(M9=1,"READY","BLOCKED_PUBLIC_VEHICLE_SKU_AND_CONFIG_REVISION")</x:f>
        <x:v>BLOCKED_PUBLIC_VEHICLE_SKU_AND_CONFIG_REVISION</x:v>
      </x:c>
      <x:c r="O9" s="391" t="str">
        <x:v>监管候选尚无商品入口</x:v>
      </x:c>
    </x:row>
    <x:row r="11" ht="24" customHeight="1">
      <x:c r="A11" s="394" t="str">
        <x:v>三座价格桥：拓扑保留，定价全部关闭</x:v>
      </x:c>
      <x:c r="B11" s="394"/>
      <x:c r="C11" s="394"/>
      <x:c r="D11" s="394"/>
      <x:c r="E11" s="394"/>
      <x:c r="F11" s="394"/>
      <x:c r="G11" s="394"/>
      <x:c r="H11" s="394"/>
      <x:c r="I11" s="394"/>
      <x:c r="J11" s="394"/>
      <x:c r="K11" s="394"/>
      <x:c r="L11" s="394"/>
      <x:c r="M11" s="394"/>
      <x:c r="N11" s="394"/>
      <x:c r="O11" s="394"/>
    </x:row>
    <x:row r="12" ht="54" customHeight="1">
      <x:c r="A12" s="390" t="str">
        <x:v>bridge_id</x:v>
      </x:c>
      <x:c r="B12" s="390" t="str">
        <x:v>from_node</x:v>
      </x:c>
      <x:c r="C12" s="390" t="str">
        <x:v>to_node</x:v>
      </x:c>
      <x:c r="D12" s="390" t="str">
        <x:v>topology_status</x:v>
      </x:c>
      <x:c r="E12" s="390" t="str">
        <x:v>from_vehicle_sku_lock</x:v>
      </x:c>
      <x:c r="F12" s="390" t="str">
        <x:v>to_vehicle_sku_lock</x:v>
      </x:c>
      <x:c r="G12" s="390" t="str">
        <x:v>both_current_config_locked</x:v>
      </x:c>
      <x:c r="H12" s="390" t="str">
        <x:v>both_formal_prices_locked</x:v>
      </x:c>
      <x:c r="I12" s="390" t="str">
        <x:v>variant_mapping_ready</x:v>
      </x:c>
      <x:c r="J12" s="390" t="str">
        <x:v>seat_or_roof_delta_resolved</x:v>
      </x:c>
      <x:c r="K12" s="390" t="str">
        <x:v>pricing_enabled</x:v>
      </x:c>
      <x:c r="L12" s="390" t="str">
        <x:v>current_blocker</x:v>
      </x:c>
      <x:c r="M12" s="390" t="str">
        <x:v>presale_scenario_allowed</x:v>
      </x:c>
      <x:c r="N12" s="390" t="str">
        <x:v>official_price_bridge</x:v>
      </x:c>
      <x:c r="O12" s="390" t="str">
        <x:v>as_of</x:v>
      </x:c>
    </x:row>
    <x:row r="13" ht="62" customHeight="1">
      <x:c r="A13" s="19" t="str">
        <x:v>B1</x:v>
      </x:c>
      <x:c r="B13" s="19" t="str">
        <x:v>PC-N70-BASE-CAND</x:v>
      </x:c>
      <x:c r="C13" s="19" t="str">
        <x:v>PC-N70-MAX-CAND</x:v>
      </x:c>
      <x:c r="D13" s="19" t="str">
        <x:v>PROVISIONAL_TOPOLOGY</x:v>
      </x:c>
      <x:c r="E13" s="19" t="n">
        <x:f>IF(COUNTIFS($A$6:$A$9,B13,$J$6:$J$9,1)&gt;0,1,0)</x:f>
        <x:v>0</x:v>
      </x:c>
      <x:c r="F13" s="19" t="n">
        <x:f>IF(COUNTIFS($A$6:$A$9,C13,$J$6:$J$9,1)&gt;0,1,0)</x:f>
        <x:v>0</x:v>
      </x:c>
      <x:c r="G13" s="19" t="n">
        <x:f>IF(AND(COUNTIFS($A$6:$A$9,B13,$K$6:$K$9,1)&gt;0,COUNTIFS($A$6:$A$9,C13,$K$6:$K$9,1)&gt;0),1,0)</x:f>
        <x:v>0</x:v>
      </x:c>
      <x:c r="H13" s="19" t="n">
        <x:f>IF(AND(COUNTIFS($A$6:$A$9,B13,$L$6:$L$9,1)&gt;0,COUNTIFS($A$6:$A$9,C13,$L$6:$L$9,1)&gt;0),1,0)</x:f>
        <x:v>0</x:v>
      </x:c>
      <x:c r="I13" s="19" t="n">
        <x:v>0</x:v>
      </x:c>
      <x:c r="J13" s="19" t="n">
        <x:f>0</x:f>
        <x:v>0</x:v>
      </x:c>
      <x:c r="K13" s="19" t="n">
        <x:f>IF(AND(E13=1,F13=1,G13=1,H13=1,I13=1,J13=1),1,0)</x:f>
        <x:v>0</x:v>
      </x:c>
      <x:c r="L13" s="19" t="str">
        <x:v>低阶商业化身份/轴位/正式价未锁</x:v>
      </x:c>
      <x:c r="M13" s="19" t="str">
        <x:v>YES_SEPARATE_LABEL_ONLY</x:v>
      </x:c>
      <x:c r="N13" s="19" t="str">
        <x:v>NO</x:v>
      </x:c>
      <x:c r="O13" s="19" t="str">
        <x:v>2026-08-04</x:v>
      </x:c>
    </x:row>
    <x:row r="14" ht="62" customHeight="1">
      <x:c r="A14" s="391" t="str">
        <x:v>B2</x:v>
      </x:c>
      <x:c r="B14" s="391" t="str">
        <x:v>PC-N70-MAX-CAND</x:v>
      </x:c>
      <x:c r="C14" s="391" t="str">
        <x:v>PC-N90-MAX-CAND</x:v>
      </x:c>
      <x:c r="D14" s="391" t="str">
        <x:v>PROVISIONAL_TOPOLOGY</x:v>
      </x:c>
      <x:c r="E14" s="391" t="n">
        <x:f>IF(COUNTIFS($A$6:$A$9,B14,$J$6:$J$9,1)&gt;0,1,0)</x:f>
        <x:v>0</x:v>
      </x:c>
      <x:c r="F14" s="391" t="n">
        <x:f>IF(COUNTIFS($A$6:$A$9,C14,$J$6:$J$9,1)&gt;0,1,0)</x:f>
        <x:v>0</x:v>
      </x:c>
      <x:c r="G14" s="391" t="n">
        <x:f>IF(AND(COUNTIFS($A$6:$A$9,B14,$K$6:$K$9,1)&gt;0,COUNTIFS($A$6:$A$9,C14,$K$6:$K$9,1)&gt;0),1,0)</x:f>
        <x:v>0</x:v>
      </x:c>
      <x:c r="H14" s="391" t="n">
        <x:f>IF(AND(COUNTIFS($A$6:$A$9,B14,$L$6:$L$9,1)&gt;0,COUNTIFS($A$6:$A$9,C14,$L$6:$L$9,1)&gt;0),1,0)</x:f>
        <x:v>0</x:v>
      </x:c>
      <x:c r="I14" s="391" t="n">
        <x:v>1</x:v>
      </x:c>
      <x:c r="J14" s="391" t="n">
        <x:f>0</x:f>
        <x:v>0</x:v>
      </x:c>
      <x:c r="K14" s="391" t="n">
        <x:f>IF(AND(E14=1,F14=1,G14=1,H14=1,I14=1,J14=1),1,0)</x:f>
        <x:v>0</x:v>
      </x:c>
      <x:c r="L14" s="391" t="str">
        <x:v>两端正式价/App配置未锁；五座→七座差分需显式拆分</x:v>
      </x:c>
      <x:c r="M14" s="391" t="str">
        <x:v>YES_SEPARATE_LABEL_ONLY</x:v>
      </x:c>
      <x:c r="N14" s="391" t="str">
        <x:v>NO</x:v>
      </x:c>
      <x:c r="O14" s="391" t="str">
        <x:v>2026-08-04</x:v>
      </x:c>
    </x:row>
    <x:row r="15" ht="62" customHeight="1">
      <x:c r="A15" s="19" t="str">
        <x:v>B3</x:v>
      </x:c>
      <x:c r="B15" s="19" t="str">
        <x:v>PC-N90-MAX-CAND</x:v>
      </x:c>
      <x:c r="C15" s="19" t="str">
        <x:v>PC-N90-ROOF-CAND</x:v>
      </x:c>
      <x:c r="D15" s="19" t="str">
        <x:v>PROVISIONAL_TOPOLOGY</x:v>
      </x:c>
      <x:c r="E15" s="19" t="n">
        <x:f>IF(COUNTIFS($A$6:$A$9,B15,$J$6:$J$9,1)&gt;0,1,0)</x:f>
        <x:v>0</x:v>
      </x:c>
      <x:c r="F15" s="19" t="n">
        <x:f>IF(COUNTIFS($A$6:$A$9,C15,$J$6:$J$9,1)&gt;0,1,0)</x:f>
        <x:v>0</x:v>
      </x:c>
      <x:c r="G15" s="19" t="n">
        <x:f>IF(AND(COUNTIFS($A$6:$A$9,B15,$K$6:$K$9,1)&gt;0,COUNTIFS($A$6:$A$9,C15,$K$6:$K$9,1)&gt;0),1,0)</x:f>
        <x:v>0</x:v>
      </x:c>
      <x:c r="H15" s="19" t="n">
        <x:f>IF(AND(COUNTIFS($A$6:$A$9,B15,$L$6:$L$9,1)&gt;0,COUNTIFS($A$6:$A$9,C15,$L$6:$L$9,1)&gt;0),1,0)</x:f>
        <x:v>0</x:v>
      </x:c>
      <x:c r="I15" s="19" t="n">
        <x:v>0</x:v>
      </x:c>
      <x:c r="J15" s="19" t="n">
        <x:f>0</x:f>
        <x:v>0</x:v>
      </x:c>
      <x:c r="K15" s="19" t="n">
        <x:f>IF(AND(E15=1,F15=1,G15=1,H15=1,I15=1,J15=1),1,0)</x:f>
        <x:v>0</x:v>
      </x:c>
      <x:c r="L15" s="19" t="str">
        <x:v>升顶商品化与同座位普通N90基线未锁</x:v>
      </x:c>
      <x:c r="M15" s="19" t="str">
        <x:v>YES_SEPARATE_LABEL_ONLY</x:v>
      </x:c>
      <x:c r="N15" s="19" t="str">
        <x:v>NO</x:v>
      </x:c>
      <x:c r="O15" s="19" t="str">
        <x:v>2026-08-04</x:v>
      </x:c>
    </x:row>
  </x:sheetData>
  <x:mergeCells>
    <x:mergeCell ref="A1:O1"/>
    <x:mergeCell ref="A2:O2"/>
    <x:mergeCell ref="A3:O3"/>
    <x:mergeCell ref="A11:O11"/>
  </x:mergeCells>
  <x:conditionalFormatting sqref="B6:N9">
    <x:cfRule type="containsText" dxfId="1086" priority="1" operator="containsText" text="PASS"/>
    <x:cfRule type="containsText" dxfId="1087" priority="2" operator="containsText" text="READY"/>
    <x:cfRule type="containsText" dxfId="1088" priority="3" operator="containsText" text="TRUE"/>
    <x:cfRule type="containsText" dxfId="1089" priority="4" operator="containsText" text="LOCKED"/>
    <x:cfRule type="containsText" dxfId="1090" priority="5" operator="containsText" text="STANDARD"/>
    <x:cfRule type="containsText" dxfId="1091" priority="6" operator="containsText" text="INCLUDED"/>
    <x:cfRule type="containsText" dxfId="1092" priority="7" operator="containsText" text="OPTION"/>
    <x:cfRule type="containsText" dxfId="1093" priority="8" operator="containsText" text="PROVISIONAL"/>
    <x:cfRule type="containsText" dxfId="1094" priority="9" operator="containsText" text="ENGINEERING"/>
    <x:cfRule type="containsText" dxfId="1095" priority="10" operator="containsText" text="ACCESSORY"/>
    <x:cfRule type="containsText" dxfId="1096" priority="11" operator="containsText" text="SEPARATE"/>
    <x:cfRule type="containsText" dxfId="1097" priority="12" operator="containsText" text="CANDIDATE"/>
    <x:cfRule type="containsText" dxfId="1098" priority="13" operator="containsText" text="HOLD"/>
    <x:cfRule type="containsText" dxfId="1099" priority="14" operator="containsText" text="NOT_DISCLOSED"/>
    <x:cfRule type="containsText" dxfId="1100" priority="15" operator="containsText" text="SUPPRESS"/>
    <x:cfRule type="containsText" dxfId="1101" priority="16" operator="containsText" text="BLOCKED"/>
    <x:cfRule type="containsText" dxfId="1102" priority="17" operator="containsText" text="FAIL"/>
    <x:cfRule type="containsText" dxfId="1103" priority="18" operator="containsText" text="FALSE"/>
    <x:cfRule type="containsText" dxfId="1104" priority="19" operator="containsText" text="CONFLICT"/>
  </x:conditionalFormatting>
  <x:conditionalFormatting sqref="D13:N15">
    <x:cfRule type="containsText" dxfId="1105" priority="20" operator="containsText" text="PASS"/>
    <x:cfRule type="containsText" dxfId="1106" priority="21" operator="containsText" text="READY"/>
    <x:cfRule type="containsText" dxfId="1107" priority="22" operator="containsText" text="TRUE"/>
    <x:cfRule type="containsText" dxfId="1108" priority="23" operator="containsText" text="LOCKED"/>
    <x:cfRule type="containsText" dxfId="1109" priority="24" operator="containsText" text="STANDARD"/>
    <x:cfRule type="containsText" dxfId="1110" priority="25" operator="containsText" text="INCLUDED"/>
    <x:cfRule type="containsText" dxfId="1111" priority="26" operator="containsText" text="OPTION"/>
    <x:cfRule type="containsText" dxfId="1112" priority="27" operator="containsText" text="PROVISIONAL"/>
    <x:cfRule type="containsText" dxfId="1113" priority="28" operator="containsText" text="ENGINEERING"/>
    <x:cfRule type="containsText" dxfId="1114" priority="29" operator="containsText" text="ACCESSORY"/>
    <x:cfRule type="containsText" dxfId="1115" priority="30" operator="containsText" text="SEPARATE"/>
    <x:cfRule type="containsText" dxfId="1116" priority="31" operator="containsText" text="CANDIDATE"/>
    <x:cfRule type="containsText" dxfId="1117" priority="32" operator="containsText" text="HOLD"/>
    <x:cfRule type="containsText" dxfId="1118" priority="33" operator="containsText" text="NOT_DISCLOSED"/>
    <x:cfRule type="containsText" dxfId="1119" priority="34" operator="containsText" text="SUPPRESS"/>
    <x:cfRule type="containsText" dxfId="1120" priority="35" operator="containsText" text="BLOCKED"/>
    <x:cfRule type="containsText" dxfId="1121" priority="36" operator="containsText" text="FAIL"/>
    <x:cfRule type="containsText" dxfId="1122" priority="37" operator="containsText" text="FALSE"/>
    <x:cfRule type="containsText" dxfId="1123" priority="38" operator="containsText" text="CONFLICT"/>
  </x:conditionalFormatting>
  <x:pageMargins left="0.7" right="0.7" top="0.75" bottom="0.75" header="0.3" footer="0.3"/>
</x:worksheet>
</file>

<file path=xl/worksheets/sheet6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3" hidden="0" customWidth="1"/>
    <x:col min="2" max="2" width="31" hidden="0" customWidth="1"/>
    <x:col min="3" max="3" width="14" hidden="0" customWidth="1"/>
    <x:col min="4" max="4" width="18" hidden="0" customWidth="1"/>
    <x:col min="5" max="5" width="18" hidden="0" customWidth="1"/>
    <x:col min="6" max="6" width="18" hidden="0" customWidth="1"/>
    <x:col min="7" max="7" width="20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8" hidden="0" customWidth="1"/>
    <x:col min="13" max="13" width="18" hidden="0" customWidth="1"/>
    <x:col min="14" max="14" width="18" hidden="0" customWidth="1"/>
    <x:col min="15" max="15" width="34" hidden="0" customWidth="1"/>
    <x:col min="16" max="16" width="40" hidden="0" customWidth="1"/>
    <x:col min="17" max="17" width="58" hidden="0" customWidth="1"/>
    <x:col min="18" max="18" width="36" hidden="0" customWidth="1"/>
  </x:cols>
  <x:sheetData>
    <x:row r="1" ht="30" customHeight="1">
      <x:c r="A1" s="378" t="str">
        <x:v>63｜Phase 3.1C 节点签核</x:v>
      </x:c>
      <x:c r="B1" s="378"/>
      <x:c r="C1" s="378"/>
      <x:c r="D1" s="378"/>
      <x:c r="E1" s="378"/>
      <x:c r="F1" s="378"/>
      <x:c r="G1" s="378"/>
      <x:c r="H1" s="378"/>
      <x:c r="I1" s="378"/>
      <x:c r="J1" s="378"/>
      <x:c r="K1" s="378"/>
      <x:c r="L1" s="378"/>
      <x:c r="M1" s="378"/>
      <x:c r="N1" s="378"/>
      <x:c r="O1" s="378"/>
      <x:c r="P1" s="378"/>
      <x:c r="Q1" s="378"/>
      <x:c r="R1" s="378"/>
    </x:row>
    <x:row r="2" ht="22" customHeight="1">
      <x:c r="A2" s="381" t="str">
        <x:v>两款已发布Max进入Phase 3.2工程成本骨架｜候选节点与正式售价桥继续关闭</x:v>
      </x:c>
      <x:c r="B2" s="381"/>
      <x:c r="C2" s="381"/>
      <x:c r="D2" s="381"/>
      <x:c r="E2" s="381"/>
      <x:c r="F2" s="381"/>
      <x:c r="G2" s="381"/>
      <x:c r="H2" s="381"/>
      <x:c r="I2" s="381"/>
      <x:c r="J2" s="381"/>
      <x:c r="K2" s="381"/>
      <x:c r="L2" s="381"/>
      <x:c r="M2" s="381"/>
      <x:c r="N2" s="381"/>
      <x:c r="O2" s="381"/>
      <x:c r="P2" s="381"/>
      <x:c r="Q2" s="381"/>
      <x:c r="R2" s="381"/>
    </x:row>
    <x:row r="3" ht="58" customHeight="1">
      <x:c r="A3" s="385" t="str">
        <x:v>“READY_FOR_PHASE_3.2_ENGINEERING_PROVISIONAL”只表示可以做显式低/中/高工程情景，不表示配置器已锁或正式售价已发布。所有预测必须保留严格标配轴和工程假设轴。</x:v>
      </x:c>
      <x:c r="B3" s="385"/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  <x:c r="O3" s="385"/>
      <x:c r="P3" s="385"/>
      <x:c r="Q3" s="385"/>
      <x:c r="R3" s="385"/>
    </x:row>
    <x:row r="5" ht="58" customHeight="1">
      <x:c r="A5" s="390" t="str">
        <x:v>commercial_node_id</x:v>
      </x:c>
      <x:c r="B5" s="390" t="str">
        <x:v>node_status</x:v>
      </x:c>
      <x:c r="C5" s="390" t="str">
        <x:v>fact_count</x:v>
      </x:c>
      <x:c r="D5" s="390" t="str">
        <x:v>strict_standard_count</x:v>
      </x:c>
      <x:c r="E5" s="390" t="str">
        <x:v>engineering_base_count</x:v>
      </x:c>
      <x:c r="F5" s="390" t="str">
        <x:v>strict_root_cost_fact_count</x:v>
      </x:c>
      <x:c r="G5" s="390" t="str">
        <x:v>engineering_root_cost_fact_count</x:v>
      </x:c>
      <x:c r="H5" s="390" t="str">
        <x:v>option_count</x:v>
      </x:c>
      <x:c r="I5" s="390" t="str">
        <x:v>accessory_count</x:v>
      </x:c>
      <x:c r="J5" s="390" t="str">
        <x:v>hold_count</x:v>
      </x:c>
      <x:c r="K5" s="390" t="str">
        <x:v>suppressed_count</x:v>
      </x:c>
      <x:c r="L5" s="390" t="str">
        <x:v>app_vehicle_sku_lock</x:v>
      </x:c>
      <x:c r="M5" s="390" t="str">
        <x:v>app_current_config</x:v>
      </x:c>
      <x:c r="N5" s="390" t="str">
        <x:v>price_bridge_eligible</x:v>
      </x:c>
      <x:c r="O5" s="390" t="str">
        <x:v>boundary_status</x:v>
      </x:c>
      <x:c r="P5" s="390" t="str">
        <x:v>cost_baseline_status</x:v>
      </x:c>
      <x:c r="Q5" s="390" t="str">
        <x:v>blocking_reason</x:v>
      </x:c>
      <x:c r="R5" s="390" t="str">
        <x:v>next_phase_use</x:v>
      </x:c>
    </x:row>
    <x:row r="6" ht="66" customHeight="1">
      <x:c r="A6" s="19" t="str">
        <x:v>PC-N70-BASE-CAND</x:v>
      </x:c>
      <x:c r="B6" s="19" t="str">
        <x:v>REGULATORY_ONLY_CANDIDATE</x:v>
      </x:c>
      <x:c r="C6" s="19" t="n">
        <x:f>COUNTIF('58_事实边界裁定'!$C$6:$C$127,A6)</x:f>
        <x:v>0</x:v>
      </x:c>
      <x:c r="D6" s="19" t="n">
        <x:f>COUNTIFS('58_事实边界裁定'!$C$6:$C$127,A6,'58_事实边界裁定'!$J$6:$J$127,1)</x:f>
        <x:v>0</x:v>
      </x:c>
      <x:c r="E6" s="19" t="n">
        <x:f>COUNTIFS('58_事实边界裁定'!$C$6:$C$127,A6,'58_事实边界裁定'!$K$6:$K$127,1)</x:f>
        <x:v>0</x:v>
      </x:c>
      <x:c r="F6" s="19" t="n">
        <x:f>COUNTIFS('58_事实边界裁定'!$C$6:$C$127,A6,'58_事实边界裁定'!$L$6:$L$127,1)</x:f>
        <x:v>0</x:v>
      </x:c>
      <x:c r="G6" s="19" t="n">
        <x:f>COUNTIFS('58_事实边界裁定'!$C$6:$C$127,A6,'58_事实边界裁定'!$M$6:$M$127,1)</x:f>
        <x:v>0</x:v>
      </x:c>
      <x:c r="H6" s="19" t="n">
        <x:f>COUNTIFS('58_事实边界裁定'!$C$6:$C$127,A6,'58_事实边界裁定'!$I$6:$I$127,"OPTION_POOL")</x:f>
        <x:v>0</x:v>
      </x:c>
      <x:c r="I6" s="19" t="n">
        <x:f>COUNTIFS('58_事实边界裁定'!$C$6:$C$127,A6,'58_事实边界裁定'!$I$6:$I$127,"ACCESSORY_POOL")</x:f>
        <x:v>0</x:v>
      </x:c>
      <x:c r="J6" s="19" t="n">
        <x:f>COUNTIFS('58_事实边界裁定'!$C$6:$C$127,A6,'58_事实边界裁定'!$I$6:$I$127,"HOLD*")</x:f>
        <x:v>0</x:v>
      </x:c>
      <x:c r="K6" s="19" t="n">
        <x:f>COUNTIFS('58_事实边界裁定'!$C$6:$C$127,A6,'58_事实边界裁定'!$I$6:$I$127,"SUPPRESS*")</x:f>
        <x:v>0</x:v>
      </x:c>
      <x:c r="L6" s="19" t="n">
        <x:f>IF(COUNTIFS('62_App售价桥闸门'!$A$6:$A$9,A6,'62_App售价桥闸门'!$J$6:$J$9,1)&gt;0,1,0)</x:f>
        <x:v>0</x:v>
      </x:c>
      <x:c r="M6" s="19" t="n">
        <x:f>IF(COUNTIFS('62_App售价桥闸门'!$A$6:$A$9,A6,'62_App售价桥闸门'!$K$6:$K$9,1)&gt;0,1,0)</x:f>
        <x:v>0</x:v>
      </x:c>
      <x:c r="N6" s="19" t="n">
        <x:f>IF(COUNTIFS('62_App售价桥闸门'!$A$6:$A$9,A6,'62_App售价桥闸门'!$M$6:$M$9,1)&gt;0,1,0)</x:f>
        <x:v>0</x:v>
      </x:c>
      <x:c r="O6" s="19" t="str">
        <x:f>IF(C6=0,"HOLD_NO_COMMERCIAL_FACTS",IF(AND(D6&gt;0,H6=0,I6=0),"STRICT_BOUNDARY_PARTIAL",IF(AND(D6&gt;0,H6=6,I6=6),"STRICT_BOUNDARY_WITH_OPTION_POOLS","REVIEW")))</x:f>
        <x:v>HOLD_NO_COMMERCIAL_FACTS</x:v>
      </x:c>
      <x:c r="P6" s="19" t="str">
        <x:f>IF(OR(A6="PC-N70-MAX-CAND",A6="PC-N90-MAX-CAND"),"READY_FOR_PHASE_3.2_ENGINEERING_PROVISIONAL","BLOCKED_NOT_COMMERCIALIZED")</x:f>
        <x:v>BLOCKED_NOT_COMMERCIALIZED</x:v>
      </x:c>
      <x:c r="Q6" s="19" t="str">
        <x:v>正式名称/SKU/轴位/售价均未锁</x:v>
      </x:c>
      <x:c r="R6" s="19" t="str">
        <x:v>HOLD_NO_COMMERCIAL_BOM</x:v>
      </x:c>
    </x:row>
    <x:row r="7" ht="66" customHeight="1">
      <x:c r="A7" s="391" t="str">
        <x:v>PC-N70-MAX-CAND</x:v>
      </x:c>
      <x:c r="B7" s="391" t="str">
        <x:v>OFFICIAL_PRESALE_SMALL_ORDER</x:v>
      </x:c>
      <x:c r="C7" s="391" t="n">
        <x:f>COUNTIF('58_事实边界裁定'!$C$6:$C$127,A7)</x:f>
        <x:v>36</x:v>
      </x:c>
      <x:c r="D7" s="391" t="n">
        <x:f>COUNTIFS('58_事实边界裁定'!$C$6:$C$127,A7,'58_事实边界裁定'!$J$6:$J$127,1)</x:f>
        <x:v>9</x:v>
      </x:c>
      <x:c r="E7" s="391" t="n">
        <x:f>COUNTIFS('58_事实边界裁定'!$C$6:$C$127,A7,'58_事实边界裁定'!$K$6:$K$127,1)</x:f>
        <x:v>18</x:v>
      </x:c>
      <x:c r="F7" s="391" t="n">
        <x:f>COUNTIFS('58_事实边界裁定'!$C$6:$C$127,A7,'58_事实边界裁定'!$L$6:$L$127,1)</x:f>
        <x:v>3</x:v>
      </x:c>
      <x:c r="G7" s="391" t="n">
        <x:f>COUNTIFS('58_事实边界裁定'!$C$6:$C$127,A7,'58_事实边界裁定'!$M$6:$M$127,1)</x:f>
        <x:v>4</x:v>
      </x:c>
      <x:c r="H7" s="391" t="n">
        <x:f>COUNTIFS('58_事实边界裁定'!$C$6:$C$127,A7,'58_事实边界裁定'!$I$6:$I$127,"OPTION_POOL")</x:f>
        <x:v>0</x:v>
      </x:c>
      <x:c r="I7" s="391" t="n">
        <x:f>COUNTIFS('58_事实边界裁定'!$C$6:$C$127,A7,'58_事实边界裁定'!$I$6:$I$127,"ACCESSORY_POOL")</x:f>
        <x:v>0</x:v>
      </x:c>
      <x:c r="J7" s="391" t="n">
        <x:f>COUNTIFS('58_事实边界裁定'!$C$6:$C$127,A7,'58_事实边界裁定'!$I$6:$I$127,"HOLD*")</x:f>
        <x:v>0</x:v>
      </x:c>
      <x:c r="K7" s="391" t="n">
        <x:f>COUNTIFS('58_事实边界裁定'!$C$6:$C$127,A7,'58_事实边界裁定'!$I$6:$I$127,"SUPPRESS*")</x:f>
        <x:v>0</x:v>
      </x:c>
      <x:c r="L7" s="391" t="n">
        <x:f>IF(COUNTIFS('62_App售价桥闸门'!$A$6:$A$9,A7,'62_App售价桥闸门'!$J$6:$J$9,1)&gt;0,1,0)</x:f>
        <x:v>0</x:v>
      </x:c>
      <x:c r="M7" s="391" t="n">
        <x:f>IF(COUNTIFS('62_App售价桥闸门'!$A$6:$A$9,A7,'62_App售价桥闸门'!$K$6:$K$9,1)&gt;0,1,0)</x:f>
        <x:v>0</x:v>
      </x:c>
      <x:c r="N7" s="391" t="n">
        <x:f>IF(COUNTIFS('62_App售价桥闸门'!$A$6:$A$9,A7,'62_App售价桥闸门'!$M$6:$M$9,1)&gt;0,1,0)</x:f>
        <x:v>0</x:v>
      </x:c>
      <x:c r="O7" s="391" t="str">
        <x:f>IF(C7=0,"HOLD_NO_COMMERCIAL_FACTS",IF(AND(D7&gt;0,H7=0,I7=0),"STRICT_BOUNDARY_PARTIAL",IF(AND(D7&gt;0,H7=6,I7=6),"STRICT_BOUNDARY_WITH_OPTION_POOLS","REVIEW")))</x:f>
        <x:v>STRICT_BOUNDARY_PARTIAL</x:v>
      </x:c>
      <x:c r="P7" s="391" t="str">
        <x:f>IF(OR(A7="PC-N70-MAX-CAND",A7="PC-N90-MAX-CAND"),"READY_FOR_PHASE_3.2_ENGINEERING_PROVISIONAL","BLOCKED_NOT_COMMERCIALIZED")</x:f>
        <x:v>READY_FOR_PHASE_3.2_ENGINEERING_PROVISIONAL</x:v>
      </x:c>
      <x:c r="Q7" s="391" t="str">
        <x:v>App车辆SKU、完整配置修订、正式指导价；76kWh与座舱配置待补</x:v>
      </x:c>
      <x:c r="R7" s="391" t="str">
        <x:v>PHASE3.2_N70_MAX_BASELINE</x:v>
      </x:c>
    </x:row>
    <x:row r="8" ht="66" customHeight="1">
      <x:c r="A8" s="19" t="str">
        <x:v>PC-N90-MAX-CAND</x:v>
      </x:c>
      <x:c r="B8" s="19" t="str">
        <x:v>OFFICIAL_PRESALE_SMALL_ORDER</x:v>
      </x:c>
      <x:c r="C8" s="19" t="n">
        <x:f>COUNTIF('58_事实边界裁定'!$C$6:$C$127,A8)</x:f>
        <x:v>86</x:v>
      </x:c>
      <x:c r="D8" s="19" t="n">
        <x:f>COUNTIFS('58_事实边界裁定'!$C$6:$C$127,A8,'58_事实边界裁定'!$J$6:$J$127,1)</x:f>
        <x:v>8</x:v>
      </x:c>
      <x:c r="E8" s="19" t="n">
        <x:f>COUNTIFS('58_事实边界裁定'!$C$6:$C$127,A8,'58_事实边界裁定'!$K$6:$K$127,1)</x:f>
        <x:v>71</x:v>
      </x:c>
      <x:c r="F8" s="19" t="n">
        <x:f>COUNTIFS('58_事实边界裁定'!$C$6:$C$127,A8,'58_事实边界裁定'!$L$6:$L$127,1)</x:f>
        <x:v>3</x:v>
      </x:c>
      <x:c r="G8" s="19" t="n">
        <x:f>COUNTIFS('58_事实边界裁定'!$C$6:$C$127,A8,'58_事实边界裁定'!$M$6:$M$127,1)</x:f>
        <x:v>26</x:v>
      </x:c>
      <x:c r="H8" s="19" t="n">
        <x:f>COUNTIFS('58_事实边界裁定'!$C$6:$C$127,A8,'58_事实边界裁定'!$I$6:$I$127,"OPTION_POOL")</x:f>
        <x:v>6</x:v>
      </x:c>
      <x:c r="I8" s="19" t="n">
        <x:f>COUNTIFS('58_事实边界裁定'!$C$6:$C$127,A8,'58_事实边界裁定'!$I$6:$I$127,"ACCESSORY_POOL")</x:f>
        <x:v>6</x:v>
      </x:c>
      <x:c r="J8" s="19" t="n">
        <x:f>COUNTIFS('58_事实边界裁定'!$C$6:$C$127,A8,'58_事实边界裁定'!$I$6:$I$127,"HOLD*")</x:f>
        <x:v>0</x:v>
      </x:c>
      <x:c r="K8" s="19" t="n">
        <x:f>COUNTIFS('58_事实边界裁定'!$C$6:$C$127,A8,'58_事实边界裁定'!$I$6:$I$127,"SUPPRESS*")</x:f>
        <x:v>0</x:v>
      </x:c>
      <x:c r="L8" s="19" t="n">
        <x:f>IF(COUNTIFS('62_App售价桥闸门'!$A$6:$A$9,A8,'62_App售价桥闸门'!$J$6:$J$9,1)&gt;0,1,0)</x:f>
        <x:v>0</x:v>
      </x:c>
      <x:c r="M8" s="19" t="n">
        <x:f>IF(COUNTIFS('62_App售价桥闸门'!$A$6:$A$9,A8,'62_App售价桥闸门'!$K$6:$K$9,1)&gt;0,1,0)</x:f>
        <x:v>0</x:v>
      </x:c>
      <x:c r="N8" s="19" t="n">
        <x:f>IF(COUNTIFS('62_App售价桥闸门'!$A$6:$A$9,A8,'62_App售价桥闸门'!$M$6:$M$9,1)&gt;0,1,0)</x:f>
        <x:v>0</x:v>
      </x:c>
      <x:c r="O8" s="19" t="str">
        <x:f>IF(C8=0,"HOLD_NO_COMMERCIAL_FACTS",IF(AND(D8&gt;0,H8=0,I8=0),"STRICT_BOUNDARY_PARTIAL",IF(AND(D8&gt;0,H8=6,I8=6),"STRICT_BOUNDARY_WITH_OPTION_POOLS","REVIEW")))</x:f>
        <x:v>STRICT_BOUNDARY_WITH_OPTION_POOLS</x:v>
      </x:c>
      <x:c r="P8" s="19" t="str">
        <x:f>IF(OR(A8="PC-N70-MAX-CAND",A8="PC-N90-MAX-CAND"),"READY_FOR_PHASE_3.2_ENGINEERING_PROVISIONAL","BLOCKED_NOT_COMMERCIALIZED")</x:f>
        <x:v>READY_FOR_PHASE_3.2_ENGINEERING_PROVISIONAL</x:v>
      </x:c>
      <x:c r="Q8" s="19" t="str">
        <x:v>App车辆SKU、完整配置修订、正式指导价；选装价格待补</x:v>
      </x:c>
      <x:c r="R8" s="19" t="str">
        <x:v>PHASE3.2_N90_MAX_BASELINE</x:v>
      </x:c>
    </x:row>
    <x:row r="9" ht="66" customHeight="1">
      <x:c r="A9" s="391" t="str">
        <x:v>PC-N90-ROOF-CAND</x:v>
      </x:c>
      <x:c r="B9" s="391" t="str">
        <x:v>HOMOLOGATED_NOT_COMMERCIALIZED</x:v>
      </x:c>
      <x:c r="C9" s="391" t="n">
        <x:f>COUNTIF('58_事实边界裁定'!$C$6:$C$127,A9)</x:f>
        <x:v>0</x:v>
      </x:c>
      <x:c r="D9" s="391" t="n">
        <x:f>COUNTIFS('58_事实边界裁定'!$C$6:$C$127,A9,'58_事实边界裁定'!$J$6:$J$127,1)</x:f>
        <x:v>0</x:v>
      </x:c>
      <x:c r="E9" s="391" t="n">
        <x:f>COUNTIFS('58_事实边界裁定'!$C$6:$C$127,A9,'58_事实边界裁定'!$K$6:$K$127,1)</x:f>
        <x:v>0</x:v>
      </x:c>
      <x:c r="F9" s="391" t="n">
        <x:f>COUNTIFS('58_事实边界裁定'!$C$6:$C$127,A9,'58_事实边界裁定'!$L$6:$L$127,1)</x:f>
        <x:v>0</x:v>
      </x:c>
      <x:c r="G9" s="391" t="n">
        <x:f>COUNTIFS('58_事实边界裁定'!$C$6:$C$127,A9,'58_事实边界裁定'!$M$6:$M$127,1)</x:f>
        <x:v>0</x:v>
      </x:c>
      <x:c r="H9" s="391" t="n">
        <x:f>COUNTIFS('58_事实边界裁定'!$C$6:$C$127,A9,'58_事实边界裁定'!$I$6:$I$127,"OPTION_POOL")</x:f>
        <x:v>0</x:v>
      </x:c>
      <x:c r="I9" s="391" t="n">
        <x:f>COUNTIFS('58_事实边界裁定'!$C$6:$C$127,A9,'58_事实边界裁定'!$I$6:$I$127,"ACCESSORY_POOL")</x:f>
        <x:v>0</x:v>
      </x:c>
      <x:c r="J9" s="391" t="n">
        <x:f>COUNTIFS('58_事实边界裁定'!$C$6:$C$127,A9,'58_事实边界裁定'!$I$6:$I$127,"HOLD*")</x:f>
        <x:v>0</x:v>
      </x:c>
      <x:c r="K9" s="391" t="n">
        <x:f>COUNTIFS('58_事实边界裁定'!$C$6:$C$127,A9,'58_事实边界裁定'!$I$6:$I$127,"SUPPRESS*")</x:f>
        <x:v>0</x:v>
      </x:c>
      <x:c r="L9" s="391" t="n">
        <x:f>IF(COUNTIFS('62_App售价桥闸门'!$A$6:$A$9,A9,'62_App售价桥闸门'!$J$6:$J$9,1)&gt;0,1,0)</x:f>
        <x:v>0</x:v>
      </x:c>
      <x:c r="M9" s="391" t="n">
        <x:f>IF(COUNTIFS('62_App售价桥闸门'!$A$6:$A$9,A9,'62_App售价桥闸门'!$K$6:$K$9,1)&gt;0,1,0)</x:f>
        <x:v>0</x:v>
      </x:c>
      <x:c r="N9" s="391" t="n">
        <x:f>IF(COUNTIFS('62_App售价桥闸门'!$A$6:$A$9,A9,'62_App售价桥闸门'!$M$6:$M$9,1)&gt;0,1,0)</x:f>
        <x:v>0</x:v>
      </x:c>
      <x:c r="O9" s="391" t="str">
        <x:f>IF(C9=0,"HOLD_NO_COMMERCIAL_FACTS",IF(AND(D9&gt;0,H9=0,I9=0),"STRICT_BOUNDARY_PARTIAL",IF(AND(D9&gt;0,H9=6,I9=6),"STRICT_BOUNDARY_WITH_OPTION_POOLS","REVIEW")))</x:f>
        <x:v>HOLD_NO_COMMERCIAL_FACTS</x:v>
      </x:c>
      <x:c r="P9" s="391" t="str">
        <x:f>IF(OR(A9="PC-N70-MAX-CAND",A9="PC-N90-MAX-CAND"),"READY_FOR_PHASE_3.2_ENGINEERING_PROVISIONAL","BLOCKED_NOT_COMMERCIALIZED")</x:f>
        <x:v>BLOCKED_NOT_COMMERCIALIZED</x:v>
      </x:c>
      <x:c r="Q9" s="391" t="str">
        <x:v>商品入口/SKU/价格及同座位普通基线未锁</x:v>
      </x:c>
      <x:c r="R9" s="391" t="str">
        <x:v>HOLD_NO_COMMERCIAL_BOM</x:v>
      </x:c>
    </x:row>
    <x:row r="11" ht="24" customHeight="1">
      <x:c r="A11" s="394" t="str">
        <x:v>阶段出口</x:v>
      </x:c>
      <x:c r="B11" s="394"/>
      <x:c r="C11" s="394"/>
      <x:c r="D11" s="394"/>
      <x:c r="E11" s="394"/>
      <x:c r="F11" s="394"/>
      <x:c r="G11" s="394"/>
      <x:c r="H11" s="394"/>
      <x:c r="I11" s="394"/>
      <x:c r="J11" s="394"/>
      <x:c r="K11" s="394"/>
      <x:c r="L11" s="394"/>
      <x:c r="M11" s="394"/>
      <x:c r="N11" s="394"/>
      <x:c r="O11" s="394"/>
      <x:c r="P11" s="394"/>
      <x:c r="Q11" s="394"/>
      <x:c r="R11" s="394"/>
    </x:row>
    <x:row r="12" ht="46" customHeight="1">
      <x:c r="A12" s="19" t="str">
        <x:v>PHASE_3.1C_STATUS</x:v>
      </x:c>
      <x:c r="B12" s="19" t="str">
        <x:f>IF(COUNTIF('64_3.1C校验'!F6:F120,"FAIL")=0,"READY_FOR_PHASE_3.2_WITH_DUAL_AXIS_BOUNDARY","REVIEW_REQUIRED")</x:f>
        <x:v>READY_FOR_PHASE_3.2_WITH_DUAL_AXIS_BOUNDARY</x:v>
      </x:c>
      <x:c r="C12" s="19" t="str"/>
      <x:c r="D12" s="19" t="str"/>
      <x:c r="E12" s="19" t="str"/>
      <x:c r="F12" s="19" t="str"/>
      <x:c r="G12" s="19" t="str"/>
      <x:c r="H12" s="19" t="str"/>
      <x:c r="I12" s="19" t="str"/>
      <x:c r="J12" s="19" t="str"/>
      <x:c r="K12" s="19" t="str"/>
      <x:c r="L12" s="19" t="str"/>
      <x:c r="M12" s="19" t="str"/>
      <x:c r="N12" s="19" t="str"/>
      <x:c r="O12" s="19" t="str"/>
      <x:c r="P12" s="19" t="str"/>
      <x:c r="Q12" s="19" t="str"/>
      <x:c r="R12" s="19" t="str"/>
    </x:row>
    <x:row r="13" ht="46" customHeight="1">
      <x:c r="A13" s="391" t="str">
        <x:v>STRICT_RELEASE_STANDARD_STATUS</x:v>
      </x:c>
      <x:c r="B13" s="391" t="str">
        <x:f>IF(SUM(D6:D9)=17,"LOCKED_17_EXPLICIT_STANDARD_FACTS","REVIEW")</x:f>
        <x:v>LOCKED_17_EXPLICIT_STANDARD_FACTS</x:v>
      </x:c>
      <x:c r="C13" s="391" t="str"/>
      <x:c r="D13" s="391" t="str"/>
      <x:c r="E13" s="391" t="str"/>
      <x:c r="F13" s="391" t="str"/>
      <x:c r="G13" s="391" t="str"/>
      <x:c r="H13" s="391" t="str"/>
      <x:c r="I13" s="391" t="str"/>
      <x:c r="J13" s="391" t="str"/>
      <x:c r="K13" s="391" t="str"/>
      <x:c r="L13" s="391" t="str"/>
      <x:c r="M13" s="391" t="str"/>
      <x:c r="N13" s="391" t="str"/>
      <x:c r="O13" s="391" t="str"/>
      <x:c r="P13" s="391" t="str"/>
      <x:c r="Q13" s="391" t="str"/>
      <x:c r="R13" s="391" t="str"/>
    </x:row>
    <x:row r="14" ht="46" customHeight="1">
      <x:c r="A14" s="19" t="str">
        <x:v>ENGINEERING_BASE_STATUS</x:v>
      </x:c>
      <x:c r="B14" s="19" t="str">
        <x:f>IF(SUM(E6:E9)=89,"READY_89_FACTS_30_COST_ROOTS","REVIEW")</x:f>
        <x:v>READY_89_FACTS_30_COST_ROOTS</x:v>
      </x:c>
      <x:c r="C14" s="19" t="str"/>
      <x:c r="D14" s="19" t="str"/>
      <x:c r="E14" s="19" t="str"/>
      <x:c r="F14" s="19" t="str"/>
      <x:c r="G14" s="19" t="str"/>
      <x:c r="H14" s="19" t="str"/>
      <x:c r="I14" s="19" t="str"/>
      <x:c r="J14" s="19" t="str"/>
      <x:c r="K14" s="19" t="str"/>
      <x:c r="L14" s="19" t="str"/>
      <x:c r="M14" s="19" t="str"/>
      <x:c r="N14" s="19" t="str"/>
      <x:c r="O14" s="19" t="str"/>
      <x:c r="P14" s="19" t="str"/>
      <x:c r="Q14" s="19" t="str"/>
      <x:c r="R14" s="19" t="str"/>
    </x:row>
    <x:row r="15" ht="46" customHeight="1">
      <x:c r="A15" s="391" t="str">
        <x:v>APP_CURRENT_CONFIG_STATUS</x:v>
      </x:c>
      <x:c r="B15" s="391" t="str">
        <x:v>BLOCKED_PUBLIC_VEHICLE_SKU_AND_CONFIG_REVISION</x:v>
      </x:c>
      <x:c r="C15" s="391" t="str"/>
      <x:c r="D15" s="391" t="str"/>
      <x:c r="E15" s="391" t="str"/>
      <x:c r="F15" s="391" t="str"/>
      <x:c r="G15" s="391" t="str"/>
      <x:c r="H15" s="391" t="str"/>
      <x:c r="I15" s="391" t="str"/>
      <x:c r="J15" s="391" t="str"/>
      <x:c r="K15" s="391" t="str"/>
      <x:c r="L15" s="391" t="str"/>
      <x:c r="M15" s="391" t="str"/>
      <x:c r="N15" s="391" t="str"/>
      <x:c r="O15" s="391" t="str"/>
      <x:c r="P15" s="391" t="str"/>
      <x:c r="Q15" s="391" t="str"/>
      <x:c r="R15" s="391" t="str"/>
    </x:row>
    <x:row r="16" ht="46" customHeight="1">
      <x:c r="A16" s="19" t="str">
        <x:v>PRICE_BRIDGE_STATUS</x:v>
      </x:c>
      <x:c r="B16" s="19" t="str">
        <x:v>BLOCKED_FORMAL_GUIDE_PRICE_AND_APP_CONFIG</x:v>
      </x:c>
      <x:c r="C16" s="19" t="str"/>
      <x:c r="D16" s="19" t="str"/>
      <x:c r="E16" s="19" t="str"/>
      <x:c r="F16" s="19" t="str"/>
      <x:c r="G16" s="19" t="str"/>
      <x:c r="H16" s="19" t="str"/>
      <x:c r="I16" s="19" t="str"/>
      <x:c r="J16" s="19" t="str"/>
      <x:c r="K16" s="19" t="str"/>
      <x:c r="L16" s="19" t="str"/>
      <x:c r="M16" s="19" t="str"/>
      <x:c r="N16" s="19" t="str"/>
      <x:c r="O16" s="19" t="str"/>
      <x:c r="P16" s="19" t="str"/>
      <x:c r="Q16" s="19" t="str"/>
      <x:c r="R16" s="19" t="str"/>
    </x:row>
    <x:row r="17" ht="46" customHeight="1">
      <x:c r="A17" s="391" t="str">
        <x:v>NEXT_PHASE</x:v>
      </x:c>
      <x:c r="B17" s="391" t="str">
        <x:v>Phase 3.2｜N70 Max与N90 Max工程成本骨架；正式售价桥仍关闭</x:v>
      </x:c>
      <x:c r="C17" s="391" t="str"/>
      <x:c r="D17" s="391" t="str"/>
      <x:c r="E17" s="391" t="str"/>
      <x:c r="F17" s="391" t="str"/>
      <x:c r="G17" s="391" t="str"/>
      <x:c r="H17" s="391" t="str"/>
      <x:c r="I17" s="391" t="str"/>
      <x:c r="J17" s="391" t="str"/>
      <x:c r="K17" s="391" t="str"/>
      <x:c r="L17" s="391" t="str"/>
      <x:c r="M17" s="391" t="str"/>
      <x:c r="N17" s="391" t="str"/>
      <x:c r="O17" s="391" t="str"/>
      <x:c r="P17" s="391" t="str"/>
      <x:c r="Q17" s="391" t="str"/>
      <x:c r="R17" s="391" t="str"/>
    </x:row>
  </x:sheetData>
  <x:mergeCells>
    <x:mergeCell ref="A1:R1"/>
    <x:mergeCell ref="A2:R2"/>
    <x:mergeCell ref="A3:R3"/>
    <x:mergeCell ref="A11:R11"/>
  </x:mergeCells>
  <x:conditionalFormatting sqref="B6:P9">
    <x:cfRule type="containsText" dxfId="1124" priority="1" operator="containsText" text="PASS"/>
    <x:cfRule type="containsText" dxfId="1125" priority="2" operator="containsText" text="READY"/>
    <x:cfRule type="containsText" dxfId="1126" priority="3" operator="containsText" text="TRUE"/>
    <x:cfRule type="containsText" dxfId="1127" priority="4" operator="containsText" text="LOCKED"/>
    <x:cfRule type="containsText" dxfId="1128" priority="5" operator="containsText" text="STANDARD"/>
    <x:cfRule type="containsText" dxfId="1129" priority="6" operator="containsText" text="INCLUDED"/>
    <x:cfRule type="containsText" dxfId="1130" priority="7" operator="containsText" text="OPTION"/>
    <x:cfRule type="containsText" dxfId="1131" priority="8" operator="containsText" text="PROVISIONAL"/>
    <x:cfRule type="containsText" dxfId="1132" priority="9" operator="containsText" text="ENGINEERING"/>
    <x:cfRule type="containsText" dxfId="1133" priority="10" operator="containsText" text="ACCESSORY"/>
    <x:cfRule type="containsText" dxfId="1134" priority="11" operator="containsText" text="SEPARATE"/>
    <x:cfRule type="containsText" dxfId="1135" priority="12" operator="containsText" text="CANDIDATE"/>
    <x:cfRule type="containsText" dxfId="1136" priority="13" operator="containsText" text="HOLD"/>
    <x:cfRule type="containsText" dxfId="1137" priority="14" operator="containsText" text="NOT_DISCLOSED"/>
    <x:cfRule type="containsText" dxfId="1138" priority="15" operator="containsText" text="SUPPRESS"/>
    <x:cfRule type="containsText" dxfId="1139" priority="16" operator="containsText" text="BLOCKED"/>
    <x:cfRule type="containsText" dxfId="1140" priority="17" operator="containsText" text="FAIL"/>
    <x:cfRule type="containsText" dxfId="1141" priority="18" operator="containsText" text="FALSE"/>
    <x:cfRule type="containsText" dxfId="1142" priority="19" operator="containsText" text="CONFLICT"/>
  </x:conditionalFormatting>
  <x:conditionalFormatting sqref="B12:B17">
    <x:cfRule type="containsText" dxfId="1143" priority="20" operator="containsText" text="PASS"/>
    <x:cfRule type="containsText" dxfId="1144" priority="21" operator="containsText" text="READY"/>
    <x:cfRule type="containsText" dxfId="1145" priority="22" operator="containsText" text="TRUE"/>
    <x:cfRule type="containsText" dxfId="1146" priority="23" operator="containsText" text="LOCKED"/>
    <x:cfRule type="containsText" dxfId="1147" priority="24" operator="containsText" text="STANDARD"/>
    <x:cfRule type="containsText" dxfId="1148" priority="25" operator="containsText" text="INCLUDED"/>
    <x:cfRule type="containsText" dxfId="1149" priority="26" operator="containsText" text="OPTION"/>
    <x:cfRule type="containsText" dxfId="1150" priority="27" operator="containsText" text="PROVISIONAL"/>
    <x:cfRule type="containsText" dxfId="1151" priority="28" operator="containsText" text="ENGINEERING"/>
    <x:cfRule type="containsText" dxfId="1152" priority="29" operator="containsText" text="ACCESSORY"/>
    <x:cfRule type="containsText" dxfId="1153" priority="30" operator="containsText" text="SEPARATE"/>
    <x:cfRule type="containsText" dxfId="1154" priority="31" operator="containsText" text="CANDIDATE"/>
    <x:cfRule type="containsText" dxfId="1155" priority="32" operator="containsText" text="HOLD"/>
    <x:cfRule type="containsText" dxfId="1156" priority="33" operator="containsText" text="NOT_DISCLOSED"/>
    <x:cfRule type="containsText" dxfId="1157" priority="34" operator="containsText" text="SUPPRESS"/>
    <x:cfRule type="containsText" dxfId="1158" priority="35" operator="containsText" text="BLOCKED"/>
    <x:cfRule type="containsText" dxfId="1159" priority="36" operator="containsText" text="FAIL"/>
    <x:cfRule type="containsText" dxfId="1160" priority="37" operator="containsText" text="FALSE"/>
    <x:cfRule type="containsText" dxfId="1161" priority="38" operator="containsText" text="CONFLICT"/>
  </x:conditionalFormatting>
  <x:pageMargins left="0.7" right="0.7" top="0.75" bottom="0.75" header="0.3" footer="0.3"/>
</x:worksheet>
</file>

<file path=xl/worksheets/sheet6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19" hidden="0" customWidth="1"/>
    <x:col min="3" max="3" width="52" hidden="0" customWidth="1"/>
    <x:col min="4" max="4" width="18" hidden="0" customWidth="1"/>
    <x:col min="5" max="5" width="22" hidden="0" customWidth="1"/>
    <x:col min="6" max="6" width="14" hidden="0" customWidth="1"/>
    <x:col min="7" max="7" width="48" hidden="0" customWidth="1"/>
  </x:cols>
  <x:sheetData>
    <x:row r="1" ht="30" customHeight="1">
      <x:c r="A1" s="378" t="str">
        <x:v>64｜Phase 3.1C 机器校验</x:v>
      </x:c>
      <x:c r="B1" s="378"/>
      <x:c r="C1" s="378"/>
      <x:c r="D1" s="378"/>
      <x:c r="E1" s="378"/>
      <x:c r="F1" s="378"/>
      <x:c r="G1" s="378"/>
    </x:row>
    <x:row r="2" ht="22" customHeight="1">
      <x:c r="A2" s="381" t="str">
        <x:v>事实覆盖、双轴边界、选装/附件隔离、根节点防重、App身份和售价桥闸门</x:v>
      </x:c>
      <x:c r="B2" s="381"/>
      <x:c r="C2" s="381"/>
      <x:c r="D2" s="381"/>
      <x:c r="E2" s="381"/>
      <x:c r="F2" s="381"/>
      <x:c r="G2" s="381"/>
    </x:row>
    <x:row r="3" ht="58" customHeight="1">
      <x:c r="A3" s="385" t="str">
        <x:v>所有检查必须PASS。严格标配17项与工程基础89项同时成立，说明这两条轴已分离；当前App配置0项、价格桥0/3是正确边界，不是数据处理失败。</x:v>
      </x:c>
      <x:c r="B3" s="385"/>
      <x:c r="C3" s="385"/>
      <x:c r="D3" s="385"/>
      <x:c r="E3" s="385"/>
      <x:c r="F3" s="385"/>
      <x:c r="G3" s="385"/>
    </x:row>
    <x:row r="5" ht="48" customHeight="1">
      <x:c r="A5" s="390" t="str">
        <x:v>check_id</x:v>
      </x:c>
      <x:c r="B5" s="390" t="str">
        <x:v>area</x:v>
      </x:c>
      <x:c r="C5" s="390" t="str">
        <x:v>assertion</x:v>
      </x:c>
      <x:c r="D5" s="390" t="str">
        <x:v>expected</x:v>
      </x:c>
      <x:c r="E5" s="390" t="str">
        <x:v>actual</x:v>
      </x:c>
      <x:c r="F5" s="390" t="str">
        <x:v>status</x:v>
      </x:c>
      <x:c r="G5" s="390" t="str">
        <x:v>notes</x:v>
      </x:c>
    </x:row>
    <x:row r="6" ht="36" customHeight="1">
      <x:c r="A6" s="19" t="str">
        <x:v>C001</x:v>
      </x:c>
      <x:c r="B6" s="19" t="str">
        <x:v>COVERAGE</x:v>
      </x:c>
      <x:c r="C6" s="19" t="str">
        <x:v>全部事实已裁定</x:v>
      </x:c>
      <x:c r="D6" s="19" t="n">
        <x:v>122</x:v>
      </x:c>
      <x:c r="E6" s="19" t="n">
        <x:f>COUNTA('58_事实边界裁定'!A6:A127)</x:f>
        <x:v>122</x:v>
      </x:c>
      <x:c r="F6" s="19" t="str">
        <x:f>IF(D6=E6,"PASS","FAIL")</x:f>
        <x:v>PASS</x:v>
      </x:c>
      <x:c r="G6" s="19" t="str"/>
    </x:row>
    <x:row r="7" ht="36" customHeight="1">
      <x:c r="A7" s="391" t="str">
        <x:v>C002</x:v>
      </x:c>
      <x:c r="B7" s="391" t="str">
        <x:v>COVERAGE</x:v>
      </x:c>
      <x:c r="C7" s="391" t="str">
        <x:v>config_fact_id全部非空（唯一性继承3.1B已通过校验）</x:v>
      </x:c>
      <x:c r="D7" s="391" t="n">
        <x:v>122</x:v>
      </x:c>
      <x:c r="E7" s="391" t="n">
        <x:f>COUNTA('58_事实边界裁定'!B6:B127)</x:f>
        <x:v>122</x:v>
      </x:c>
      <x:c r="F7" s="391" t="str">
        <x:f>IF(D7=E7,"PASS","FAIL")</x:f>
        <x:v>PASS</x:v>
      </x:c>
      <x:c r="G7" s="391" t="str"/>
    </x:row>
    <x:row r="8" ht="36" customHeight="1">
      <x:c r="A8" s="19" t="str">
        <x:v>C003</x:v>
      </x:c>
      <x:c r="B8" s="19" t="str">
        <x:v>COVERAGE</x:v>
      </x:c>
      <x:c r="C8" s="19" t="str">
        <x:v>N70事实数</x:v>
      </x:c>
      <x:c r="D8" s="19" t="n">
        <x:v>36</x:v>
      </x:c>
      <x:c r="E8" s="19" t="n">
        <x:f>COUNTIF('58_事实边界裁定'!C6:C127,"PC-N70-MAX-CAND")</x:f>
        <x:v>36</x:v>
      </x:c>
      <x:c r="F8" s="19" t="str">
        <x:f>IF(D8=E8,"PASS","FAIL")</x:f>
        <x:v>PASS</x:v>
      </x:c>
      <x:c r="G8" s="19" t="str"/>
    </x:row>
    <x:row r="9" ht="36" customHeight="1">
      <x:c r="A9" s="391" t="str">
        <x:v>C004</x:v>
      </x:c>
      <x:c r="B9" s="391" t="str">
        <x:v>COVERAGE</x:v>
      </x:c>
      <x:c r="C9" s="391" t="str">
        <x:v>N90事实数</x:v>
      </x:c>
      <x:c r="D9" s="391" t="n">
        <x:v>86</x:v>
      </x:c>
      <x:c r="E9" s="391" t="n">
        <x:f>COUNTIF('58_事实边界裁定'!C6:C127,"PC-N90-MAX-CAND")</x:f>
        <x:v>86</x:v>
      </x:c>
      <x:c r="F9" s="391" t="str">
        <x:f>IF(D9=E9,"PASS","FAIL")</x:f>
        <x:v>PASS</x:v>
      </x:c>
      <x:c r="G9" s="391" t="str"/>
    </x:row>
    <x:row r="10" ht="36" customHeight="1">
      <x:c r="A10" s="19" t="str">
        <x:v>C005</x:v>
      </x:c>
      <x:c r="B10" s="19" t="str">
        <x:v>RAW</x:v>
      </x:c>
      <x:c r="C10" s="19" t="str">
        <x:v>原始明确标配17</x:v>
      </x:c>
      <x:c r="D10" s="19" t="n">
        <x:v>17</x:v>
      </x:c>
      <x:c r="E10" s="19" t="n">
        <x:f>COUNTIF('58_事实边界裁定'!F6:F127,"STANDARD_AT_RELEASE")</x:f>
        <x:v>17</x:v>
      </x:c>
      <x:c r="F10" s="19" t="str">
        <x:f>IF(D10=E10,"PASS","FAIL")</x:f>
        <x:v>PASS</x:v>
      </x:c>
      <x:c r="G10" s="19" t="str"/>
    </x:row>
    <x:row r="11" ht="36" customHeight="1">
      <x:c r="A11" s="391" t="str">
        <x:v>C006</x:v>
      </x:c>
      <x:c r="B11" s="391" t="str">
        <x:v>RAW</x:v>
      </x:c>
      <x:c r="C11" s="391" t="str">
        <x:v>原始展示未确认71</x:v>
      </x:c>
      <x:c r="D11" s="391" t="n">
        <x:v>71</x:v>
      </x:c>
      <x:c r="E11" s="391" t="n">
        <x:f>COUNTIF('58_事实边界裁定'!F6:F127,"EQUIPPED_STANDARD_UNCONFIRMED")</x:f>
        <x:v>71</x:v>
      </x:c>
      <x:c r="F11" s="391" t="str">
        <x:f>IF(D11=E11,"PASS","FAIL")</x:f>
        <x:v>PASS</x:v>
      </x:c>
      <x:c r="G11" s="391" t="str"/>
    </x:row>
    <x:row r="12" ht="36" customHeight="1">
      <x:c r="A12" s="19" t="str">
        <x:v>C007</x:v>
      </x:c>
      <x:c r="B12" s="19" t="str">
        <x:v>RAW</x:v>
      </x:c>
      <x:c r="C12" s="19" t="str">
        <x:v>原始系列能力6</x:v>
      </x:c>
      <x:c r="D12" s="19" t="n">
        <x:v>6</x:v>
      </x:c>
      <x:c r="E12" s="19" t="n">
        <x:f>COUNTIF('58_事实边界裁定'!F6:F127,"SERIES_CAPABILITY")</x:f>
        <x:v>6</x:v>
      </x:c>
      <x:c r="F12" s="19" t="str">
        <x:f>IF(D12=E12,"PASS","FAIL")</x:f>
        <x:v>PASS</x:v>
      </x:c>
      <x:c r="G12" s="19" t="str"/>
    </x:row>
    <x:row r="13" ht="36" customHeight="1">
      <x:c r="A13" s="391" t="str">
        <x:v>C008</x:v>
      </x:c>
      <x:c r="B13" s="391" t="str">
        <x:v>RAW</x:v>
      </x:c>
      <x:c r="C13" s="391" t="str">
        <x:v>原始选装6</x:v>
      </x:c>
      <x:c r="D13" s="391" t="n">
        <x:v>6</x:v>
      </x:c>
      <x:c r="E13" s="391" t="n">
        <x:f>COUNTIF('58_事实边界裁定'!F6:F127,"OPTIONAL_AT_RELEASE")</x:f>
        <x:v>6</x:v>
      </x:c>
      <x:c r="F13" s="391" t="str">
        <x:f>IF(D13=E13,"PASS","FAIL")</x:f>
        <x:v>PASS</x:v>
      </x:c>
      <x:c r="G13" s="391" t="str"/>
    </x:row>
    <x:row r="14" ht="36" customHeight="1">
      <x:c r="A14" s="19" t="str">
        <x:v>C009</x:v>
      </x:c>
      <x:c r="B14" s="19" t="str">
        <x:v>RAW</x:v>
      </x:c>
      <x:c r="C14" s="19" t="str">
        <x:v>原始另购6</x:v>
      </x:c>
      <x:c r="D14" s="19" t="n">
        <x:v>6</x:v>
      </x:c>
      <x:c r="E14" s="19" t="n">
        <x:f>COUNTIF('58_事实边界裁定'!F6:F127,"SEPARATE_PURCHASE")</x:f>
        <x:v>6</x:v>
      </x:c>
      <x:c r="F14" s="19" t="str">
        <x:f>IF(D14=E14,"PASS","FAIL")</x:f>
        <x:v>PASS</x:v>
      </x:c>
      <x:c r="G14" s="19" t="str"/>
    </x:row>
    <x:row r="15" ht="36" customHeight="1">
      <x:c r="A15" s="391" t="str">
        <x:v>C010</x:v>
      </x:c>
      <x:c r="B15" s="391" t="str">
        <x:v>RAW</x:v>
      </x:c>
      <x:c r="C15" s="391" t="str">
        <x:v>原始未披露16</x:v>
      </x:c>
      <x:c r="D15" s="391" t="n">
        <x:v>16</x:v>
      </x:c>
      <x:c r="E15" s="391" t="n">
        <x:f>COUNTIF('58_事实边界裁定'!F6:F127,"NOT_DISCLOSED")</x:f>
        <x:v>16</x:v>
      </x:c>
      <x:c r="F15" s="391" t="str">
        <x:f>IF(D15=E15,"PASS","FAIL")</x:f>
        <x:v>PASS</x:v>
      </x:c>
      <x:c r="G15" s="391" t="str"/>
    </x:row>
    <x:row r="16" ht="36" customHeight="1">
      <x:c r="A16" s="19" t="str">
        <x:v>C011</x:v>
      </x:c>
      <x:c r="B16" s="19" t="str">
        <x:v>DECISION</x:v>
      </x:c>
      <x:c r="C16" s="19" t="str">
        <x:v>严格标配锁定17</x:v>
      </x:c>
      <x:c r="D16" s="19" t="n">
        <x:v>17</x:v>
      </x:c>
      <x:c r="E16" s="19" t="n">
        <x:f>COUNTIF('58_事实边界裁定'!I6:I127,"RELEASE_STANDARD_LOCKED")</x:f>
        <x:v>17</x:v>
      </x:c>
      <x:c r="F16" s="19" t="str">
        <x:f>IF(D16=E16,"PASS","FAIL")</x:f>
        <x:v>PASS</x:v>
      </x:c>
      <x:c r="G16" s="19" t="str"/>
    </x:row>
    <x:row r="17" ht="36" customHeight="1">
      <x:c r="A17" s="391" t="str">
        <x:v>C012</x:v>
      </x:c>
      <x:c r="B17" s="391" t="str">
        <x:v>DECISION</x:v>
      </x:c>
      <x:c r="C17" s="391" t="str">
        <x:v>工程暂纳普通68</x:v>
      </x:c>
      <x:c r="D17" s="391" t="n">
        <x:v>68</x:v>
      </x:c>
      <x:c r="E17" s="391" t="n">
        <x:f>COUNTIF('58_事实边界裁定'!I6:I127,"ENGINEERING_BASE_PROVISIONAL")</x:f>
        <x:v>68</x:v>
      </x:c>
      <x:c r="F17" s="391" t="str">
        <x:f>IF(D17=E17,"PASS","FAIL")</x:f>
        <x:v>PASS</x:v>
      </x:c>
      <x:c r="G17" s="391" t="str"/>
    </x:row>
    <x:row r="18" ht="36" customHeight="1">
      <x:c r="A18" s="19" t="str">
        <x:v>C013</x:v>
      </x:c>
      <x:c r="B18" s="19" t="str">
        <x:v>DECISION</x:v>
      </x:c>
      <x:c r="C18" s="19" t="str">
        <x:v>章节作用域候选2</x:v>
      </x:c>
      <x:c r="D18" s="19" t="n">
        <x:v>2</x:v>
      </x:c>
      <x:c r="E18" s="19" t="n">
        <x:f>COUNTIF('58_事实边界裁定'!I6:I127,"ENGINEERING_BASE_CHAPTER_SCOPE_CANDIDATE")</x:f>
        <x:v>2</x:v>
      </x:c>
      <x:c r="F18" s="19" t="str">
        <x:f>IF(D18=E18,"PASS","FAIL")</x:f>
        <x:v>PASS</x:v>
      </x:c>
      <x:c r="G18" s="19" t="str"/>
    </x:row>
    <x:row r="19" ht="36" customHeight="1">
      <x:c r="A19" s="391" t="str">
        <x:v>C014</x:v>
      </x:c>
      <x:c r="B19" s="391" t="str">
        <x:v>DECISION</x:v>
      </x:c>
      <x:c r="C19" s="391" t="str">
        <x:v>工程能力2</x:v>
      </x:c>
      <x:c r="D19" s="391" t="n">
        <x:v>2</x:v>
      </x:c>
      <x:c r="E19" s="391" t="n">
        <x:f>COUNTIF('58_事实边界裁定'!I6:I127,"ENGINEERING_BASE_CAPABILITY")</x:f>
        <x:v>2</x:v>
      </x:c>
      <x:c r="F19" s="391" t="str">
        <x:f>IF(D19=E19,"PASS","FAIL")</x:f>
        <x:v>PASS</x:v>
      </x:c>
      <x:c r="G19" s="391" t="str"/>
    </x:row>
    <x:row r="20" ht="36" customHeight="1">
      <x:c r="A20" s="19" t="str">
        <x:v>C015</x:v>
      </x:c>
      <x:c r="B20" s="19" t="str">
        <x:v>DECISION</x:v>
      </x:c>
      <x:c r="C20" s="19" t="str">
        <x:v>HOLD未披露16</x:v>
      </x:c>
      <x:c r="D20" s="19" t="n">
        <x:v>16</x:v>
      </x:c>
      <x:c r="E20" s="19" t="n">
        <x:f>COUNTIF('58_事实边界裁定'!I6:I127,"HOLD_NOT_DISCLOSED")</x:f>
        <x:v>16</x:v>
      </x:c>
      <x:c r="F20" s="19" t="str">
        <x:f>IF(D20=E20,"PASS","FAIL")</x:f>
        <x:v>PASS</x:v>
      </x:c>
      <x:c r="G20" s="19" t="str"/>
    </x:row>
    <x:row r="21" ht="36" customHeight="1">
      <x:c r="A21" s="391" t="str">
        <x:v>C016</x:v>
      </x:c>
      <x:c r="B21" s="391" t="str">
        <x:v>DECISION</x:v>
      </x:c>
      <x:c r="C21" s="391" t="str">
        <x:v>HOLD系列作用域3</x:v>
      </x:c>
      <x:c r="D21" s="391" t="n">
        <x:v>3</x:v>
      </x:c>
      <x:c r="E21" s="391" t="n">
        <x:f>COUNTIF('58_事实边界裁定'!I6:I127,"HOLD_SERIES_SCOPE")</x:f>
        <x:v>3</x:v>
      </x:c>
      <x:c r="F21" s="391" t="str">
        <x:f>IF(D21=E21,"PASS","FAIL")</x:f>
        <x:v>PASS</x:v>
      </x:c>
      <x:c r="G21" s="391" t="str"/>
    </x:row>
    <x:row r="22" ht="36" customHeight="1">
      <x:c r="A22" s="19" t="str">
        <x:v>C017</x:v>
      </x:c>
      <x:c r="B22" s="19" t="str">
        <x:v>DECISION</x:v>
      </x:c>
      <x:c r="C22" s="19" t="str">
        <x:v>抑制弱重复2</x:v>
      </x:c>
      <x:c r="D22" s="19" t="n">
        <x:v>2</x:v>
      </x:c>
      <x:c r="E22" s="19" t="n">
        <x:f>COUNTIF('58_事实边界裁定'!I6:I127,"SUPPRESS_DUPLICATE_STRONGER_FACT")</x:f>
        <x:v>2</x:v>
      </x:c>
      <x:c r="F22" s="19" t="str">
        <x:f>IF(D22=E22,"PASS","FAIL")</x:f>
        <x:v>PASS</x:v>
      </x:c>
      <x:c r="G22" s="19" t="str"/>
    </x:row>
    <x:row r="23" ht="36" customHeight="1">
      <x:c r="A23" s="391" t="str">
        <x:v>C018</x:v>
      </x:c>
      <x:c r="B23" s="391" t="str">
        <x:v>AXIS</x:v>
      </x:c>
      <x:c r="C23" s="391" t="str">
        <x:v>严格标配标记17</x:v>
      </x:c>
      <x:c r="D23" s="391" t="n">
        <x:v>17</x:v>
      </x:c>
      <x:c r="E23" s="391" t="n">
        <x:f>SUM('58_事实边界裁定'!J6:J127)</x:f>
        <x:v>17</x:v>
      </x:c>
      <x:c r="F23" s="391" t="str">
        <x:f>IF(D23=E23,"PASS","FAIL")</x:f>
        <x:v>PASS</x:v>
      </x:c>
      <x:c r="G23" s="391" t="str"/>
    </x:row>
    <x:row r="24" ht="36" customHeight="1">
      <x:c r="A24" s="19" t="str">
        <x:v>C019</x:v>
      </x:c>
      <x:c r="B24" s="19" t="str">
        <x:v>AXIS</x:v>
      </x:c>
      <x:c r="C24" s="19" t="str">
        <x:v>工程基础标记89</x:v>
      </x:c>
      <x:c r="D24" s="19" t="n">
        <x:v>89</x:v>
      </x:c>
      <x:c r="E24" s="19" t="n">
        <x:f>SUM('58_事实边界裁定'!K6:K127)</x:f>
        <x:v>89</x:v>
      </x:c>
      <x:c r="F24" s="19" t="str">
        <x:f>IF(D24=E24,"PASS","FAIL")</x:f>
        <x:v>PASS</x:v>
      </x:c>
      <x:c r="G24" s="19" t="str"/>
    </x:row>
    <x:row r="25" ht="36" customHeight="1">
      <x:c r="A25" s="391" t="str">
        <x:v>C020</x:v>
      </x:c>
      <x:c r="B25" s="391" t="str">
        <x:v>AXIS</x:v>
      </x:c>
      <x:c r="C25" s="391" t="str">
        <x:v>严格硬件根事实6</x:v>
      </x:c>
      <x:c r="D25" s="391" t="n">
        <x:v>6</x:v>
      </x:c>
      <x:c r="E25" s="391" t="n">
        <x:f>SUM('58_事实边界裁定'!L6:L127)</x:f>
        <x:v>6</x:v>
      </x:c>
      <x:c r="F25" s="391" t="str">
        <x:f>IF(D25=E25,"PASS","FAIL")</x:f>
        <x:v>PASS</x:v>
      </x:c>
      <x:c r="G25" s="391" t="str"/>
    </x:row>
    <x:row r="26" ht="36" customHeight="1">
      <x:c r="A26" s="19" t="str">
        <x:v>C021</x:v>
      </x:c>
      <x:c r="B26" s="19" t="str">
        <x:v>AXIS</x:v>
      </x:c>
      <x:c r="C26" s="19" t="str">
        <x:v>工程硬件根事实30</x:v>
      </x:c>
      <x:c r="D26" s="19" t="n">
        <x:v>30</x:v>
      </x:c>
      <x:c r="E26" s="19" t="n">
        <x:f>SUM('58_事实边界裁定'!M6:M127)</x:f>
        <x:v>30</x:v>
      </x:c>
      <x:c r="F26" s="19" t="str">
        <x:f>IF(D26=E26,"PASS","FAIL")</x:f>
        <x:v>PASS</x:v>
      </x:c>
      <x:c r="G26" s="19" t="str"/>
    </x:row>
    <x:row r="27" ht="36" customHeight="1">
      <x:c r="A27" s="391" t="str">
        <x:v>C022</x:v>
      </x:c>
      <x:c r="B27" s="391" t="str">
        <x:v>AXIS</x:v>
      </x:c>
      <x:c r="C27" s="391" t="str">
        <x:v>N70工程硬件根4</x:v>
      </x:c>
      <x:c r="D27" s="391" t="n">
        <x:v>4</x:v>
      </x:c>
      <x:c r="E27" s="391" t="n">
        <x:f>SUMIFS('58_事实边界裁定'!M6:M127,'58_事实边界裁定'!C6:C127,"PC-N70-MAX-CAND")</x:f>
        <x:v>4</x:v>
      </x:c>
      <x:c r="F27" s="391" t="str">
        <x:f>IF(D27=E27,"PASS","FAIL")</x:f>
        <x:v>PASS</x:v>
      </x:c>
      <x:c r="G27" s="391" t="str"/>
    </x:row>
    <x:row r="28" ht="36" customHeight="1">
      <x:c r="A28" s="19" t="str">
        <x:v>C023</x:v>
      </x:c>
      <x:c r="B28" s="19" t="str">
        <x:v>AXIS</x:v>
      </x:c>
      <x:c r="C28" s="19" t="str">
        <x:v>N90工程硬件根26</x:v>
      </x:c>
      <x:c r="D28" s="19" t="n">
        <x:v>26</x:v>
      </x:c>
      <x:c r="E28" s="19" t="n">
        <x:f>SUMIFS('58_事实边界裁定'!M6:M127,'58_事实边界裁定'!C6:C127,"PC-N90-MAX-CAND")</x:f>
        <x:v>26</x:v>
      </x:c>
      <x:c r="F28" s="19" t="str">
        <x:f>IF(D28=E28,"PASS","FAIL")</x:f>
        <x:v>PASS</x:v>
      </x:c>
      <x:c r="G28" s="19" t="str"/>
    </x:row>
    <x:row r="29" ht="36" customHeight="1">
      <x:c r="A29" s="391" t="str">
        <x:v>C024</x:v>
      </x:c>
      <x:c r="B29" s="391" t="str">
        <x:v>AXIS</x:v>
      </x:c>
      <x:c r="C29" s="391" t="str">
        <x:v>当前App纳入0</x:v>
      </x:c>
      <x:c r="D29" s="391" t="n">
        <x:v>0</x:v>
      </x:c>
      <x:c r="E29" s="391" t="n">
        <x:f>SUM('58_事实边界裁定'!N6:N127)</x:f>
        <x:v>0</x:v>
      </x:c>
      <x:c r="F29" s="391" t="str">
        <x:f>IF(D29=E29,"PASS","FAIL")</x:f>
        <x:v>PASS</x:v>
      </x:c>
      <x:c r="G29" s="391" t="str"/>
    </x:row>
    <x:row r="30" ht="36" customHeight="1">
      <x:c r="A30" s="19" t="str">
        <x:v>C025</x:v>
      </x:c>
      <x:c r="B30" s="19" t="str">
        <x:v>AXIS</x:v>
      </x:c>
      <x:c r="C30" s="19" t="str">
        <x:v>售价桥纳入0</x:v>
      </x:c>
      <x:c r="D30" s="19" t="n">
        <x:v>0</x:v>
      </x:c>
      <x:c r="E30" s="19" t="n">
        <x:f>SUM('58_事实边界裁定'!O6:O127)</x:f>
        <x:v>0</x:v>
      </x:c>
      <x:c r="F30" s="19" t="str">
        <x:f>IF(D30=E30,"PASS","FAIL")</x:f>
        <x:v>PASS</x:v>
      </x:c>
      <x:c r="G30" s="19" t="str"/>
    </x:row>
    <x:row r="31" ht="36" customHeight="1">
      <x:c r="A31" s="391" t="str">
        <x:v>C026</x:v>
      </x:c>
      <x:c r="B31" s="391" t="str">
        <x:v>POOL</x:v>
      </x:c>
      <x:c r="C31" s="391" t="str">
        <x:v>选装池6</x:v>
      </x:c>
      <x:c r="D31" s="391" t="n">
        <x:v>6</x:v>
      </x:c>
      <x:c r="E31" s="391" t="n">
        <x:f>COUNTIF('60_选装另购'!C6:C17,"OPTION_POOL")</x:f>
        <x:v>6</x:v>
      </x:c>
      <x:c r="F31" s="391" t="str">
        <x:f>IF(D31=E31,"PASS","FAIL")</x:f>
        <x:v>PASS</x:v>
      </x:c>
      <x:c r="G31" s="391" t="str"/>
    </x:row>
    <x:row r="32" ht="36" customHeight="1">
      <x:c r="A32" s="19" t="str">
        <x:v>C027</x:v>
      </x:c>
      <x:c r="B32" s="19" t="str">
        <x:v>POOL</x:v>
      </x:c>
      <x:c r="C32" s="19" t="str">
        <x:v>附件池6</x:v>
      </x:c>
      <x:c r="D32" s="19" t="n">
        <x:v>6</x:v>
      </x:c>
      <x:c r="E32" s="19" t="n">
        <x:f>COUNTIF('60_选装另购'!C6:C17,"ACCESSORY_POOL")</x:f>
        <x:v>6</x:v>
      </x:c>
      <x:c r="F32" s="19" t="str">
        <x:f>IF(D32=E32,"PASS","FAIL")</x:f>
        <x:v>PASS</x:v>
      </x:c>
      <x:c r="G32" s="19" t="str"/>
    </x:row>
    <x:row r="33" ht="36" customHeight="1">
      <x:c r="A33" s="391" t="str">
        <x:v>C028</x:v>
      </x:c>
      <x:c r="B33" s="391" t="str">
        <x:v>POOL</x:v>
      </x:c>
      <x:c r="C33" s="391" t="str">
        <x:v>选装/附件基础BOM均为0</x:v>
      </x:c>
      <x:c r="D33" s="391" t="n">
        <x:v>0</x:v>
      </x:c>
      <x:c r="E33" s="391" t="n">
        <x:f>SUM('60_选装另购'!I6:I17)</x:f>
        <x:v>0</x:v>
      </x:c>
      <x:c r="F33" s="391" t="str">
        <x:f>IF(D33=E33,"PASS","FAIL")</x:f>
        <x:v>PASS</x:v>
      </x:c>
      <x:c r="G33" s="391" t="str"/>
    </x:row>
    <x:row r="34" ht="36" customHeight="1">
      <x:c r="A34" s="19" t="str">
        <x:v>C029</x:v>
      </x:c>
      <x:c r="B34" s="19" t="str">
        <x:v>POOL</x:v>
      </x:c>
      <x:c r="C34" s="19" t="str">
        <x:v>选装/附件App当前均为0</x:v>
      </x:c>
      <x:c r="D34" s="19" t="n">
        <x:v>0</x:v>
      </x:c>
      <x:c r="E34" s="19" t="n">
        <x:f>SUM('60_选装另购'!J6:J17)</x:f>
        <x:v>0</x:v>
      </x:c>
      <x:c r="F34" s="19" t="str">
        <x:f>IF(D34=E34,"PASS","FAIL")</x:f>
        <x:v>PASS</x:v>
      </x:c>
      <x:c r="G34" s="19" t="str"/>
    </x:row>
    <x:row r="35" ht="36" customHeight="1">
      <x:c r="A35" s="391" t="str">
        <x:v>C030</x:v>
      </x:c>
      <x:c r="B35" s="391" t="str">
        <x:v>POOL</x:v>
      </x:c>
      <x:c r="C35" s="391" t="str">
        <x:v>未知官方选装价保持空白</x:v>
      </x:c>
      <x:c r="D35" s="391" t="n">
        <x:v>0</x:v>
      </x:c>
      <x:c r="E35" s="391" t="n">
        <x:f>COUNT('60_选装另购'!K6:K17)</x:f>
        <x:v>0</x:v>
      </x:c>
      <x:c r="F35" s="391" t="str">
        <x:f>IF(D35=E35,"PASS","FAIL")</x:f>
        <x:v>PASS</x:v>
      </x:c>
      <x:c r="G35" s="391" t="str"/>
    </x:row>
    <x:row r="36" ht="36" customHeight="1">
      <x:c r="A36" s="19" t="str">
        <x:v>C031</x:v>
      </x:c>
      <x:c r="B36" s="19" t="str">
        <x:v>APP</x:v>
      </x:c>
      <x:c r="C36" s="19" t="str">
        <x:v>车辆SKU锁定0</x:v>
      </x:c>
      <x:c r="D36" s="19" t="n">
        <x:v>0</x:v>
      </x:c>
      <x:c r="E36" s="19" t="n">
        <x:f>SUM('62_App售价桥闸门'!J6:J9)</x:f>
        <x:v>0</x:v>
      </x:c>
      <x:c r="F36" s="19" t="str">
        <x:f>IF(D36=E36,"PASS","FAIL")</x:f>
        <x:v>PASS</x:v>
      </x:c>
      <x:c r="G36" s="19" t="str"/>
    </x:row>
    <x:row r="37" ht="36" customHeight="1">
      <x:c r="A37" s="391" t="str">
        <x:v>C032</x:v>
      </x:c>
      <x:c r="B37" s="391" t="str">
        <x:v>APP</x:v>
      </x:c>
      <x:c r="C37" s="391" t="str">
        <x:v>当前配置权威0</x:v>
      </x:c>
      <x:c r="D37" s="391" t="n">
        <x:v>0</x:v>
      </x:c>
      <x:c r="E37" s="391" t="n">
        <x:f>SUM('62_App售价桥闸门'!K6:K9)</x:f>
        <x:v>0</x:v>
      </x:c>
      <x:c r="F37" s="391" t="str">
        <x:f>IF(D37=E37,"PASS","FAIL")</x:f>
        <x:v>PASS</x:v>
      </x:c>
      <x:c r="G37" s="391" t="str"/>
    </x:row>
    <x:row r="38" ht="36" customHeight="1">
      <x:c r="A38" s="19" t="str">
        <x:v>C033</x:v>
      </x:c>
      <x:c r="B38" s="19" t="str">
        <x:v>APP</x:v>
      </x:c>
      <x:c r="C38" s="19" t="str">
        <x:v>正式指导价锁定0</x:v>
      </x:c>
      <x:c r="D38" s="19" t="n">
        <x:v>0</x:v>
      </x:c>
      <x:c r="E38" s="19" t="n">
        <x:f>SUM('62_App售价桥闸门'!L6:L9)</x:f>
        <x:v>0</x:v>
      </x:c>
      <x:c r="F38" s="19" t="str">
        <x:f>IF(D38=E38,"PASS","FAIL")</x:f>
        <x:v>PASS</x:v>
      </x:c>
      <x:c r="G38" s="19" t="str"/>
    </x:row>
    <x:row r="39" ht="36" customHeight="1">
      <x:c r="A39" s="391" t="str">
        <x:v>C034</x:v>
      </x:c>
      <x:c r="B39" s="391" t="str">
        <x:v>APP</x:v>
      </x:c>
      <x:c r="C39" s="391" t="str">
        <x:v>节点价格资格0</x:v>
      </x:c>
      <x:c r="D39" s="391" t="n">
        <x:v>0</x:v>
      </x:c>
      <x:c r="E39" s="391" t="n">
        <x:f>SUM('62_App售价桥闸门'!M6:M9)</x:f>
        <x:v>0</x:v>
      </x:c>
      <x:c r="F39" s="391" t="str">
        <x:f>IF(D39=E39,"PASS","FAIL")</x:f>
        <x:v>PASS</x:v>
      </x:c>
      <x:c r="G39" s="391" t="str"/>
    </x:row>
    <x:row r="40" ht="36" customHeight="1">
      <x:c r="A40" s="19" t="str">
        <x:v>C035</x:v>
      </x:c>
      <x:c r="B40" s="19" t="str">
        <x:v>APP</x:v>
      </x:c>
      <x:c r="C40" s="19" t="str">
        <x:v>三桥启用0</x:v>
      </x:c>
      <x:c r="D40" s="19" t="n">
        <x:v>0</x:v>
      </x:c>
      <x:c r="E40" s="19" t="n">
        <x:f>SUM('62_App售价桥闸门'!K13:K15)</x:f>
        <x:v>0</x:v>
      </x:c>
      <x:c r="F40" s="19" t="str">
        <x:f>IF(D40=E40,"PASS","FAIL")</x:f>
        <x:v>PASS</x:v>
      </x:c>
      <x:c r="G40" s="19" t="str"/>
    </x:row>
    <x:row r="41" ht="36" customHeight="1">
      <x:c r="A41" s="391" t="str">
        <x:v>C036</x:v>
      </x:c>
      <x:c r="B41" s="391" t="str">
        <x:v>APP</x:v>
      </x:c>
      <x:c r="C41" s="391" t="str">
        <x:v>三桥官方价格桥均NO</x:v>
      </x:c>
      <x:c r="D41" s="391" t="n">
        <x:v>3</x:v>
      </x:c>
      <x:c r="E41" s="391" t="n">
        <x:f>COUNTIF('62_App售价桥闸门'!N13:N15,"NO")</x:f>
        <x:v>3</x:v>
      </x:c>
      <x:c r="F41" s="391" t="str">
        <x:f>IF(D41=E41,"PASS","FAIL")</x:f>
        <x:v>PASS</x:v>
      </x:c>
      <x:c r="G41" s="391" t="str"/>
    </x:row>
    <x:row r="42" ht="36" customHeight="1">
      <x:c r="A42" s="19" t="str">
        <x:v>C037</x:v>
      </x:c>
      <x:c r="B42" s="19" t="str">
        <x:v>IDENTITY</x:v>
      </x:c>
      <x:c r="C42" s="19" t="str">
        <x:v>N90商业座位仅V-N90-7</x:v>
      </x:c>
      <x:c r="D42" s="19" t="n">
        <x:v>1</x:v>
      </x:c>
      <x:c r="E42" s="19" t="n">
        <x:f>COUNTIFS('59_临时BOM根节点'!B69:B73,"PC-N90-MAX-CAND",'59_临时BOM根节点'!E69:E73,"V-N90-7 ONLY")</x:f>
        <x:v>1</x:v>
      </x:c>
      <x:c r="F42" s="19" t="str">
        <x:f>IF(D42=E42,"PASS","FAIL")</x:f>
        <x:v>PASS</x:v>
      </x:c>
      <x:c r="G42" s="19" t="str"/>
    </x:row>
    <x:row r="43" ht="36" customHeight="1">
      <x:c r="A43" s="391" t="str">
        <x:v>C038</x:v>
      </x:c>
      <x:c r="B43" s="391" t="str">
        <x:v>IDENTITY</x:v>
      </x:c>
      <x:c r="C43" s="391" t="str">
        <x:v>N70监管电池化学不升商业标配</x:v>
      </x:c>
      <x:c r="D43" s="391" t="n">
        <x:v>0</x:v>
      </x:c>
      <x:c r="E43" s="391" t="n">
        <x:f>SUMIFS('59_临时BOM根节点'!G69:G73,'59_临时BOM根节点'!B69:B73,"PC-N70-MAX-CAND")</x:f>
        <x:v>0</x:v>
      </x:c>
      <x:c r="F43" s="391" t="str">
        <x:f>IF(D43=E43,"PASS","FAIL")</x:f>
        <x:v>PASS</x:v>
      </x:c>
      <x:c r="G43" s="391" t="str"/>
    </x:row>
    <x:row r="44" ht="36" customHeight="1">
      <x:c r="A44" s="19" t="str">
        <x:v>C039</x:v>
      </x:c>
      <x:c r="B44" s="19" t="str">
        <x:v>BOUNDARY</x:v>
      </x:c>
      <x:c r="C44" s="19" t="str">
        <x:v>N90章节候选HyperOS恰好1</x:v>
      </x:c>
      <x:c r="D44" s="19" t="n">
        <x:v>1</x:v>
      </x:c>
      <x:c r="E44" s="19" t="n">
        <x:f>COUNTIFS('58_事实边界裁定'!C6:C127,"PC-N90-MAX-CAND",'58_事实边界裁定'!D6:D127,"hyperos_cabin",'58_事实边界裁定'!I6:I127,"ENGINEERING_BASE_CHAPTER_SCOPE_CANDIDATE")</x:f>
        <x:v>1</x:v>
      </x:c>
      <x:c r="F44" s="19" t="str">
        <x:f>IF(D44=E44,"PASS","FAIL")</x:f>
        <x:v>PASS</x:v>
      </x:c>
      <x:c r="G44" s="19" t="str"/>
    </x:row>
    <x:row r="45" ht="36" customHeight="1">
      <x:c r="A45" s="391" t="str">
        <x:v>C040</x:v>
      </x:c>
      <x:c r="B45" s="391" t="str">
        <x:v>BOUNDARY</x:v>
      </x:c>
      <x:c r="C45" s="391" t="str">
        <x:v>N90章节候选后向激光雷达恰好1</x:v>
      </x:c>
      <x:c r="D45" s="391" t="n">
        <x:v>1</x:v>
      </x:c>
      <x:c r="E45" s="391" t="n">
        <x:f>COUNTIFS('58_事实边界裁定'!C6:C127,"PC-N90-MAX-CAND",'58_事实边界裁定'!D6:D127,"rear_solid_state_lidar",'58_事实边界裁定'!I6:I127,"ENGINEERING_BASE_CHAPTER_SCOPE_CANDIDATE")</x:f>
        <x:v>1</x:v>
      </x:c>
      <x:c r="F45" s="391" t="str">
        <x:f>IF(D45=E45,"PASS","FAIL")</x:f>
        <x:v>PASS</x:v>
      </x:c>
      <x:c r="G45" s="391" t="str"/>
    </x:row>
    <x:row r="46" ht="36" customHeight="1">
      <x:c r="A46" s="19" t="str">
        <x:v>C041</x:v>
      </x:c>
      <x:c r="B46" s="19" t="str">
        <x:v>BOUNDARY</x:v>
      </x:c>
      <x:c r="C46" s="19" t="str">
        <x:v>N70后向激光雷达保持HOLD</x:v>
      </x:c>
      <x:c r="D46" s="19" t="n">
        <x:v>1</x:v>
      </x:c>
      <x:c r="E46" s="19" t="n">
        <x:f>COUNTIFS('58_事实边界裁定'!C6:C127,"PC-N70-MAX-CAND",'58_事实边界裁定'!D6:D127,"rear_solid_state_lidar",'58_事实边界裁定'!I6:I127,"HOLD_NOT_DISCLOSED")</x:f>
        <x:v>1</x:v>
      </x:c>
      <x:c r="F46" s="19" t="str">
        <x:f>IF(D46=E46,"PASS","FAIL")</x:f>
        <x:v>PASS</x:v>
      </x:c>
      <x:c r="G46" s="19" t="str"/>
    </x:row>
    <x:row r="47" ht="36" customHeight="1">
      <x:c r="A47" s="391" t="str">
        <x:v>C042</x:v>
      </x:c>
      <x:c r="B47" s="391" t="str">
        <x:v>BOUNDARY</x:v>
      </x:c>
      <x:c r="C47" s="391" t="str">
        <x:v>N70 76kWh未进入工程基础</x:v>
      </x:c>
      <x:c r="D47" s="391" t="n">
        <x:v>0</x:v>
      </x:c>
      <x:c r="E47" s="391" t="n">
        <x:f>SUMIFS('58_事实边界裁定'!K6:K127,'58_事实边界裁定'!C6:C127,"PC-N70-MAX-CAND",'58_事实边界裁定'!D6:D127,"battery_capacity")</x:f>
        <x:v>0</x:v>
      </x:c>
      <x:c r="F47" s="391" t="str">
        <x:f>IF(D47=E47,"PASS","FAIL")</x:f>
        <x:v>PASS</x:v>
      </x:c>
      <x:c r="G47" s="391" t="str"/>
    </x:row>
    <x:row r="48" ht="36" customHeight="1">
      <x:c r="A48" s="19" t="str">
        <x:v>C043</x:v>
      </x:c>
      <x:c r="B48" s="19" t="str">
        <x:v>BOUNDARY</x:v>
      </x:c>
      <x:c r="C48" s="19" t="str">
        <x:v>N90 CLTC 464进入参数层</x:v>
      </x:c>
      <x:c r="D48" s="19" t="n">
        <x:v>1</x:v>
      </x:c>
      <x:c r="E48" s="19" t="n">
        <x:f>SUMIFS('58_事实边界裁定'!K6:K127,'58_事实边界裁定'!C6:C127,"PC-N90-MAX-CAND",'58_事实边界裁定'!D6:D127,"cltc_ev_range")</x:f>
        <x:v>1</x:v>
      </x:c>
      <x:c r="F48" s="19" t="str">
        <x:f>IF(D48=E48,"PASS","FAIL")</x:f>
        <x:v>PASS</x:v>
      </x:c>
      <x:c r="G48" s="19" t="str"/>
    </x:row>
    <x:row r="49" ht="36" customHeight="1">
      <x:c r="A49" s="391" t="str">
        <x:v>C044</x:v>
      </x:c>
      <x:c r="B49" s="391" t="str">
        <x:v>BOUNDARY</x:v>
      </x:c>
      <x:c r="C49" s="391" t="str">
        <x:v>N90错误下放505为0</x:v>
      </x:c>
      <x:c r="D49" s="391" t="n">
        <x:v>0</x:v>
      </x:c>
      <x:c r="E49" s="391" t="n">
        <x:f>COUNTIFS('51_版本配置事实'!B6:B127,"PC-N90-MAX-CAND",'51_版本配置事实'!C6:C127,"cltc_ev_range",'51_版本配置事实'!F6:F127,505)</x:f>
        <x:v>0</x:v>
      </x:c>
      <x:c r="F49" s="391" t="str">
        <x:f>IF(D49=E49,"PASS","FAIL")</x:f>
        <x:v>PASS</x:v>
      </x:c>
      <x:c r="G49" s="391" t="str"/>
    </x:row>
    <x:row r="50" ht="36" customHeight="1">
      <x:c r="A50" s="19" t="str">
        <x:v>C045</x:v>
      </x:c>
      <x:c r="B50" s="19" t="str">
        <x:v>N70_STANDARD</x:v>
      </x:c>
      <x:c r="C50" s="19" t="str">
        <x:v>air_suspension严格标配恰好1</x:v>
      </x:c>
      <x:c r="D50" s="19" t="n">
        <x:v>1</x:v>
      </x:c>
      <x:c r="E50" s="19" t="n">
        <x:f>SUMIFS('58_事实边界裁定'!J6:J127,'58_事实边界裁定'!C6:C127,"PC-N70-MAX-CAND",'58_事实边界裁定'!D6:D127,"air_suspension")</x:f>
        <x:v>1</x:v>
      </x:c>
      <x:c r="F50" s="19" t="str">
        <x:f>IF(D50=E50,"PASS","FAIL")</x:f>
        <x:v>PASS</x:v>
      </x:c>
      <x:c r="G50" s="19" t="str"/>
    </x:row>
    <x:row r="51" ht="36" customHeight="1">
      <x:c r="A51" s="391" t="str">
        <x:v>C046</x:v>
      </x:c>
      <x:c r="B51" s="391" t="str">
        <x:v>N70_STANDARD</x:v>
      </x:c>
      <x:c r="C51" s="391" t="str">
        <x:v>adaptive_damper严格标配恰好1</x:v>
      </x:c>
      <x:c r="D51" s="391" t="n">
        <x:v>1</x:v>
      </x:c>
      <x:c r="E51" s="391" t="n">
        <x:f>SUMIFS('58_事实边界裁定'!J6:J127,'58_事实边界裁定'!C6:C127,"PC-N70-MAX-CAND",'58_事实边界裁定'!D6:D127,"adaptive_damper")</x:f>
        <x:v>1</x:v>
      </x:c>
      <x:c r="F51" s="391" t="str">
        <x:f>IF(D51=E51,"PASS","FAIL")</x:f>
        <x:v>PASS</x:v>
      </x:c>
      <x:c r="G51" s="391" t="str"/>
    </x:row>
    <x:row r="52" ht="36" customHeight="1">
      <x:c r="A52" s="19" t="str">
        <x:v>C047</x:v>
      </x:c>
      <x:c r="B52" s="19" t="str">
        <x:v>N70_STANDARD</x:v>
      </x:c>
      <x:c r="C52" s="19" t="str">
        <x:v>wading_radar_count严格标配恰好1</x:v>
      </x:c>
      <x:c r="D52" s="19" t="n">
        <x:v>1</x:v>
      </x:c>
      <x:c r="E52" s="19" t="n">
        <x:f>SUMIFS('58_事实边界裁定'!J6:J127,'58_事实边界裁定'!C6:C127,"PC-N70-MAX-CAND",'58_事实边界裁定'!D6:D127,"wading_radar_count")</x:f>
        <x:v>1</x:v>
      </x:c>
      <x:c r="F52" s="19" t="str">
        <x:f>IF(D52=E52,"PASS","FAIL")</x:f>
        <x:v>PASS</x:v>
      </x:c>
      <x:c r="G52" s="19" t="str"/>
    </x:row>
    <x:row r="53" ht="36" customHeight="1">
      <x:c r="A53" s="391" t="str">
        <x:v>C048</x:v>
      </x:c>
      <x:c r="B53" s="391" t="str">
        <x:v>N70_STANDARD</x:v>
      </x:c>
      <x:c r="C53" s="391" t="str">
        <x:v>waterproof_key_parts严格标配恰好1</x:v>
      </x:c>
      <x:c r="D53" s="391" t="n">
        <x:v>1</x:v>
      </x:c>
      <x:c r="E53" s="391" t="n">
        <x:f>SUMIFS('58_事实边界裁定'!J6:J127,'58_事实边界裁定'!C6:C127,"PC-N70-MAX-CAND",'58_事实边界裁定'!D6:D127,"waterproof_key_parts")</x:f>
        <x:v>1</x:v>
      </x:c>
      <x:c r="F53" s="391" t="str">
        <x:f>IF(D53=E53,"PASS","FAIL")</x:f>
        <x:v>PASS</x:v>
      </x:c>
      <x:c r="G53" s="391" t="str"/>
    </x:row>
    <x:row r="54" ht="36" customHeight="1">
      <x:c r="A54" s="19" t="str">
        <x:v>C049</x:v>
      </x:c>
      <x:c r="B54" s="19" t="str">
        <x:v>N70_STANDARD</x:v>
      </x:c>
      <x:c r="C54" s="19" t="str">
        <x:v>battery_waterproof严格标配恰好1</x:v>
      </x:c>
      <x:c r="D54" s="19" t="n">
        <x:v>1</x:v>
      </x:c>
      <x:c r="E54" s="19" t="n">
        <x:f>SUMIFS('58_事实边界裁定'!J6:J127,'58_事实边界裁定'!C6:C127,"PC-N70-MAX-CAND",'58_事实边界裁定'!D6:D127,"battery_waterproof")</x:f>
        <x:v>1</x:v>
      </x:c>
      <x:c r="F54" s="19" t="str">
        <x:f>IF(D54=E54,"PASS","FAIL")</x:f>
        <x:v>PASS</x:v>
      </x:c>
      <x:c r="G54" s="19" t="str"/>
    </x:row>
    <x:row r="55" ht="36" customHeight="1">
      <x:c r="A55" s="391" t="str">
        <x:v>C050</x:v>
      </x:c>
      <x:c r="B55" s="391" t="str">
        <x:v>N70_STANDARD</x:v>
      </x:c>
      <x:c r="C55" s="391" t="str">
        <x:v>integrated_door_ring严格标配恰好1</x:v>
      </x:c>
      <x:c r="D55" s="391" t="n">
        <x:v>1</x:v>
      </x:c>
      <x:c r="E55" s="391" t="n">
        <x:f>SUMIFS('58_事实边界裁定'!J6:J127,'58_事实边界裁定'!C6:C127,"PC-N70-MAX-CAND",'58_事实边界裁定'!D6:D127,"integrated_door_ring")</x:f>
        <x:v>1</x:v>
      </x:c>
      <x:c r="F55" s="391" t="str">
        <x:f>IF(D55=E55,"PASS","FAIL")</x:f>
        <x:v>PASS</x:v>
      </x:c>
      <x:c r="G55" s="391" t="str"/>
    </x:row>
    <x:row r="56" ht="36" customHeight="1">
      <x:c r="A56" s="19" t="str">
        <x:v>C051</x:v>
      </x:c>
      <x:c r="B56" s="19" t="str">
        <x:v>N70_STANDARD</x:v>
      </x:c>
      <x:c r="C56" s="19" t="str">
        <x:v>xiaomi_had严格标配恰好1</x:v>
      </x:c>
      <x:c r="D56" s="19" t="n">
        <x:v>1</x:v>
      </x:c>
      <x:c r="E56" s="19" t="n">
        <x:f>SUMIFS('58_事实边界裁定'!J6:J127,'58_事实边界裁定'!C6:C127,"PC-N70-MAX-CAND",'58_事实边界裁定'!D6:D127,"xiaomi_had")</x:f>
        <x:v>1</x:v>
      </x:c>
      <x:c r="F56" s="19" t="str">
        <x:f>IF(D56=E56,"PASS","FAIL")</x:f>
        <x:v>PASS</x:v>
      </x:c>
      <x:c r="G56" s="19" t="str"/>
    </x:row>
    <x:row r="57" ht="36" customHeight="1">
      <x:c r="A57" s="391" t="str">
        <x:v>C052</x:v>
      </x:c>
      <x:c r="B57" s="391" t="str">
        <x:v>N70_STANDARD</x:v>
      </x:c>
      <x:c r="C57" s="391" t="str">
        <x:v>super_xiaoai严格标配恰好1</x:v>
      </x:c>
      <x:c r="D57" s="391" t="n">
        <x:v>1</x:v>
      </x:c>
      <x:c r="E57" s="391" t="n">
        <x:f>SUMIFS('58_事实边界裁定'!J6:J127,'58_事实边界裁定'!C6:C127,"PC-N70-MAX-CAND",'58_事实边界裁定'!D6:D127,"super_xiaoai")</x:f>
        <x:v>1</x:v>
      </x:c>
      <x:c r="F57" s="391" t="str">
        <x:f>IF(D57=E57,"PASS","FAIL")</x:f>
        <x:v>PASS</x:v>
      </x:c>
      <x:c r="G57" s="391" t="str"/>
    </x:row>
    <x:row r="58" ht="36" customHeight="1">
      <x:c r="A58" s="19" t="str">
        <x:v>C053</x:v>
      </x:c>
      <x:c r="B58" s="19" t="str">
        <x:v>N70_STANDARD</x:v>
      </x:c>
      <x:c r="C58" s="19" t="str">
        <x:v>wading_mode严格标配恰好1</x:v>
      </x:c>
      <x:c r="D58" s="19" t="n">
        <x:v>1</x:v>
      </x:c>
      <x:c r="E58" s="19" t="n">
        <x:f>SUMIFS('58_事实边界裁定'!J6:J127,'58_事实边界裁定'!C6:C127,"PC-N70-MAX-CAND",'58_事实边界裁定'!D6:D127,"wading_mode")</x:f>
        <x:v>1</x:v>
      </x:c>
      <x:c r="F58" s="19" t="str">
        <x:f>IF(D58=E58,"PASS","FAIL")</x:f>
        <x:v>PASS</x:v>
      </x:c>
      <x:c r="G58" s="19" t="str"/>
    </x:row>
    <x:row r="59" ht="36" customHeight="1">
      <x:c r="A59" s="391" t="str">
        <x:v>C054</x:v>
      </x:c>
      <x:c r="B59" s="391" t="str">
        <x:v>N90_STANDARD</x:v>
      </x:c>
      <x:c r="C59" s="391" t="str">
        <x:v>safety_assist_count严格标配恰好1</x:v>
      </x:c>
      <x:c r="D59" s="391" t="n">
        <x:v>1</x:v>
      </x:c>
      <x:c r="E59" s="391" t="n">
        <x:f>SUMIFS('58_事实边界裁定'!J6:J127,'58_事实边界裁定'!C6:C127,"PC-N90-MAX-CAND",'58_事实边界裁定'!D6:D127,"safety_assist_count")</x:f>
        <x:v>1</x:v>
      </x:c>
      <x:c r="F59" s="391" t="str">
        <x:f>IF(D59=E59,"PASS","FAIL")</x:f>
        <x:v>PASS</x:v>
      </x:c>
      <x:c r="G59" s="391" t="str"/>
    </x:row>
    <x:row r="60" ht="36" customHeight="1">
      <x:c r="A60" s="19" t="str">
        <x:v>C055</x:v>
      </x:c>
      <x:c r="B60" s="19" t="str">
        <x:v>N90_STANDARD</x:v>
      </x:c>
      <x:c r="C60" s="19" t="str">
        <x:v>domain_controller_4in1严格标配恰好1</x:v>
      </x:c>
      <x:c r="D60" s="19" t="n">
        <x:v>1</x:v>
      </x:c>
      <x:c r="E60" s="19" t="n">
        <x:f>SUMIFS('58_事实边界裁定'!J6:J127,'58_事实边界裁定'!C6:C127,"PC-N90-MAX-CAND",'58_事实边界裁定'!D6:D127,"domain_controller_4in1")</x:f>
        <x:v>1</x:v>
      </x:c>
      <x:c r="F60" s="19" t="str">
        <x:f>IF(D60=E60,"PASS","FAIL")</x:f>
        <x:v>PASS</x:v>
      </x:c>
      <x:c r="G60" s="19" t="str"/>
    </x:row>
    <x:row r="61" ht="36" customHeight="1">
      <x:c r="A61" s="391" t="str">
        <x:v>C056</x:v>
      </x:c>
      <x:c r="B61" s="391" t="str">
        <x:v>N90_STANDARD</x:v>
      </x:c>
      <x:c r="C61" s="391" t="str">
        <x:v>connectivity严格标配恰好1</x:v>
      </x:c>
      <x:c r="D61" s="391" t="n">
        <x:v>1</x:v>
      </x:c>
      <x:c r="E61" s="391" t="n">
        <x:f>SUMIFS('58_事实边界裁定'!J6:J127,'58_事实边界裁定'!C6:C127,"PC-N90-MAX-CAND",'58_事实边界裁定'!D6:D127,"connectivity")</x:f>
        <x:v>1</x:v>
      </x:c>
      <x:c r="F61" s="391" t="str">
        <x:f>IF(D61=E61,"PASS","FAIL")</x:f>
        <x:v>PASS</x:v>
      </x:c>
      <x:c r="G61" s="391" t="str"/>
    </x:row>
    <x:row r="62" ht="36" customHeight="1">
      <x:c r="A62" s="19" t="str">
        <x:v>C057</x:v>
      </x:c>
      <x:c r="B62" s="19" t="str">
        <x:v>N90_STANDARD</x:v>
      </x:c>
      <x:c r="C62" s="19" t="str">
        <x:v>flyback_low_voltage严格标配恰好1</x:v>
      </x:c>
      <x:c r="D62" s="19" t="n">
        <x:v>1</x:v>
      </x:c>
      <x:c r="E62" s="19" t="n">
        <x:f>SUMIFS('58_事实边界裁定'!J6:J127,'58_事实边界裁定'!C6:C127,"PC-N90-MAX-CAND",'58_事实边界裁定'!D6:D127,"flyback_low_voltage")</x:f>
        <x:v>1</x:v>
      </x:c>
      <x:c r="F62" s="19" t="str">
        <x:f>IF(D62=E62,"PASS","FAIL")</x:f>
        <x:v>PASS</x:v>
      </x:c>
      <x:c r="G62" s="19" t="str"/>
    </x:row>
    <x:row r="63" ht="36" customHeight="1">
      <x:c r="A63" s="391" t="str">
        <x:v>C058</x:v>
      </x:c>
      <x:c r="B63" s="391" t="str">
        <x:v>N90_STANDARD</x:v>
      </x:c>
      <x:c r="C63" s="391" t="str">
        <x:v>xiaomi_xla严格标配恰好1</x:v>
      </x:c>
      <x:c r="D63" s="391" t="n">
        <x:v>1</x:v>
      </x:c>
      <x:c r="E63" s="391" t="n">
        <x:f>SUMIFS('58_事实边界裁定'!J6:J127,'58_事实边界裁定'!C6:C127,"PC-N90-MAX-CAND",'58_事实边界裁定'!D6:D127,"xiaomi_xla")</x:f>
        <x:v>1</x:v>
      </x:c>
      <x:c r="F63" s="391" t="str">
        <x:f>IF(D63=E63,"PASS","FAIL")</x:f>
        <x:v>PASS</x:v>
      </x:c>
      <x:c r="G63" s="391" t="str"/>
    </x:row>
    <x:row r="64" ht="36" customHeight="1">
      <x:c r="A64" s="19" t="str">
        <x:v>C059</x:v>
      </x:c>
      <x:c r="B64" s="19" t="str">
        <x:v>N90_STANDARD</x:v>
      </x:c>
      <x:c r="C64" s="19" t="str">
        <x:v>xiaomi_had严格标配恰好1</x:v>
      </x:c>
      <x:c r="D64" s="19" t="n">
        <x:v>1</x:v>
      </x:c>
      <x:c r="E64" s="19" t="n">
        <x:f>SUMIFS('58_事实边界裁定'!J6:J127,'58_事实边界裁定'!C6:C127,"PC-N90-MAX-CAND",'58_事实边界裁定'!D6:D127,"xiaomi_had")</x:f>
        <x:v>1</x:v>
      </x:c>
      <x:c r="F64" s="19" t="str">
        <x:f>IF(D64=E64,"PASS","FAIL")</x:f>
        <x:v>PASS</x:v>
      </x:c>
      <x:c r="G64" s="19" t="str"/>
    </x:row>
    <x:row r="65" ht="36" customHeight="1">
      <x:c r="A65" s="391" t="str">
        <x:v>C060</x:v>
      </x:c>
      <x:c r="B65" s="391" t="str">
        <x:v>N90_STANDARD</x:v>
      </x:c>
      <x:c r="C65" s="391" t="str">
        <x:v>super_xiaoai严格标配恰好1</x:v>
      </x:c>
      <x:c r="D65" s="391" t="n">
        <x:v>1</x:v>
      </x:c>
      <x:c r="E65" s="391" t="n">
        <x:f>SUMIFS('58_事实边界裁定'!J6:J127,'58_事实边界裁定'!C6:C127,"PC-N90-MAX-CAND",'58_事实边界裁定'!D6:D127,"super_xiaoai")</x:f>
        <x:v>1</x:v>
      </x:c>
      <x:c r="F65" s="391" t="str">
        <x:f>IF(D65=E65,"PASS","FAIL")</x:f>
        <x:v>PASS</x:v>
      </x:c>
      <x:c r="G65" s="391" t="str"/>
    </x:row>
    <x:row r="66" ht="36" customHeight="1">
      <x:c r="A66" s="19" t="str">
        <x:v>C061</x:v>
      </x:c>
      <x:c r="B66" s="19" t="str">
        <x:v>N90_STANDARD</x:v>
      </x:c>
      <x:c r="C66" s="19" t="str">
        <x:v>wading_mode严格标配恰好1</x:v>
      </x:c>
      <x:c r="D66" s="19" t="n">
        <x:v>1</x:v>
      </x:c>
      <x:c r="E66" s="19" t="n">
        <x:f>SUMIFS('58_事实边界裁定'!J6:J127,'58_事实边界裁定'!C6:C127,"PC-N90-MAX-CAND",'58_事实边界裁定'!D6:D127,"wading_mode")</x:f>
        <x:v>1</x:v>
      </x:c>
      <x:c r="F66" s="19" t="str">
        <x:f>IF(D66=E66,"PASS","FAIL")</x:f>
        <x:v>PASS</x:v>
      </x:c>
      <x:c r="G66" s="19" t="str"/>
    </x:row>
    <x:row r="67" ht="36" customHeight="1">
      <x:c r="A67" s="391" t="str">
        <x:v>C062</x:v>
      </x:c>
      <x:c r="B67" s="391" t="str">
        <x:v>N90_OPTION</x:v>
      </x:c>
      <x:c r="C67" s="391" t="str">
        <x:v>smart_power_doors选装池恰好1</x:v>
      </x:c>
      <x:c r="D67" s="391" t="n">
        <x:v>1</x:v>
      </x:c>
      <x:c r="E67" s="391" t="n">
        <x:f>COUNTIFS('60_选装另购'!D6:D17,"smart_power_doors",'60_选装另购'!C6:C17,"OPTION_POOL")</x:f>
        <x:v>1</x:v>
      </x:c>
      <x:c r="F67" s="391" t="str">
        <x:f>IF(D67=E67,"PASS","FAIL")</x:f>
        <x:v>PASS</x:v>
      </x:c>
      <x:c r="G67" s="391" t="str"/>
    </x:row>
    <x:row r="68" ht="36" customHeight="1">
      <x:c r="A68" s="19" t="str">
        <x:v>C063</x:v>
      </x:c>
      <x:c r="B68" s="19" t="str">
        <x:v>N90_OPTION</x:v>
      </x:c>
      <x:c r="C68" s="19" t="str">
        <x:v>power_running_boards选装池恰好1</x:v>
      </x:c>
      <x:c r="D68" s="19" t="n">
        <x:v>1</x:v>
      </x:c>
      <x:c r="E68" s="19" t="n">
        <x:f>COUNTIFS('60_选装另购'!D6:D17,"power_running_boards",'60_选装另购'!C6:C17,"OPTION_POOL")</x:f>
        <x:v>1</x:v>
      </x:c>
      <x:c r="F68" s="19" t="str">
        <x:f>IF(D68=E68,"PASS","FAIL")</x:f>
        <x:v>PASS</x:v>
      </x:c>
      <x:c r="G68" s="19" t="str"/>
    </x:row>
    <x:row r="69" ht="36" customHeight="1">
      <x:c r="A69" s="391" t="str">
        <x:v>C064</x:v>
      </x:c>
      <x:c r="B69" s="391" t="str">
        <x:v>N90_OPTION</x:v>
      </x:c>
      <x:c r="C69" s="391" t="str">
        <x:v>front_swivel_seats选装池恰好1</x:v>
      </x:c>
      <x:c r="D69" s="391" t="n">
        <x:v>1</x:v>
      </x:c>
      <x:c r="E69" s="391" t="n">
        <x:f>COUNTIFS('60_选装另购'!D6:D17,"front_swivel_seats",'60_选装另购'!C6:C17,"OPTION_POOL")</x:f>
        <x:v>1</x:v>
      </x:c>
      <x:c r="F69" s="391" t="str">
        <x:f>IF(D69=E69,"PASS","FAIL")</x:f>
        <x:v>PASS</x:v>
      </x:c>
      <x:c r="G69" s="391" t="str"/>
    </x:row>
    <x:row r="70" ht="36" customHeight="1">
      <x:c r="A70" s="19" t="str">
        <x:v>C065</x:v>
      </x:c>
      <x:c r="B70" s="19" t="str">
        <x:v>N90_OPTION</x:v>
      </x:c>
      <x:c r="C70" s="19" t="str">
        <x:v>zero_gravity_seats选装池恰好1</x:v>
      </x:c>
      <x:c r="D70" s="19" t="n">
        <x:v>1</x:v>
      </x:c>
      <x:c r="E70" s="19" t="n">
        <x:f>COUNTIFS('60_选装另购'!D6:D17,"zero_gravity_seats",'60_选装另购'!C6:C17,"OPTION_POOL")</x:f>
        <x:v>1</x:v>
      </x:c>
      <x:c r="F70" s="19" t="str">
        <x:f>IF(D70=E70,"PASS","FAIL")</x:f>
        <x:v>PASS</x:v>
      </x:c>
      <x:c r="G70" s="19" t="str"/>
    </x:row>
    <x:row r="71" ht="36" customHeight="1">
      <x:c r="A71" s="391" t="str">
        <x:v>C066</x:v>
      </x:c>
      <x:c r="B71" s="391" t="str">
        <x:v>N90_OPTION</x:v>
      </x:c>
      <x:c r="C71" s="391" t="str">
        <x:v>wheel_designs_21选装池恰好1</x:v>
      </x:c>
      <x:c r="D71" s="391" t="n">
        <x:v>1</x:v>
      </x:c>
      <x:c r="E71" s="391" t="n">
        <x:f>COUNTIFS('60_选装另购'!D6:D17,"wheel_designs_21",'60_选装另购'!C6:C17,"OPTION_POOL")</x:f>
        <x:v>1</x:v>
      </x:c>
      <x:c r="F71" s="391" t="str">
        <x:f>IF(D71=E71,"PASS","FAIL")</x:f>
        <x:v>PASS</x:v>
      </x:c>
      <x:c r="G71" s="391" t="str"/>
    </x:row>
    <x:row r="72" ht="36" customHeight="1">
      <x:c r="A72" s="19" t="str">
        <x:v>C067</x:v>
      </x:c>
      <x:c r="B72" s="19" t="str">
        <x:v>N90_OPTION</x:v>
      </x:c>
      <x:c r="C72" s="19" t="str">
        <x:v>grille_trim选装池恰好1</x:v>
      </x:c>
      <x:c r="D72" s="19" t="n">
        <x:v>1</x:v>
      </x:c>
      <x:c r="E72" s="19" t="n">
        <x:f>COUNTIFS('60_选装另购'!D6:D17,"grille_trim",'60_选装另购'!C6:C17,"OPTION_POOL")</x:f>
        <x:v>1</x:v>
      </x:c>
      <x:c r="F72" s="19" t="str">
        <x:f>IF(D72=E72,"PASS","FAIL")</x:f>
        <x:v>PASS</x:v>
      </x:c>
      <x:c r="G72" s="19" t="str"/>
    </x:row>
    <x:row r="73" ht="36" customHeight="1">
      <x:c r="A73" s="391" t="str">
        <x:v>C068</x:v>
      </x:c>
      <x:c r="B73" s="391" t="str">
        <x:v>N90_ACCESSORY</x:v>
      </x:c>
      <x:c r="C73" s="391" t="str">
        <x:v>vehicle_table附件池恰好1</x:v>
      </x:c>
      <x:c r="D73" s="391" t="n">
        <x:v>1</x:v>
      </x:c>
      <x:c r="E73" s="391" t="n">
        <x:f>COUNTIFS('60_选装另购'!D6:D17,"vehicle_table",'60_选装另购'!C6:C17,"ACCESSORY_POOL")</x:f>
        <x:v>1</x:v>
      </x:c>
      <x:c r="F73" s="391" t="str">
        <x:f>IF(D73=E73,"PASS","FAIL")</x:f>
        <x:v>PASS</x:v>
      </x:c>
      <x:c r="G73" s="391" t="str"/>
    </x:row>
    <x:row r="74" ht="36" customHeight="1">
      <x:c r="A74" s="19" t="str">
        <x:v>C069</x:v>
      </x:c>
      <x:c r="B74" s="19" t="str">
        <x:v>N90_ACCESSORY</x:v>
      </x:c>
      <x:c r="C74" s="19" t="str">
        <x:v>mattress附件池恰好1</x:v>
      </x:c>
      <x:c r="D74" s="19" t="n">
        <x:v>1</x:v>
      </x:c>
      <x:c r="E74" s="19" t="n">
        <x:f>COUNTIFS('60_选装另购'!D6:D17,"mattress",'60_选装另购'!C6:C17,"ACCESSORY_POOL")</x:f>
        <x:v>1</x:v>
      </x:c>
      <x:c r="F74" s="19" t="str">
        <x:f>IF(D74=E74,"PASS","FAIL")</x:f>
        <x:v>PASS</x:v>
      </x:c>
      <x:c r="G74" s="19" t="str"/>
    </x:row>
    <x:row r="75" ht="36" customHeight="1">
      <x:c r="A75" s="391" t="str">
        <x:v>C070</x:v>
      </x:c>
      <x:c r="B75" s="391" t="str">
        <x:v>N90_ACCESSORY</x:v>
      </x:c>
      <x:c r="C75" s="391" t="str">
        <x:v>privacy_curtains附件池恰好1</x:v>
      </x:c>
      <x:c r="D75" s="391" t="n">
        <x:v>1</x:v>
      </x:c>
      <x:c r="E75" s="391" t="n">
        <x:f>COUNTIFS('60_选装另购'!D6:D17,"privacy_curtains",'60_选装另购'!C6:C17,"ACCESSORY_POOL")</x:f>
        <x:v>1</x:v>
      </x:c>
      <x:c r="F75" s="391" t="str">
        <x:f>IF(D75=E75,"PASS","FAIL")</x:f>
        <x:v>PASS</x:v>
      </x:c>
      <x:c r="G75" s="391" t="str"/>
    </x:row>
    <x:row r="76" ht="36" customHeight="1">
      <x:c r="A76" s="19" t="str">
        <x:v>C071</x:v>
      </x:c>
      <x:c r="B76" s="19" t="str">
        <x:v>N90_ACCESSORY</x:v>
      </x:c>
      <x:c r="C76" s="19" t="str">
        <x:v>tail_tent附件池恰好1</x:v>
      </x:c>
      <x:c r="D76" s="19" t="n">
        <x:v>1</x:v>
      </x:c>
      <x:c r="E76" s="19" t="n">
        <x:f>COUNTIFS('60_选装另购'!D6:D17,"tail_tent",'60_选装另购'!C6:C17,"ACCESSORY_POOL")</x:f>
        <x:v>1</x:v>
      </x:c>
      <x:c r="F76" s="19" t="str">
        <x:f>IF(D76=E76,"PASS","FAIL")</x:f>
        <x:v>PASS</x:v>
      </x:c>
      <x:c r="G76" s="19" t="str"/>
    </x:row>
    <x:row r="77" ht="36" customHeight="1">
      <x:c r="A77" s="391" t="str">
        <x:v>C072</x:v>
      </x:c>
      <x:c r="B77" s="391" t="str">
        <x:v>N90_ACCESSORY</x:v>
      </x:c>
      <x:c r="C77" s="391" t="str">
        <x:v>side_tent附件池恰好1</x:v>
      </x:c>
      <x:c r="D77" s="391" t="n">
        <x:v>1</x:v>
      </x:c>
      <x:c r="E77" s="391" t="n">
        <x:f>COUNTIFS('60_选装另购'!D6:D17,"side_tent",'60_选装另购'!C6:C17,"ACCESSORY_POOL")</x:f>
        <x:v>1</x:v>
      </x:c>
      <x:c r="F77" s="391" t="str">
        <x:f>IF(D77=E77,"PASS","FAIL")</x:f>
        <x:v>PASS</x:v>
      </x:c>
      <x:c r="G77" s="391" t="str"/>
    </x:row>
    <x:row r="78" ht="36" customHeight="1">
      <x:c r="A78" s="19" t="str">
        <x:v>C073</x:v>
      </x:c>
      <x:c r="B78" s="19" t="str">
        <x:v>N90_ACCESSORY</x:v>
      </x:c>
      <x:c r="C78" s="19" t="str">
        <x:v>passenger_seat_pad附件池恰好1</x:v>
      </x:c>
      <x:c r="D78" s="19" t="n">
        <x:v>1</x:v>
      </x:c>
      <x:c r="E78" s="19" t="n">
        <x:f>COUNTIFS('60_选装另购'!D6:D17,"passenger_seat_pad",'60_选装另购'!C6:C17,"ACCESSORY_POOL")</x:f>
        <x:v>1</x:v>
      </x:c>
      <x:c r="F78" s="19" t="str">
        <x:f>IF(D78=E78,"PASS","FAIL")</x:f>
        <x:v>PASS</x:v>
      </x:c>
      <x:c r="G78" s="19" t="str"/>
    </x:row>
    <x:row r="79" ht="36" customHeight="1">
      <x:c r="A79" s="391" t="str">
        <x:v>C074</x:v>
      </x:c>
      <x:c r="B79" s="391" t="str">
        <x:v>SIGNOFF</x:v>
      </x:c>
      <x:c r="C79" s="391" t="str">
        <x:v>N70签核9严格标配</x:v>
      </x:c>
      <x:c r="D79" s="391" t="n">
        <x:v>9</x:v>
      </x:c>
      <x:c r="E79" s="391" t="n">
        <x:f>SUMIFS('63_3.1C签核'!D6:D9,'63_3.1C签核'!A6:A9,"PC-N70-MAX-CAND")</x:f>
        <x:v>9</x:v>
      </x:c>
      <x:c r="F79" s="391" t="str">
        <x:f>IF(D79=E79,"PASS","FAIL")</x:f>
        <x:v>PASS</x:v>
      </x:c>
      <x:c r="G79" s="391" t="str"/>
    </x:row>
    <x:row r="80" ht="36" customHeight="1">
      <x:c r="A80" s="19" t="str">
        <x:v>C075</x:v>
      </x:c>
      <x:c r="B80" s="19" t="str">
        <x:v>SIGNOFF</x:v>
      </x:c>
      <x:c r="C80" s="19" t="str">
        <x:v>N90签核8严格标配</x:v>
      </x:c>
      <x:c r="D80" s="19" t="n">
        <x:v>8</x:v>
      </x:c>
      <x:c r="E80" s="19" t="n">
        <x:f>SUMIFS('63_3.1C签核'!D6:D9,'63_3.1C签核'!A6:A9,"PC-N90-MAX-CAND")</x:f>
        <x:v>8</x:v>
      </x:c>
      <x:c r="F80" s="19" t="str">
        <x:f>IF(D80=E80,"PASS","FAIL")</x:f>
        <x:v>PASS</x:v>
      </x:c>
      <x:c r="G80" s="19" t="str"/>
    </x:row>
    <x:row r="81" ht="36" customHeight="1">
      <x:c r="A81" s="391" t="str">
        <x:v>C076</x:v>
      </x:c>
      <x:c r="B81" s="391" t="str">
        <x:v>SIGNOFF</x:v>
      </x:c>
      <x:c r="C81" s="391" t="str">
        <x:v>两个Max工程成本骨架就绪</x:v>
      </x:c>
      <x:c r="D81" s="391" t="n">
        <x:v>2</x:v>
      </x:c>
      <x:c r="E81" s="391" t="n">
        <x:f>COUNTIF('63_3.1C签核'!P6:P9,"READY_FOR_PHASE_3.2_ENGINEERING_PROVISIONAL")</x:f>
        <x:v>2</x:v>
      </x:c>
      <x:c r="F81" s="391" t="str">
        <x:f>IF(D81=E81,"PASS","FAIL")</x:f>
        <x:v>PASS</x:v>
      </x:c>
      <x:c r="G81" s="391" t="str"/>
    </x:row>
    <x:row r="82" ht="36" customHeight="1">
      <x:c r="A82" s="19" t="str">
        <x:v>C077</x:v>
      </x:c>
      <x:c r="B82" s="19" t="str">
        <x:v>SIGNOFF</x:v>
      </x:c>
      <x:c r="C82" s="19" t="str">
        <x:v>候选节点商业BOM仍关闭</x:v>
      </x:c>
      <x:c r="D82" s="19" t="n">
        <x:v>2</x:v>
      </x:c>
      <x:c r="E82" s="19" t="n">
        <x:f>COUNTIF('63_3.1C签核'!P6:P9,"BLOCKED_NOT_COMMERCIALIZED")</x:f>
        <x:v>2</x:v>
      </x:c>
      <x:c r="F82" s="19" t="str">
        <x:f>IF(D82=E82,"PASS","FAIL")</x:f>
        <x:v>PASS</x:v>
      </x:c>
      <x:c r="G82" s="19" t="str"/>
    </x:row>
    <x:row r="84" ht="24" customHeight="1">
      <x:c r="A84" s="394" t="str">
        <x:v>阶段汇总</x:v>
      </x:c>
      <x:c r="B84" s="394"/>
      <x:c r="C84" s="394"/>
      <x:c r="D84" s="394"/>
      <x:c r="E84" s="394"/>
      <x:c r="F84" s="394"/>
      <x:c r="G84" s="394"/>
    </x:row>
    <x:row r="85" ht="42" customHeight="1">
      <x:c r="A85" s="19" t="str">
        <x:v>检查总数</x:v>
      </x:c>
      <x:c r="B85" s="19" t="n">
        <x:f>COUNTA(A6:A82)</x:f>
        <x:v>77</x:v>
      </x:c>
      <x:c r="C85" s="19" t="str"/>
      <x:c r="D85" s="19" t="str"/>
      <x:c r="E85" s="19" t="str"/>
      <x:c r="F85" s="19" t="str"/>
      <x:c r="G85" s="19" t="str"/>
    </x:row>
    <x:row r="86" ht="42" customHeight="1">
      <x:c r="A86" s="391" t="str">
        <x:v>失败检查</x:v>
      </x:c>
      <x:c r="B86" s="391" t="n">
        <x:f>COUNTIF(F6:F82,"FAIL")</x:f>
        <x:v>0</x:v>
      </x:c>
      <x:c r="C86" s="391" t="str"/>
      <x:c r="D86" s="391" t="str"/>
      <x:c r="E86" s="391" t="str"/>
      <x:c r="F86" s="391" t="str"/>
      <x:c r="G86" s="391" t="str"/>
    </x:row>
    <x:row r="87" ht="42" customHeight="1">
      <x:c r="A87" s="19" t="str">
        <x:v>严格标配事实</x:v>
      </x:c>
      <x:c r="B87" s="19" t="n">
        <x:f>SUM('58_事实边界裁定'!J6:J127)</x:f>
        <x:v>17</x:v>
      </x:c>
      <x:c r="C87" s="19" t="str"/>
      <x:c r="D87" s="19" t="str"/>
      <x:c r="E87" s="19" t="str"/>
      <x:c r="F87" s="19" t="str"/>
      <x:c r="G87" s="19" t="str"/>
    </x:row>
    <x:row r="88" ht="42" customHeight="1">
      <x:c r="A88" s="391" t="str">
        <x:v>工程基础事实</x:v>
      </x:c>
      <x:c r="B88" s="391" t="n">
        <x:f>SUM('58_事实边界裁定'!K6:K127)</x:f>
        <x:v>89</x:v>
      </x:c>
      <x:c r="C88" s="391" t="str"/>
      <x:c r="D88" s="391" t="str"/>
      <x:c r="E88" s="391" t="str"/>
      <x:c r="F88" s="391" t="str"/>
      <x:c r="G88" s="391" t="str"/>
    </x:row>
    <x:row r="89" ht="42" customHeight="1">
      <x:c r="A89" s="19" t="str">
        <x:v>阶段状态</x:v>
      </x:c>
      <x:c r="B89" s="19" t="str">
        <x:f>IF(B86=0,"READY_FOR_PHASE_3.2_WITH_DUAL_AXIS_BOUNDARY","REVIEW_REQUIRED")</x:f>
        <x:v>READY_FOR_PHASE_3.2_WITH_DUAL_AXIS_BOUNDARY</x:v>
      </x:c>
      <x:c r="C89" s="19" t="str"/>
      <x:c r="D89" s="19" t="str"/>
      <x:c r="E89" s="19" t="str"/>
      <x:c r="F89" s="19" t="str"/>
      <x:c r="G89" s="19" t="str"/>
    </x:row>
  </x:sheetData>
  <x:mergeCells>
    <x:mergeCell ref="A1:G1"/>
    <x:mergeCell ref="A2:G2"/>
    <x:mergeCell ref="A3:G3"/>
    <x:mergeCell ref="A84:G84"/>
  </x:mergeCells>
  <x:conditionalFormatting sqref="F6:F82">
    <x:cfRule type="containsText" dxfId="1162" priority="1" operator="containsText" text="PASS"/>
    <x:cfRule type="containsText" dxfId="1163" priority="2" operator="containsText" text="READY"/>
    <x:cfRule type="containsText" dxfId="1164" priority="3" operator="containsText" text="TRUE"/>
    <x:cfRule type="containsText" dxfId="1165" priority="4" operator="containsText" text="LOCKED"/>
    <x:cfRule type="containsText" dxfId="1166" priority="5" operator="containsText" text="STANDARD"/>
    <x:cfRule type="containsText" dxfId="1167" priority="6" operator="containsText" text="INCLUDED"/>
    <x:cfRule type="containsText" dxfId="1168" priority="7" operator="containsText" text="OPTION"/>
    <x:cfRule type="containsText" dxfId="1169" priority="8" operator="containsText" text="PROVISIONAL"/>
    <x:cfRule type="containsText" dxfId="1170" priority="9" operator="containsText" text="ENGINEERING"/>
    <x:cfRule type="containsText" dxfId="1171" priority="10" operator="containsText" text="ACCESSORY"/>
    <x:cfRule type="containsText" dxfId="1172" priority="11" operator="containsText" text="SEPARATE"/>
    <x:cfRule type="containsText" dxfId="1173" priority="12" operator="containsText" text="CANDIDATE"/>
    <x:cfRule type="containsText" dxfId="1174" priority="13" operator="containsText" text="HOLD"/>
    <x:cfRule type="containsText" dxfId="1175" priority="14" operator="containsText" text="NOT_DISCLOSED"/>
    <x:cfRule type="containsText" dxfId="1176" priority="15" operator="containsText" text="SUPPRESS"/>
    <x:cfRule type="containsText" dxfId="1177" priority="16" operator="containsText" text="BLOCKED"/>
    <x:cfRule type="containsText" dxfId="1178" priority="17" operator="containsText" text="FAIL"/>
    <x:cfRule type="containsText" dxfId="1179" priority="18" operator="containsText" text="FALSE"/>
    <x:cfRule type="containsText" dxfId="1180" priority="19" operator="containsText" text="CONFLICT"/>
  </x:conditionalFormatting>
  <x:conditionalFormatting sqref="B85:B89">
    <x:cfRule type="containsText" dxfId="1181" priority="20" operator="containsText" text="PASS"/>
    <x:cfRule type="containsText" dxfId="1182" priority="21" operator="containsText" text="READY"/>
    <x:cfRule type="containsText" dxfId="1183" priority="22" operator="containsText" text="TRUE"/>
    <x:cfRule type="containsText" dxfId="1184" priority="23" operator="containsText" text="LOCKED"/>
    <x:cfRule type="containsText" dxfId="1185" priority="24" operator="containsText" text="STANDARD"/>
    <x:cfRule type="containsText" dxfId="1186" priority="25" operator="containsText" text="INCLUDED"/>
    <x:cfRule type="containsText" dxfId="1187" priority="26" operator="containsText" text="OPTION"/>
    <x:cfRule type="containsText" dxfId="1188" priority="27" operator="containsText" text="PROVISIONAL"/>
    <x:cfRule type="containsText" dxfId="1189" priority="28" operator="containsText" text="ENGINEERING"/>
    <x:cfRule type="containsText" dxfId="1190" priority="29" operator="containsText" text="ACCESSORY"/>
    <x:cfRule type="containsText" dxfId="1191" priority="30" operator="containsText" text="SEPARATE"/>
    <x:cfRule type="containsText" dxfId="1192" priority="31" operator="containsText" text="CANDIDATE"/>
    <x:cfRule type="containsText" dxfId="1193" priority="32" operator="containsText" text="HOLD"/>
    <x:cfRule type="containsText" dxfId="1194" priority="33" operator="containsText" text="NOT_DISCLOSED"/>
    <x:cfRule type="containsText" dxfId="1195" priority="34" operator="containsText" text="SUPPRESS"/>
    <x:cfRule type="containsText" dxfId="1196" priority="35" operator="containsText" text="BLOCKED"/>
    <x:cfRule type="containsText" dxfId="1197" priority="36" operator="containsText" text="FAIL"/>
    <x:cfRule type="containsText" dxfId="1198" priority="37" operator="containsText" text="FALSE"/>
    <x:cfRule type="containsText" dxfId="1199" priority="38" operator="containsText" text="CONFLICT"/>
  </x:conditionalFormatting>
  <x:pageMargins left="0.7" right="0.7" top="0.75" bottom="0.75" header="0.3" footer="0.3"/>
</x:worksheet>
</file>

<file path=xl/worksheets/sheet6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0" hidden="0" customWidth="1"/>
    <x:col min="3" max="3" width="14" hidden="0" customWidth="1"/>
    <x:col min="4" max="4" width="34" hidden="0" customWidth="1"/>
    <x:col min="5" max="5" width="52" hidden="0" customWidth="1"/>
    <x:col min="6" max="6" width="14" hidden="0" customWidth="1"/>
    <x:col min="7" max="7" width="18" hidden="0" customWidth="1"/>
    <x:col min="8" max="8" width="22" hidden="0" customWidth="1"/>
    <x:col min="9" max="9" width="28" hidden="0" customWidth="1"/>
    <x:col min="10" max="10" width="40" hidden="0" customWidth="1"/>
  </x:cols>
  <x:sheetData>
    <x:row r="1" ht="30" customHeight="1">
      <x:c r="A1" s="397" t="str">
        <x:v>65｜Phase 3.2B N70 Max→N90 Max工程成本桥</x:v>
      </x:c>
      <x:c r="B1" s="397"/>
      <x:c r="C1" s="397"/>
      <x:c r="D1" s="397"/>
      <x:c r="E1" s="397"/>
      <x:c r="F1" s="397"/>
      <x:c r="G1" s="397"/>
      <x:c r="H1" s="397"/>
      <x:c r="I1" s="397"/>
      <x:c r="J1" s="397"/>
    </x:row>
    <x:row r="2" ht="22" customHeight="1">
      <x:c r="A2" s="400" t="str">
        <x:v>硬结构核心 × N70未披露条件池 × κ价格传导 × 预售价差暂行解释</x:v>
      </x:c>
      <x:c r="B2" s="400"/>
      <x:c r="C2" s="400"/>
      <x:c r="D2" s="400"/>
      <x:c r="E2" s="400"/>
      <x:c r="F2" s="400"/>
      <x:c r="G2" s="400"/>
      <x:c r="H2" s="400"/>
      <x:c r="I2" s="400"/>
      <x:c r="J2" s="400"/>
    </x:row>
    <x:row r="3" ht="62" customHeight="1">
      <x:c r="A3" s="404" t="str">
        <x:v>结论先行：基准增量成本约0.29/1.30/2.52万元；中值经κ与VAT后可解释约1.57万元含税预售价差，4万元中仍有约2.43万元尚未被已识别成本解释。该残余不是利润，也不是固定跨车身加价。</x:v>
      </x:c>
      <x:c r="B3" s="404"/>
      <x:c r="C3" s="404"/>
      <x:c r="D3" s="404"/>
      <x:c r="E3" s="404"/>
      <x:c r="F3" s="404"/>
      <x:c r="G3" s="404"/>
      <x:c r="H3" s="404"/>
      <x:c r="I3" s="404"/>
      <x:c r="J3" s="404"/>
    </x:row>
    <x:row r="5" ht="50" customHeight="1">
      <x:c r="A5" s="409" t="str">
        <x:v>规则ID</x:v>
      </x:c>
      <x:c r="B5" s="409" t="str">
        <x:v>步骤</x:v>
      </x:c>
      <x:c r="C5" s="409" t="str">
        <x:v>模型动作</x:v>
      </x:c>
      <x:c r="D5" s="409" t="str">
        <x:v>Low口径</x:v>
      </x:c>
      <x:c r="E5" s="409" t="str">
        <x:v>Mid口径</x:v>
      </x:c>
      <x:c r="F5" s="409" t="str">
        <x:v>High口径</x:v>
      </x:c>
      <x:c r="G5" s="409" t="str">
        <x:v>价格倒推</x:v>
      </x:c>
      <x:c r="H5" s="409" t="str">
        <x:v>防重键</x:v>
      </x:c>
      <x:c r="I5" s="409" t="str">
        <x:v>正式桥状态</x:v>
      </x:c>
      <x:c r="J5" s="409" t="str">
        <x:v>解释边界</x:v>
      </x:c>
    </x:row>
    <x:row r="6" ht="58" customHeight="1">
      <x:c r="A6" s="19" t="str">
        <x:v>R32B-01</x:v>
      </x:c>
      <x:c r="B6" s="19" t="str">
        <x:v>共同底座</x:v>
      </x:c>
      <x:c r="C6" s="19" t="str">
        <x:v>同源候选系统的绝对成本全部归零，只估版本差</x:v>
      </x:c>
      <x:c r="D6" s="19" t="str">
        <x:v>工程同源=0</x:v>
      </x:c>
      <x:c r="E6" s="19" t="str">
        <x:v>工程同源=0</x:v>
      </x:c>
      <x:c r="F6" s="19" t="str">
        <x:v>工程同源=0</x:v>
      </x:c>
      <x:c r="G6" s="19" t="str">
        <x:v>禁止</x:v>
      </x:c>
      <x:c r="H6" s="19" t="str">
        <x:v>SYSTEM_ROOT_ONCE</x:v>
      </x:c>
      <x:c r="I6" s="19" t="str">
        <x:v>BLOCKED</x:v>
      </x:c>
      <x:c r="J6" s="19" t="str">
        <x:v>76kWh对N70仍是商业HOLD，零差只是基准情景</x:v>
      </x:c>
    </x:row>
    <x:row r="7" ht="58" customHeight="1">
      <x:c r="A7" s="410" t="str">
        <x:v>R32B-02</x:v>
      </x:c>
      <x:c r="B7" s="410" t="str">
        <x:v>硬结构核心</x:v>
      </x:c>
      <x:c r="C7" s="410" t="str">
        <x:v>车身尺寸/质量、5→7座、三排温控bottom-up</x:v>
      </x:c>
      <x:c r="D7" s="410" t="str">
        <x:v>保守结构清洁率</x:v>
      </x:c>
      <x:c r="E7" s="410" t="str">
        <x:v>中性结构清洁率</x:v>
      </x:c>
      <x:c r="F7" s="410" t="str">
        <x:v>较高结构清洁率</x:v>
      </x:c>
      <x:c r="G7" s="410" t="str">
        <x:v>禁止</x:v>
      </x:c>
      <x:c r="H7" s="410" t="str">
        <x:v>BODY_SEAT_HVAC</x:v>
      </x:c>
      <x:c r="I7" s="410" t="str">
        <x:v>PROVISIONAL</x:v>
      </x:c>
      <x:c r="J7" s="410" t="str">
        <x:v>结构事实A；估值为透明工程代理</x:v>
      </x:c>
    </x:row>
    <x:row r="8" ht="58" customHeight="1">
      <x:c r="A8" s="19" t="str">
        <x:v>R32B-03</x:v>
      </x:c>
      <x:c r="B8" s="19" t="str">
        <x:v>条件配置池</x:v>
      </x:c>
      <x:c r="C8" s="19" t="str">
        <x:v>N90已披露而N70未披露的项目单列</x:v>
      </x:c>
      <x:c r="D8" s="19" t="str">
        <x:v>假定双方共用，增量0</x:v>
      </x:c>
      <x:c r="E8" s="19" t="str">
        <x:v>较可能N90独有</x:v>
      </x:c>
      <x:c r="F8" s="19" t="str">
        <x:v>按N90披露全部独有</x:v>
      </x:c>
      <x:c r="G8" s="19" t="str">
        <x:v>禁止</x:v>
      </x:c>
      <x:c r="H8" s="19" t="str">
        <x:v>ROOT_ONCE</x:v>
      </x:c>
      <x:c r="I8" s="19" t="str">
        <x:v>PROVISIONAL</x:v>
      </x:c>
      <x:c r="J8" s="19" t="str">
        <x:v>未披露不等于没有</x:v>
      </x:c>
    </x:row>
    <x:row r="9" ht="58" customHeight="1">
      <x:c r="A9" s="410" t="str">
        <x:v>R32B-04</x:v>
      </x:c>
      <x:c r="B9" s="410" t="str">
        <x:v>制造/质保</x:v>
      </x:c>
      <x:c r="C9" s="410" t="str">
        <x:v>只对物理BOM叠加一次，且不复利</x:v>
      </x:c>
      <x:c r="D9" s="410" t="str">
        <x:v>1%+0.5%</x:v>
      </x:c>
      <x:c r="E9" s="410" t="str">
        <x:v>2%+1.5%</x:v>
      </x:c>
      <x:c r="F9" s="410" t="str">
        <x:v>4%+3%</x:v>
      </x:c>
      <x:c r="G9" s="410" t="str">
        <x:v>禁止</x:v>
      </x:c>
      <x:c r="H9" s="410" t="str">
        <x:v>OVERLAY_ONCE</x:v>
      </x:c>
      <x:c r="I9" s="410" t="str">
        <x:v>PROVISIONAL</x:v>
      </x:c>
      <x:c r="J9" s="410" t="str">
        <x:v>供应商加工已在车身材料转化系数内</x:v>
      </x:c>
    </x:row>
    <x:row r="10" ht="58" customHeight="1">
      <x:c r="A10" s="19" t="str">
        <x:v>R32B-05</x:v>
      </x:c>
      <x:c r="B10" s="19" t="str">
        <x:v>普通传导</x:v>
      </x:c>
      <x:c r="C10" s="19" t="str">
        <x:v>使用κ包络；普通ε权重为0</x:v>
      </x:c>
      <x:c r="D10" s="19" t="str">
        <x:v>1.025x</x:v>
      </x:c>
      <x:c r="E10" s="19" t="str">
        <x:v>1.069x</x:v>
      </x:c>
      <x:c r="F10" s="19" t="str">
        <x:v>1.221x</x:v>
      </x:c>
      <x:c r="G10" s="19" t="str">
        <x:v>禁止</x:v>
      </x:c>
      <x:c r="H10" s="19" t="str">
        <x:v>KAPPA_ONLY</x:v>
      </x:c>
      <x:c r="I10" s="19" t="str">
        <x:v>PROVISIONAL</x:v>
      </x:c>
      <x:c r="J10" s="19" t="str">
        <x:v>κ与普通ε不得同时使用</x:v>
      </x:c>
    </x:row>
    <x:row r="11" ht="58" customHeight="1">
      <x:c r="A11" s="410" t="str">
        <x:v>R32B-06</x:v>
      </x:c>
      <x:c r="B11" s="410" t="str">
        <x:v>层级项</x:v>
      </x:c>
      <x:c r="C11" s="410" t="str">
        <x:v>Pro门槛、Max通用项、Max交互、固定跨系常数均为0</x:v>
      </x:c>
      <x:c r="D11" s="410" t="str">
        <x:v>0</x:v>
      </x:c>
      <x:c r="E11" s="410" t="str">
        <x:v>0</x:v>
      </x:c>
      <x:c r="F11" s="410" t="str">
        <x:v>0</x:v>
      </x:c>
      <x:c r="G11" s="410" t="str">
        <x:v>禁止</x:v>
      </x:c>
      <x:c r="H11" s="410" t="str">
        <x:v>NO_TIER_ADDON</x:v>
      </x:c>
      <x:c r="I11" s="410" t="str">
        <x:v>PASS</x:v>
      </x:c>
      <x:c r="J11" s="410" t="str">
        <x:v>两端都是Max；交互仅诊断，不能相加</x:v>
      </x:c>
    </x:row>
    <x:row r="12" ht="58" customHeight="1">
      <x:c r="A12" s="19" t="str">
        <x:v>R32B-07</x:v>
      </x:c>
      <x:c r="B12" s="19" t="str">
        <x:v>含税转换</x:v>
      </x:c>
      <x:c r="C12" s="19" t="str">
        <x:v>所有成本和传导先未税，VAT只在末端一次</x:v>
      </x:c>
      <x:c r="D12" s="19" t="str">
        <x:v>13%</x:v>
      </x:c>
      <x:c r="E12" s="19" t="str">
        <x:v>13%</x:v>
      </x:c>
      <x:c r="F12" s="19" t="str">
        <x:v>13%</x:v>
      </x:c>
      <x:c r="G12" s="19" t="str">
        <x:v>禁止</x:v>
      </x:c>
      <x:c r="H12" s="19" t="str">
        <x:v>VAT_ONCE</x:v>
      </x:c>
      <x:c r="I12" s="19" t="str">
        <x:v>PASS</x:v>
      </x:c>
      <x:c r="J12" s="19" t="str">
        <x:v>不得对分项重复乘VAT</x:v>
      </x:c>
    </x:row>
    <x:row r="13" ht="58" customHeight="1">
      <x:c r="A13" s="410" t="str">
        <x:v>R32B-08</x:v>
      </x:c>
      <x:c r="B13" s="410" t="str">
        <x:v>价格校准</x:v>
      </x:c>
      <x:c r="C13" s="410" t="str">
        <x:v>4万元只在最后残余页出现</x:v>
      </x:c>
      <x:c r="D13" s="410" t="str">
        <x:v>预售价暂行解释</x:v>
      </x:c>
      <x:c r="E13" s="410" t="str">
        <x:v>预售价暂行解释</x:v>
      </x:c>
      <x:c r="F13" s="410" t="str">
        <x:v>预售价暂行解释</x:v>
      </x:c>
      <x:c r="G13" s="410" t="str">
        <x:v>仅末页</x:v>
      </x:c>
      <x:c r="H13" s="410" t="str">
        <x:v>NO_GOAL_SEEK</x:v>
      </x:c>
      <x:c r="I13" s="410" t="str">
        <x:v>BLOCKED_FORMAL_GUIDE_PRICE</x:v>
      </x:c>
      <x:c r="J13" s="410" t="str">
        <x:v>预售价不是正式指导价</x:v>
      </x:c>
    </x:row>
    <x:row r="15" ht="24" customHeight="1">
      <x:c r="A15" s="413" t="str">
        <x:v>模型开关与排除池</x:v>
      </x:c>
      <x:c r="B15" s="413"/>
      <x:c r="C15" s="413"/>
      <x:c r="D15" s="413"/>
      <x:c r="E15" s="413"/>
      <x:c r="F15" s="413"/>
      <x:c r="G15" s="413"/>
      <x:c r="H15" s="413"/>
      <x:c r="I15" s="413"/>
      <x:c r="J15" s="413"/>
    </x:row>
    <x:row r="16" ht="44" customHeight="1">
      <x:c r="A16" s="409" t="str">
        <x:v>开关/池</x:v>
      </x:c>
      <x:c r="B16" s="409" t="str">
        <x:v>默认值</x:v>
      </x:c>
      <x:c r="C16" s="409" t="str">
        <x:v>权重</x:v>
      </x:c>
      <x:c r="D16" s="409" t="str">
        <x:v>状态</x:v>
      </x:c>
      <x:c r="E16" s="409" t="str">
        <x:v>说明</x:v>
      </x:c>
      <x:c r="F16" s="409" t="str">
        <x:v>数量</x:v>
      </x:c>
      <x:c r="G16" s="409" t="str">
        <x:v>计入基础BOM</x:v>
      </x:c>
      <x:c r="H16" s="409" t="str">
        <x:v>价格是否已发布</x:v>
      </x:c>
      <x:c r="I16" s="409" t="str">
        <x:v>来源</x:v>
      </x:c>
      <x:c r="J16" s="409" t="str">
        <x:v>后续动作</x:v>
      </x:c>
    </x:row>
    <x:row r="17" ht="52" customHeight="1">
      <x:c r="A17" s="19" t="str">
        <x:v>κ包络</x:v>
      </x:c>
      <x:c r="B17" s="19" t="str">
        <x:v>ON</x:v>
      </x:c>
      <x:c r="C17" s="19" t="n">
        <x:v>1</x:v>
      </x:c>
      <x:c r="D17" s="19" t="str">
        <x:v>PROVISIONAL_IDENTIFIED</x:v>
      </x:c>
      <x:c r="E17" s="19" t="str">
        <x:v>Low/Mid/High分别调用既有普通桥κ</x:v>
      </x:c>
      <x:c r="F17" s="19" t="str"/>
      <x:c r="G17" s="19" t="str">
        <x:v>YES</x:v>
      </x:c>
      <x:c r="H17" s="19" t="str">
        <x:v>不适用</x:v>
      </x:c>
      <x:c r="I17" s="19" t="str">
        <x:v>35_澎程规则</x:v>
      </x:c>
      <x:c r="J17" s="19" t="str">
        <x:v>Phase3继续复核</x:v>
      </x:c>
    </x:row>
    <x:row r="18" ht="52" customHeight="1">
      <x:c r="A18" s="410" t="str">
        <x:v>普通ε</x:v>
      </x:c>
      <x:c r="B18" s="410" t="str">
        <x:v>OFF</x:v>
      </x:c>
      <x:c r="C18" s="410" t="n">
        <x:v>0</x:v>
      </x:c>
      <x:c r="D18" s="410" t="str">
        <x:v>ALTERNATIVE_ONLY</x:v>
      </x:c>
      <x:c r="E18" s="410" t="str">
        <x:v>只可与固定κ中心配套；本模型关闭</x:v>
      </x:c>
      <x:c r="F18" s="410" t="str"/>
      <x:c r="G18" s="410" t="str">
        <x:v>NO</x:v>
      </x:c>
      <x:c r="H18" s="410" t="str">
        <x:v>不适用</x:v>
      </x:c>
      <x:c r="I18" s="410" t="str">
        <x:v>35_澎程规则</x:v>
      </x:c>
      <x:c r="J18" s="410" t="str">
        <x:v>不得与κ包络叠加</x:v>
      </x:c>
    </x:row>
    <x:row r="19" ht="52" customHeight="1">
      <x:c r="A19" s="19" t="str">
        <x:v>Pro门槛</x:v>
      </x:c>
      <x:c r="B19" s="19" t="str">
        <x:v>OFF</x:v>
      </x:c>
      <x:c r="C19" s="19" t="n">
        <x:v>0</x:v>
      </x:c>
      <x:c r="D19" s="19" t="str">
        <x:v>TRIGGER_NOT_APPLICABLE</x:v>
      </x:c>
      <x:c r="E19" s="19" t="str">
        <x:v>本桥不是Pro层级变化</x:v>
      </x:c>
      <x:c r="F19" s="19" t="str"/>
      <x:c r="G19" s="19" t="str">
        <x:v>NO</x:v>
      </x:c>
      <x:c r="H19" s="19" t="str">
        <x:v>不适用</x:v>
      </x:c>
      <x:c r="I19" s="19" t="str">
        <x:v>35_澎程规则</x:v>
      </x:c>
      <x:c r="J19" s="19" t="str">
        <x:v>保持0</x:v>
      </x:c>
    </x:row>
    <x:row r="20" ht="52" customHeight="1">
      <x:c r="A20" s="410" t="str">
        <x:v>Max通用额外项</x:v>
      </x:c>
      <x:c r="B20" s="410" t="str">
        <x:v>OFF</x:v>
      </x:c>
      <x:c r="C20" s="410" t="n">
        <x:v>0</x:v>
      </x:c>
      <x:c r="D20" s="410" t="str">
        <x:v>CENTER_ZERO</x:v>
      </x:c>
      <x:c r="E20" s="410" t="str">
        <x:v>没有通用Max额外项证据</x:v>
      </x:c>
      <x:c r="F20" s="410" t="str"/>
      <x:c r="G20" s="410" t="str">
        <x:v>NO</x:v>
      </x:c>
      <x:c r="H20" s="410" t="str">
        <x:v>不适用</x:v>
      </x:c>
      <x:c r="I20" s="410" t="str">
        <x:v>35_澎程规则</x:v>
      </x:c>
      <x:c r="J20" s="410" t="str">
        <x:v>保持0</x:v>
      </x:c>
    </x:row>
    <x:row r="21" ht="52" customHeight="1">
      <x:c r="A21" s="19" t="str">
        <x:v>Max交互诊断</x:v>
      </x:c>
      <x:c r="B21" s="19" t="str">
        <x:v>OFF</x:v>
      </x:c>
      <x:c r="C21" s="19" t="n">
        <x:v>0</x:v>
      </x:c>
      <x:c r="D21" s="19" t="str">
        <x:v>CORROBORATIVE_NOT_ADDITIVE</x:v>
      </x:c>
      <x:c r="E21" s="19" t="str">
        <x:v>约1.14万元只检验整条历史梯度</x:v>
      </x:c>
      <x:c r="F21" s="19" t="str"/>
      <x:c r="G21" s="19" t="str">
        <x:v>NO</x:v>
      </x:c>
      <x:c r="H21" s="19" t="str">
        <x:v>不适用</x:v>
      </x:c>
      <x:c r="I21" s="19" t="str">
        <x:v>34_交叉锚</x:v>
      </x:c>
      <x:c r="J21" s="19" t="str">
        <x:v>不得加入本桥</x:v>
      </x:c>
    </x:row>
    <x:row r="22" ht="52" customHeight="1">
      <x:c r="A22" s="410" t="str">
        <x:v>固定跨车系常数</x:v>
      </x:c>
      <x:c r="B22" s="410" t="str">
        <x:v>OFF</x:v>
      </x:c>
      <x:c r="C22" s="410" t="n">
        <x:v>0</x:v>
      </x:c>
      <x:c r="D22" s="410" t="str">
        <x:v>DO_NOT_TRANSFER</x:v>
      </x:c>
      <x:c r="E22" s="410" t="str">
        <x:v>跨车系价差不是固定常数</x:v>
      </x:c>
      <x:c r="F22" s="410" t="str"/>
      <x:c r="G22" s="410" t="str">
        <x:v>NO</x:v>
      </x:c>
      <x:c r="H22" s="410" t="str">
        <x:v>不适用</x:v>
      </x:c>
      <x:c r="I22" s="410" t="str">
        <x:v>35_澎程规则</x:v>
      </x:c>
      <x:c r="J22" s="410" t="str">
        <x:v>保持0</x:v>
      </x:c>
    </x:row>
    <x:row r="23" ht="52" customHeight="1">
      <x:c r="A23" s="19" t="str">
        <x:v>N90明确选装池</x:v>
      </x:c>
      <x:c r="B23" s="19" t="str">
        <x:v>EXCLUDED</x:v>
      </x:c>
      <x:c r="C23" s="19" t="n">
        <x:v>0</x:v>
      </x:c>
      <x:c r="D23" s="19" t="str">
        <x:v>OPTION_POOL</x:v>
      </x:c>
      <x:c r="E23" s="19" t="str">
        <x:v>电动门/踏板/旋转座椅/零重力/轮毂造型/格栅</x:v>
      </x:c>
      <x:c r="F23" s="19" t="n">
        <x:v>6</x:v>
      </x:c>
      <x:c r="G23" s="19" t="str">
        <x:v>NO</x:v>
      </x:c>
      <x:c r="H23" s="19" t="str">
        <x:v>NOT_PUBLISHED</x:v>
      </x:c>
      <x:c r="I23" s="19" t="str">
        <x:v>60_选装另购</x:v>
      </x:c>
      <x:c r="J23" s="19" t="str">
        <x:v>待App价格表</x:v>
      </x:c>
    </x:row>
    <x:row r="24" ht="52" customHeight="1">
      <x:c r="A24" s="410" t="str">
        <x:v>N90明确另购池</x:v>
      </x:c>
      <x:c r="B24" s="410" t="str">
        <x:v>EXCLUDED</x:v>
      </x:c>
      <x:c r="C24" s="410" t="n">
        <x:v>0</x:v>
      </x:c>
      <x:c r="D24" s="410" t="str">
        <x:v>ACCESSORY_POOL</x:v>
      </x:c>
      <x:c r="E24" s="410" t="str">
        <x:v>桌板/床垫/隐私帘/尾帐/车边帐/副驾Pad</x:v>
      </x:c>
      <x:c r="F24" s="410" t="n">
        <x:v>6</x:v>
      </x:c>
      <x:c r="G24" s="410" t="str">
        <x:v>NO</x:v>
      </x:c>
      <x:c r="H24" s="410" t="str">
        <x:v>NOT_PUBLISHED</x:v>
      </x:c>
      <x:c r="I24" s="410" t="str">
        <x:v>60_选装另购</x:v>
      </x:c>
      <x:c r="J24" s="410" t="str">
        <x:v>整车BOM永久分离</x:v>
      </x:c>
    </x:row>
    <x:row r="25" ht="52" customHeight="1">
      <x:c r="A25" s="19" t="str">
        <x:v>App车辆SKU</x:v>
      </x:c>
      <x:c r="B25" s="19" t="str">
        <x:v>UNLOCKED</x:v>
      </x:c>
      <x:c r="C25" s="19" t="n">
        <x:v>0</x:v>
      </x:c>
      <x:c r="D25" s="19" t="str">
        <x:v>BLOCKED</x:v>
      </x:c>
      <x:c r="E25" s="19" t="str">
        <x:v>两款Max仍无公开车辆SKU与config_revision</x:v>
      </x:c>
      <x:c r="F25" s="19" t="n">
        <x:v>0</x:v>
      </x:c>
      <x:c r="G25" s="19" t="str">
        <x:v>NO</x:v>
      </x:c>
      <x:c r="H25" s="19" t="str">
        <x:v>PRESALE_ONLY</x:v>
      </x:c>
      <x:c r="I25" s="19" t="str">
        <x:v>62_App售价桥闸门</x:v>
      </x:c>
      <x:c r="J25" s="19" t="str">
        <x:v>正式发布后补证</x:v>
      </x:c>
    </x:row>
    <x:row r="26" ht="52" customHeight="1">
      <x:c r="A26" s="410" t="str">
        <x:v>正式指导价</x:v>
      </x:c>
      <x:c r="B26" s="410" t="str">
        <x:v>UNLOCKED</x:v>
      </x:c>
      <x:c r="C26" s="410" t="n">
        <x:v>0</x:v>
      </x:c>
      <x:c r="D26" s="410" t="str">
        <x:v>BLOCKED</x:v>
      </x:c>
      <x:c r="E26" s="410" t="str">
        <x:v>当前259900/299900均为预售价</x:v>
      </x:c>
      <x:c r="F26" s="410" t="n">
        <x:v>0</x:v>
      </x:c>
      <x:c r="G26" s="410" t="str">
        <x:v>NO</x:v>
      </x:c>
      <x:c r="H26" s="410" t="str">
        <x:v>NO</x:v>
      </x:c>
      <x:c r="I26" s="410" t="str">
        <x:v>发布会/官网</x:v>
      </x:c>
      <x:c r="J26" s="410" t="str">
        <x:v>正式发布后复算</x:v>
      </x:c>
    </x:row>
  </x:sheetData>
  <x:mergeCells>
    <x:mergeCell ref="A1:J1"/>
    <x:mergeCell ref="A2:J2"/>
    <x:mergeCell ref="A3:J3"/>
    <x:mergeCell ref="A15:J15"/>
  </x:mergeCells>
  <x:conditionalFormatting sqref="C6:I13">
    <x:cfRule type="containsText" dxfId="1219" priority="1" operator="containsText" text="PASS"/>
    <x:cfRule type="containsText" dxfId="1220" priority="2" operator="containsText" text="READY"/>
    <x:cfRule type="containsText" dxfId="1221" priority="3" operator="containsText" text="TRUE"/>
    <x:cfRule type="containsText" dxfId="1222" priority="4" operator="containsText" text="CORE"/>
    <x:cfRule type="containsText" dxfId="1223" priority="5" operator="containsText" text="LOCKED"/>
    <x:cfRule type="containsText" dxfId="1224" priority="6" operator="containsText" text="ZERO_DELTA"/>
    <x:cfRule type="containsText" dxfId="1225" priority="7" operator="containsText" text="CONDITIONAL"/>
    <x:cfRule type="containsText" dxfId="1226" priority="8" operator="containsText" text="PROVISIONAL"/>
    <x:cfRule type="containsText" dxfId="1227" priority="9" operator="containsText" text="HOLD"/>
    <x:cfRule type="containsText" dxfId="1228" priority="10" operator="containsText" text="NOT_DISCLOSED"/>
    <x:cfRule type="containsText" dxfId="1229" priority="11" operator="containsText" text="BLOCKED"/>
    <x:cfRule type="containsText" dxfId="1230" priority="12" operator="containsText" text="FAIL"/>
    <x:cfRule type="containsText" dxfId="1231" priority="13" operator="containsText" text="FALSE"/>
    <x:cfRule type="containsText" dxfId="1232" priority="14" operator="containsText" text="EXCLUDED"/>
    <x:cfRule type="containsText" dxfId="1233" priority="15" operator="containsText" text="OPTION"/>
  </x:conditionalFormatting>
  <x:conditionalFormatting sqref="A17:H26">
    <x:cfRule type="containsText" dxfId="1234" priority="16" operator="containsText" text="PASS"/>
    <x:cfRule type="containsText" dxfId="1235" priority="17" operator="containsText" text="READY"/>
    <x:cfRule type="containsText" dxfId="1236" priority="18" operator="containsText" text="TRUE"/>
    <x:cfRule type="containsText" dxfId="1237" priority="19" operator="containsText" text="CORE"/>
    <x:cfRule type="containsText" dxfId="1238" priority="20" operator="containsText" text="LOCKED"/>
    <x:cfRule type="containsText" dxfId="1239" priority="21" operator="containsText" text="ZERO_DELTA"/>
    <x:cfRule type="containsText" dxfId="1240" priority="22" operator="containsText" text="CONDITIONAL"/>
    <x:cfRule type="containsText" dxfId="1241" priority="23" operator="containsText" text="PROVISIONAL"/>
    <x:cfRule type="containsText" dxfId="1242" priority="24" operator="containsText" text="HOLD"/>
    <x:cfRule type="containsText" dxfId="1243" priority="25" operator="containsText" text="NOT_DISCLOSED"/>
    <x:cfRule type="containsText" dxfId="1244" priority="26" operator="containsText" text="BLOCKED"/>
    <x:cfRule type="containsText" dxfId="1245" priority="27" operator="containsText" text="FAIL"/>
    <x:cfRule type="containsText" dxfId="1246" priority="28" operator="containsText" text="FALSE"/>
    <x:cfRule type="containsText" dxfId="1247" priority="29" operator="containsText" text="EXCLUDED"/>
    <x:cfRule type="containsText" dxfId="1248" priority="30" operator="containsText" text="OPTION"/>
  </x:conditionalFormatting>
  <x:pageMargins left="0.7" right="0.7" top="0.75" bottom="0.75" header="0.3" footer="0.3"/>
</x:worksheet>
</file>

<file path=xl/worksheets/sheet6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18" hidden="0" customWidth="1"/>
    <x:col min="3" max="3" width="18" hidden="0" customWidth="1"/>
    <x:col min="4" max="4" width="20" hidden="0" customWidth="1"/>
    <x:col min="5" max="5" width="22" hidden="0" customWidth="1"/>
    <x:col min="6" max="6" width="20" hidden="0" customWidth="1"/>
    <x:col min="7" max="7" width="20" hidden="0" customWidth="1"/>
    <x:col min="8" max="8" width="24" hidden="0" customWidth="1"/>
    <x:col min="9" max="9" width="14" hidden="0" customWidth="1"/>
    <x:col min="10" max="10" width="18" hidden="0" customWidth="1"/>
    <x:col min="11" max="11" width="20" hidden="0" customWidth="1"/>
    <x:col min="12" max="12" width="30" hidden="0" customWidth="1"/>
    <x:col min="13" max="13" width="36" hidden="0" customWidth="1"/>
    <x:col min="14" max="14" width="42" hidden="0" customWidth="1"/>
  </x:cols>
  <x:sheetData>
    <x:row r="1" ht="30" customHeight="1">
      <x:c r="A1" s="397" t="str">
        <x:v>66｜N70 Max与N90 Max共同工程底座</x:v>
      </x:c>
      <x:c r="B1" s="397"/>
      <x:c r="C1" s="397"/>
      <x:c r="D1" s="397"/>
      <x:c r="E1" s="397"/>
      <x:c r="F1" s="397"/>
      <x:c r="G1" s="397"/>
      <x:c r="H1" s="397"/>
      <x:c r="I1" s="397"/>
      <x:c r="J1" s="397"/>
      <x:c r="K1" s="397"/>
      <x:c r="L1" s="397"/>
      <x:c r="M1" s="397"/>
      <x:c r="N1" s="397"/>
    </x:row>
    <x:row r="2" ht="22" customHeight="1">
      <x:c r="A2" s="400" t="str">
        <x:v>共同系统绝对成本归零｜只保留版本增量｜商业配置锁定状态单列</x:v>
      </x:c>
      <x:c r="B2" s="400"/>
      <x:c r="C2" s="400"/>
      <x:c r="D2" s="400"/>
      <x:c r="E2" s="400"/>
      <x:c r="F2" s="400"/>
      <x:c r="G2" s="400"/>
      <x:c r="H2" s="400"/>
      <x:c r="I2" s="400"/>
      <x:c r="J2" s="400"/>
      <x:c r="K2" s="400"/>
      <x:c r="L2" s="400"/>
      <x:c r="M2" s="400"/>
      <x:c r="N2" s="400"/>
    </x:row>
    <x:row r="3" ht="62" customHeight="1">
      <x:c r="A3" s="404" t="str">
        <x:v>关键边界：N70的76kWh仍不能称“已确认商品标配”。本桥仅把监管A1与N90的76kWh/400kg/NCM、210+100kW和M15DRE当工程同源候选；如果App未来反证，必须重开桥，不允许在残余里配平。</x:v>
      </x:c>
      <x:c r="B3" s="404"/>
      <x:c r="C3" s="404"/>
      <x:c r="D3" s="404"/>
      <x:c r="E3" s="404"/>
      <x:c r="F3" s="404"/>
      <x:c r="G3" s="404"/>
      <x:c r="H3" s="404"/>
      <x:c r="I3" s="404"/>
      <x:c r="J3" s="404"/>
      <x:c r="K3" s="404"/>
      <x:c r="L3" s="404"/>
      <x:c r="M3" s="404"/>
      <x:c r="N3" s="404"/>
    </x:row>
    <x:row r="5" ht="52" customHeight="1">
      <x:c r="A5" s="409" t="str">
        <x:v>root_id</x:v>
      </x:c>
      <x:c r="B5" s="409" t="str">
        <x:v>模块</x:v>
      </x:c>
      <x:c r="C5" s="409" t="str">
        <x:v>共同事实/候选</x:v>
      </x:c>
      <x:c r="D5" s="409" t="str">
        <x:v>N70状态</x:v>
      </x:c>
      <x:c r="E5" s="409" t="str">
        <x:v>N90状态</x:v>
      </x:c>
      <x:c r="F5" s="409" t="str">
        <x:v>工程差分</x:v>
      </x:c>
      <x:c r="G5" s="409" t="str">
        <x:v>商业同配锁定</x:v>
      </x:c>
      <x:c r="H5" s="409" t="str">
        <x:v>成本处理</x:v>
      </x:c>
      <x:c r="I5" s="409" t="str">
        <x:v>Low</x:v>
      </x:c>
      <x:c r="J5" s="409" t="str">
        <x:v>Mid</x:v>
      </x:c>
      <x:c r="K5" s="409" t="str">
        <x:v>High</x:v>
      </x:c>
      <x:c r="L5" s="409" t="str">
        <x:v>证据</x:v>
      </x:c>
      <x:c r="M5" s="409" t="str">
        <x:v>反证动作</x:v>
      </x:c>
      <x:c r="N5" s="409" t="str">
        <x:v>边界</x:v>
      </x:c>
    </x:row>
    <x:row r="6" ht="58" customHeight="1">
      <x:c r="A6" s="19" t="str">
        <x:v>C32B-01</x:v>
      </x:c>
      <x:c r="B6" s="19" t="str">
        <x:v>ENERGY</x:v>
      </x:c>
      <x:c r="C6" s="19" t="str">
        <x:v>76kWh / 400kg / NCM / 中创新航</x:v>
      </x:c>
      <x:c r="D6" s="19" t="str">
        <x:v>MIIT_A1_ENGINEERING_CANDIDATE；COMMERCIAL_HOLD</x:v>
      </x:c>
      <x:c r="E6" s="19" t="str">
        <x:v>MIIT_N90_ENGINEERING_BASE</x:v>
      </x:c>
      <x:c r="F6" s="19" t="str">
        <x:v>ZERO_DELTA_BASE_SCENARIO</x:v>
      </x:c>
      <x:c r="G6" s="19" t="str">
        <x:v>FALSE</x:v>
      </x:c>
      <x:c r="H6" s="19" t="str">
        <x:v>ABSOLUTE_COST_EXCLUDED</x:v>
      </x:c>
      <x:c r="I6" s="414" t="n">
        <x:v>0</x:v>
      </x:c>
      <x:c r="J6" s="414" t="n">
        <x:v>0</x:v>
      </x:c>
      <x:c r="K6" s="414" t="n">
        <x:v>0</x:v>
      </x:c>
      <x:c r="L6" s="19" t="str">
        <x:v>39_工信部车型；40_准入变体；59_临时BOM</x:v>
      </x:c>
      <x:c r="M6" s="19" t="str">
        <x:v>若App显示不同电池，重建电池整包差</x:v>
      </x:c>
      <x:c r="N6" s="19" t="str">
        <x:v>零差不等于已锁商业同配</x:v>
      </x:c>
    </x:row>
    <x:row r="7" ht="58" customHeight="1">
      <x:c r="A7" s="410" t="str">
        <x:v>C32B-02</x:v>
      </x:c>
      <x:c r="B7" s="410" t="str">
        <x:v>POWERTRAIN</x:v>
      </x:c>
      <x:c r="C7" s="410" t="str">
        <x:v>双电机四驱 210+100kW</x:v>
      </x:c>
      <x:c r="D7" s="410" t="str">
        <x:v>MIIT_A1_ENGINEERING_CANDIDATE</x:v>
      </x:c>
      <x:c r="E7" s="410" t="str">
        <x:v>MIIT_N90_ENGINEERING_BASE</x:v>
      </x:c>
      <x:c r="F7" s="410" t="str">
        <x:v>ZERO_DELTA_BASE_SCENARIO</x:v>
      </x:c>
      <x:c r="G7" s="410" t="str">
        <x:v>FALSE</x:v>
      </x:c>
      <x:c r="H7" s="410" t="str">
        <x:v>ABSOLUTE_COST_EXCLUDED</x:v>
      </x:c>
      <x:c r="I7" s="415" t="n">
        <x:v>0</x:v>
      </x:c>
      <x:c r="J7" s="415" t="n">
        <x:v>0</x:v>
      </x:c>
      <x:c r="K7" s="415" t="n">
        <x:v>0</x:v>
      </x:c>
      <x:c r="L7" s="410" t="str">
        <x:v>39_工信部车型</x:v>
      </x:c>
      <x:c r="M7" s="410" t="str">
        <x:v>若销售版功率不同，重开电驱根</x:v>
      </x:c>
      <x:c r="N7" s="410" t="str">
        <x:v>不把310kW性能指标重复计价</x:v>
      </x:c>
    </x:row>
    <x:row r="8" ht="58" customHeight="1">
      <x:c r="A8" s="19" t="str">
        <x:v>C32B-03</x:v>
      </x:c>
      <x:c r="B8" s="19" t="str">
        <x:v>RANGE_EXTENDER</x:v>
      </x:c>
      <x:c r="C8" s="19" t="str">
        <x:v>M15DRE / 1499mL / 112kW</x:v>
      </x:c>
      <x:c r="D8" s="19" t="str">
        <x:v>MIIT_A1_ENGINEERING_CANDIDATE</x:v>
      </x:c>
      <x:c r="E8" s="19" t="str">
        <x:v>MIIT_N90_ENGINEERING_BASE</x:v>
      </x:c>
      <x:c r="F8" s="19" t="str">
        <x:v>ZERO_DELTA_BASE_SCENARIO</x:v>
      </x:c>
      <x:c r="G8" s="19" t="str">
        <x:v>FALSE</x:v>
      </x:c>
      <x:c r="H8" s="19" t="str">
        <x:v>ABSOLUTE_COST_EXCLUDED</x:v>
      </x:c>
      <x:c r="I8" s="414" t="n">
        <x:v>0</x:v>
      </x:c>
      <x:c r="J8" s="414" t="n">
        <x:v>0</x:v>
      </x:c>
      <x:c r="K8" s="414" t="n">
        <x:v>0</x:v>
      </x:c>
      <x:c r="L8" s="19" t="str">
        <x:v>39_工信部车型</x:v>
      </x:c>
      <x:c r="M8" s="19" t="str">
        <x:v>若App动力型号不同，重开根</x:v>
      </x:c>
      <x:c r="N8" s="19" t="str">
        <x:v>油耗/续航不是成本项</x:v>
      </x:c>
    </x:row>
    <x:row r="9" ht="58" customHeight="1">
      <x:c r="A9" s="410" t="str">
        <x:v>C32B-04</x:v>
      </x:c>
      <x:c r="B9" s="410" t="str">
        <x:v>CHASSIS</x:v>
      </x:c>
      <x:c r="C9" s="410" t="str">
        <x:v>空气悬架 + 连续阻尼减振</x:v>
      </x:c>
      <x:c r="D9" s="410" t="str">
        <x:v>STRICT_RELEASE_STANDARD</x:v>
      </x:c>
      <x:c r="E9" s="410" t="str">
        <x:v>ENGINEERING_BASE_PROVISIONAL</x:v>
      </x:c>
      <x:c r="F9" s="410" t="str">
        <x:v>ZERO_DELTA_BASE_SCENARIO</x:v>
      </x:c>
      <x:c r="G9" s="410" t="str">
        <x:v>FALSE</x:v>
      </x:c>
      <x:c r="H9" s="410" t="str">
        <x:v>ABSOLUTE_COST_EXCLUDED</x:v>
      </x:c>
      <x:c r="I9" s="415" t="n">
        <x:v>0</x:v>
      </x:c>
      <x:c r="J9" s="415" t="n">
        <x:v>0</x:v>
      </x:c>
      <x:c r="K9" s="415" t="n">
        <x:v>0</x:v>
      </x:c>
      <x:c r="L9" s="410" t="str">
        <x:v>58_事实边界裁定；59_临时BOM</x:v>
      </x:c>
      <x:c r="M9" s="410" t="str">
        <x:v>若N90基础版不含则反向扣除</x:v>
      </x:c>
      <x:c r="N9" s="410" t="str">
        <x:v>不得重复计整套空悬CDC</x:v>
      </x:c>
    </x:row>
    <x:row r="10" ht="58" customHeight="1">
      <x:c r="A10" s="19" t="str">
        <x:v>C32B-05</x:v>
      </x:c>
      <x:c r="B10" s="19" t="str">
        <x:v>ADAS</x:v>
      </x:c>
      <x:c r="C10" s="19" t="str">
        <x:v>小米HAD / XLA系统根</x:v>
      </x:c>
      <x:c r="D10" s="19" t="str">
        <x:v>HAD_STANDARD；硬件明细HOLD</x:v>
      </x:c>
      <x:c r="E10" s="19" t="str">
        <x:v>HAD_XLA_STANDARD</x:v>
      </x:c>
      <x:c r="F10" s="19" t="str">
        <x:v>ZERO_DELTA_SYSTEM_LEVEL</x:v>
      </x:c>
      <x:c r="G10" s="19" t="str">
        <x:v>FALSE</x:v>
      </x:c>
      <x:c r="H10" s="19" t="str">
        <x:v>SYSTEM_ABSOLUTE_COST_EXCLUDED</x:v>
      </x:c>
      <x:c r="I10" s="414" t="n">
        <x:v>0</x:v>
      </x:c>
      <x:c r="J10" s="414" t="n">
        <x:v>0</x:v>
      </x:c>
      <x:c r="K10" s="414" t="n">
        <x:v>0</x:v>
      </x:c>
      <x:c r="L10" s="19" t="str">
        <x:v>58_事实边界裁定</x:v>
      </x:c>
      <x:c r="M10" s="19" t="str">
        <x:v>仅新增明确传感器时计差</x:v>
      </x:c>
      <x:c r="N10" s="19" t="str">
        <x:v>HAD/XLA/26项/域控共用一根</x:v>
      </x:c>
    </x:row>
    <x:row r="11" ht="58" customHeight="1">
      <x:c r="A11" s="410" t="str">
        <x:v>C32B-06</x:v>
      </x:c>
      <x:c r="B11" s="410" t="str">
        <x:v>CABIN_SOFTWARE</x:v>
      </x:c>
      <x:c r="C11" s="410" t="str">
        <x:v>超级小爱</x:v>
      </x:c>
      <x:c r="D11" s="410" t="str">
        <x:v>STRICT_RELEASE_STANDARD</x:v>
      </x:c>
      <x:c r="E11" s="410" t="str">
        <x:v>STRICT_RELEASE_STANDARD</x:v>
      </x:c>
      <x:c r="F11" s="410" t="str">
        <x:v>ZERO_DELTA_SOFTWARE</x:v>
      </x:c>
      <x:c r="G11" s="410" t="str">
        <x:v>TRUE_RELEASE_SCOPE_ONLY</x:v>
      </x:c>
      <x:c r="H11" s="410" t="str">
        <x:v>SOFTWARE_COST_EXCLUDED</x:v>
      </x:c>
      <x:c r="I11" s="415" t="n">
        <x:v>0</x:v>
      </x:c>
      <x:c r="J11" s="415" t="n">
        <x:v>0</x:v>
      </x:c>
      <x:c r="K11" s="415" t="n">
        <x:v>0</x:v>
      </x:c>
      <x:c r="L11" s="410" t="str">
        <x:v>58_事实边界裁定</x:v>
      </x:c>
      <x:c r="M11" s="410" t="str">
        <x:v>无需成本反证</x:v>
      </x:c>
      <x:c r="N11" s="410" t="str">
        <x:v>软件能力不形成硬件增量</x:v>
      </x:c>
    </x:row>
    <x:row r="12" ht="58" customHeight="1">
      <x:c r="A12" s="19" t="str">
        <x:v>C32B-07</x:v>
      </x:c>
      <x:c r="B12" s="19" t="str">
        <x:v>WADING</x:v>
      </x:c>
      <x:c r="C12" s="19" t="str">
        <x:v>涉水模式与2颗涉水雷达</x:v>
      </x:c>
      <x:c r="D12" s="19" t="str">
        <x:v>STRICT_RELEASE_STANDARD</x:v>
      </x:c>
      <x:c r="E12" s="19" t="str">
        <x:v>ENGINEERING_COMMON_HARDWARE</x:v>
      </x:c>
      <x:c r="F12" s="19" t="str">
        <x:v>ZERO_DELTA_SYSTEM_LEVEL</x:v>
      </x:c>
      <x:c r="G12" s="19" t="str">
        <x:v>FALSE</x:v>
      </x:c>
      <x:c r="H12" s="19" t="str">
        <x:v>SYSTEM_ABSOLUTE_COST_EXCLUDED</x:v>
      </x:c>
      <x:c r="I12" s="414" t="n">
        <x:v>0</x:v>
      </x:c>
      <x:c r="J12" s="414" t="n">
        <x:v>0</x:v>
      </x:c>
      <x:c r="K12" s="414" t="n">
        <x:v>0</x:v>
      </x:c>
      <x:c r="L12" s="19" t="str">
        <x:v>58_事实边界裁定；官方答网友问</x:v>
      </x:c>
      <x:c r="M12" s="19" t="str">
        <x:v>仅硬件数量变化时重开</x:v>
      </x:c>
      <x:c r="N12" s="19" t="str">
        <x:v>750mm与650mm性能差不单独计成本</x:v>
      </x:c>
    </x:row>
    <x:row r="13" ht="58" customHeight="1">
      <x:c r="A13" s="410" t="str">
        <x:v>C32B-08</x:v>
      </x:c>
      <x:c r="B13" s="410" t="str">
        <x:v>BODY_SAFETY</x:v>
      </x:c>
      <x:c r="C13" s="410" t="str">
        <x:v>一体式热成型门环技术</x:v>
      </x:c>
      <x:c r="D13" s="410" t="str">
        <x:v>STRICT_RELEASE_STANDARD</x:v>
      </x:c>
      <x:c r="E13" s="410" t="str">
        <x:v>ENGINEERING_BASE_PROVISIONAL</x:v>
      </x:c>
      <x:c r="F13" s="410" t="str">
        <x:v>ZERO_DELTA_TECHNOLOGY</x:v>
      </x:c>
      <x:c r="G13" s="410" t="str">
        <x:v>FALSE</x:v>
      </x:c>
      <x:c r="H13" s="410" t="str">
        <x:v>N90加长结构已并入BODY_SCALE</x:v>
      </x:c>
      <x:c r="I13" s="415" t="n">
        <x:v>0</x:v>
      </x:c>
      <x:c r="J13" s="415" t="n">
        <x:v>0</x:v>
      </x:c>
      <x:c r="K13" s="415" t="n">
        <x:v>0</x:v>
      </x:c>
      <x:c r="L13" s="410" t="str">
        <x:v>58_事实边界裁定；59_临时BOM</x:v>
      </x:c>
      <x:c r="M13" s="410" t="str">
        <x:v>材料/结构差归BODY_SCALE一次</x:v>
      </x:c>
      <x:c r="N13" s="410" t="str">
        <x:v>不得另加完整门环绝对成本</x:v>
      </x:c>
    </x:row>
    <x:row r="15" ht="24" customHeight="1">
      <x:c r="A15" s="413" t="str">
        <x:v>监管物理差：只提供成本驱动，不自动证明商品配置</x:v>
      </x:c>
      <x:c r="B15" s="413"/>
      <x:c r="C15" s="413"/>
      <x:c r="D15" s="413"/>
      <x:c r="E15" s="413"/>
      <x:c r="F15" s="413"/>
      <x:c r="G15" s="413"/>
      <x:c r="H15" s="413"/>
      <x:c r="I15" s="413"/>
      <x:c r="J15" s="413"/>
      <x:c r="K15" s="413"/>
      <x:c r="L15" s="413"/>
      <x:c r="M15" s="413"/>
      <x:c r="N15" s="413"/>
    </x:row>
    <x:row r="16" ht="44" customHeight="1">
      <x:c r="A16" s="409" t="str">
        <x:v>指标</x:v>
      </x:c>
      <x:c r="B16" s="409" t="str">
        <x:v>N70 Low边界</x:v>
      </x:c>
      <x:c r="C16" s="409" t="str">
        <x:v>N70 Mid</x:v>
      </x:c>
      <x:c r="D16" s="409" t="str">
        <x:v>N70 High边界</x:v>
      </x:c>
      <x:c r="E16" s="409" t="str">
        <x:v>N90</x:v>
      </x:c>
      <x:c r="F16" s="409" t="str">
        <x:v>Low差值</x:v>
      </x:c>
      <x:c r="G16" s="409" t="str">
        <x:v>Mid差值</x:v>
      </x:c>
      <x:c r="H16" s="409" t="str">
        <x:v>High差值</x:v>
      </x:c>
      <x:c r="I16" s="409" t="str">
        <x:v>单位</x:v>
      </x:c>
      <x:c r="J16" s="409" t="str">
        <x:v>证据等级</x:v>
      </x:c>
      <x:c r="K16" s="409" t="str">
        <x:v>进入模型</x:v>
      </x:c>
      <x:c r="L16" s="409" t="str">
        <x:v>用途</x:v>
      </x:c>
      <x:c r="M16" s="409" t="str">
        <x:v>禁止推导</x:v>
      </x:c>
      <x:c r="N16" s="409" t="str">
        <x:v>说明</x:v>
      </x:c>
    </x:row>
    <x:row r="17" ht="48" customHeight="1">
      <x:c r="A17" s="19" t="str">
        <x:v>车长</x:v>
      </x:c>
      <x:c r="B17" s="19" t="n">
        <x:v>4960</x:v>
      </x:c>
      <x:c r="C17" s="19" t="n">
        <x:v>4960</x:v>
      </x:c>
      <x:c r="D17" s="19" t="n">
        <x:v>4960</x:v>
      </x:c>
      <x:c r="E17" s="19" t="n">
        <x:v>5285</x:v>
      </x:c>
      <x:c r="F17" s="19" t="n">
        <x:v>325</x:v>
      </x:c>
      <x:c r="G17" s="19" t="n">
        <x:v>325</x:v>
      </x:c>
      <x:c r="H17" s="19" t="n">
        <x:v>325</x:v>
      </x:c>
      <x:c r="I17" s="19" t="str">
        <x:v>mm</x:v>
      </x:c>
      <x:c r="J17" s="19" t="str">
        <x:v>A</x:v>
      </x:c>
      <x:c r="K17" s="19" t="str">
        <x:v>YES</x:v>
      </x:c>
      <x:c r="L17" s="19" t="str">
        <x:v>车身尺度约束</x:v>
      </x:c>
      <x:c r="M17" s="19" t="str">
        <x:v>不能按mm线性定价</x:v>
      </x:c>
      <x:c r="N17" s="19" t="str">
        <x:v>N90较N70长325mm</x:v>
      </x:c>
    </x:row>
    <x:row r="18" ht="48" customHeight="1">
      <x:c r="A18" s="410" t="str">
        <x:v>车宽</x:v>
      </x:c>
      <x:c r="B18" s="410" t="n">
        <x:v>1998</x:v>
      </x:c>
      <x:c r="C18" s="410" t="n">
        <x:v>1998</x:v>
      </x:c>
      <x:c r="D18" s="410" t="n">
        <x:v>1998</x:v>
      </x:c>
      <x:c r="E18" s="410" t="n">
        <x:v>1998</x:v>
      </x:c>
      <x:c r="F18" s="410" t="n">
        <x:v>0</x:v>
      </x:c>
      <x:c r="G18" s="410" t="n">
        <x:v>0</x:v>
      </x:c>
      <x:c r="H18" s="410" t="n">
        <x:v>0</x:v>
      </x:c>
      <x:c r="I18" s="410" t="str">
        <x:v>mm</x:v>
      </x:c>
      <x:c r="J18" s="410" t="str">
        <x:v>A</x:v>
      </x:c>
      <x:c r="K18" s="410" t="str">
        <x:v>YES</x:v>
      </x:c>
      <x:c r="L18" s="410" t="str">
        <x:v>表面积约束</x:v>
      </x:c>
      <x:c r="M18" s="410" t="str">
        <x:v>宽度无差不代表车身零成本</x:v>
      </x:c>
      <x:c r="N18" s="410" t="str">
        <x:v>同宽</x:v>
      </x:c>
    </x:row>
    <x:row r="19" ht="48" customHeight="1">
      <x:c r="A19" s="19" t="str">
        <x:v>车高</x:v>
      </x:c>
      <x:c r="B19" s="19" t="n">
        <x:v>1765</x:v>
      </x:c>
      <x:c r="C19" s="19" t="n">
        <x:v>1765</x:v>
      </x:c>
      <x:c r="D19" s="19" t="n">
        <x:v>1765</x:v>
      </x:c>
      <x:c r="E19" s="19" t="n">
        <x:v>1825</x:v>
      </x:c>
      <x:c r="F19" s="19" t="n">
        <x:v>60</x:v>
      </x:c>
      <x:c r="G19" s="19" t="n">
        <x:v>60</x:v>
      </x:c>
      <x:c r="H19" s="19" t="n">
        <x:v>60</x:v>
      </x:c>
      <x:c r="I19" s="19" t="str">
        <x:v>mm</x:v>
      </x:c>
      <x:c r="J19" s="19" t="str">
        <x:v>A</x:v>
      </x:c>
      <x:c r="K19" s="19" t="str">
        <x:v>YES</x:v>
      </x:c>
      <x:c r="L19" s="19" t="str">
        <x:v>三排空间约束</x:v>
      </x:c>
      <x:c r="M19" s="19" t="str">
        <x:v>不能按mm线性定价</x:v>
      </x:c>
      <x:c r="N19" s="19" t="str">
        <x:v>N90高60mm</x:v>
      </x:c>
    </x:row>
    <x:row r="20" ht="48" customHeight="1">
      <x:c r="A20" s="410" t="str">
        <x:v>轴距</x:v>
      </x:c>
      <x:c r="B20" s="410" t="n">
        <x:v>2950</x:v>
      </x:c>
      <x:c r="C20" s="410" t="n">
        <x:v>2950</x:v>
      </x:c>
      <x:c r="D20" s="410" t="n">
        <x:v>2950</x:v>
      </x:c>
      <x:c r="E20" s="410" t="n">
        <x:v>3080</x:v>
      </x:c>
      <x:c r="F20" s="410" t="n">
        <x:v>130</x:v>
      </x:c>
      <x:c r="G20" s="410" t="n">
        <x:v>130</x:v>
      </x:c>
      <x:c r="H20" s="410" t="n">
        <x:v>130</x:v>
      </x:c>
      <x:c r="I20" s="410" t="str">
        <x:v>mm</x:v>
      </x:c>
      <x:c r="J20" s="410" t="str">
        <x:v>A</x:v>
      </x:c>
      <x:c r="K20" s="410" t="str">
        <x:v>YES</x:v>
      </x:c>
      <x:c r="L20" s="410" t="str">
        <x:v>地板/结构约束</x:v>
      </x:c>
      <x:c r="M20" s="410" t="str">
        <x:v>不能按mm线性定价</x:v>
      </x:c>
      <x:c r="N20" s="410" t="str">
        <x:v>N90长130mm</x:v>
      </x:c>
    </x:row>
    <x:row r="21" ht="48" customHeight="1">
      <x:c r="A21" s="19" t="str">
        <x:v>商业座位</x:v>
      </x:c>
      <x:c r="B21" s="19" t="n">
        <x:v>5</x:v>
      </x:c>
      <x:c r="C21" s="19" t="n">
        <x:v>5</x:v>
      </x:c>
      <x:c r="D21" s="19" t="n">
        <x:v>5</x:v>
      </x:c>
      <x:c r="E21" s="19" t="n">
        <x:v>7</x:v>
      </x:c>
      <x:c r="F21" s="19" t="n">
        <x:v>2</x:v>
      </x:c>
      <x:c r="G21" s="19" t="n">
        <x:v>2</x:v>
      </x:c>
      <x:c r="H21" s="19" t="n">
        <x:v>2</x:v>
      </x:c>
      <x:c r="I21" s="19" t="str">
        <x:v>座</x:v>
      </x:c>
      <x:c r="J21" s="19" t="str">
        <x:v>A×发布会</x:v>
      </x:c>
      <x:c r="K21" s="19" t="str">
        <x:v>YES</x:v>
      </x:c>
      <x:c r="L21" s="19" t="str">
        <x:v>5→7座架构</x:v>
      </x:c>
      <x:c r="M21" s="19" t="str">
        <x:v>V-N90-5不得生成销售SKU</x:v>
      </x:c>
      <x:c r="N21" s="19" t="str">
        <x:v>N90绑定V-N90-7</x:v>
      </x:c>
    </x:row>
    <x:row r="22" ht="48" customHeight="1">
      <x:c r="A22" s="410" t="str">
        <x:v>整备质量</x:v>
      </x:c>
      <x:c r="B22" s="410" t="n">
        <x:v>2610</x:v>
      </x:c>
      <x:c r="C22" s="410" t="n">
        <x:v>2585.5</x:v>
      </x:c>
      <x:c r="D22" s="410" t="n">
        <x:v>2561</x:v>
      </x:c>
      <x:c r="E22" s="410" t="n">
        <x:v>2800</x:v>
      </x:c>
      <x:c r="F22" s="410" t="n">
        <x:v>190</x:v>
      </x:c>
      <x:c r="G22" s="410" t="n">
        <x:v>214.5</x:v>
      </x:c>
      <x:c r="H22" s="410" t="n">
        <x:v>239</x:v>
      </x:c>
      <x:c r="I22" s="410" t="str">
        <x:v>kg</x:v>
      </x:c>
      <x:c r="J22" s="410" t="str">
        <x:v>A</x:v>
      </x:c>
      <x:c r="K22" s="410" t="str">
        <x:v>YES</x:v>
      </x:c>
      <x:c r="L22" s="410" t="str">
        <x:v>车身清洁物料代理</x:v>
      </x:c>
      <x:c r="M22" s="410" t="str">
        <x:v>不是白车身重量</x:v>
      </x:c>
      <x:c r="N22" s="410" t="str">
        <x:v>N70两个准入值未强绑定</x:v>
      </x:c>
    </x:row>
    <x:row r="23" ht="48" customHeight="1">
      <x:c r="A23" s="19" t="str">
        <x:v>电池包质量</x:v>
      </x:c>
      <x:c r="B23" s="19" t="n">
        <x:v>400</x:v>
      </x:c>
      <x:c r="C23" s="19" t="n">
        <x:v>400</x:v>
      </x:c>
      <x:c r="D23" s="19" t="n">
        <x:v>400</x:v>
      </x:c>
      <x:c r="E23" s="19" t="n">
        <x:v>400</x:v>
      </x:c>
      <x:c r="F23" s="19" t="n">
        <x:v>0</x:v>
      </x:c>
      <x:c r="G23" s="19" t="n">
        <x:v>0</x:v>
      </x:c>
      <x:c r="H23" s="19" t="n">
        <x:v>0</x:v>
      </x:c>
      <x:c r="I23" s="19" t="str">
        <x:v>kg</x:v>
      </x:c>
      <x:c r="J23" s="19" t="str">
        <x:v>E3工程转录</x:v>
      </x:c>
      <x:c r="K23" s="19" t="str">
        <x:v>BASE_ZERO</x:v>
      </x:c>
      <x:c r="L23" s="19" t="str">
        <x:v>同三电毛差校验</x:v>
      </x:c>
      <x:c r="M23" s="19" t="str">
        <x:v>不是商业锁定</x:v>
      </x:c>
      <x:c r="N23" s="19" t="str">
        <x:v>本桥基准扣除电池差</x:v>
      </x:c>
    </x:row>
  </x:sheetData>
  <x:mergeCells>
    <x:mergeCell ref="A1:N1"/>
    <x:mergeCell ref="A2:N2"/>
    <x:mergeCell ref="A3:N3"/>
    <x:mergeCell ref="A15:N15"/>
  </x:mergeCells>
  <x:conditionalFormatting sqref="D6:H13">
    <x:cfRule type="containsText" dxfId="1249" priority="1" operator="containsText" text="PASS"/>
    <x:cfRule type="containsText" dxfId="1250" priority="2" operator="containsText" text="READY"/>
    <x:cfRule type="containsText" dxfId="1251" priority="3" operator="containsText" text="TRUE"/>
    <x:cfRule type="containsText" dxfId="1252" priority="4" operator="containsText" text="CORE"/>
    <x:cfRule type="containsText" dxfId="1253" priority="5" operator="containsText" text="LOCKED"/>
    <x:cfRule type="containsText" dxfId="1254" priority="6" operator="containsText" text="ZERO_DELTA"/>
    <x:cfRule type="containsText" dxfId="1255" priority="7" operator="containsText" text="CONDITIONAL"/>
    <x:cfRule type="containsText" dxfId="1256" priority="8" operator="containsText" text="PROVISIONAL"/>
    <x:cfRule type="containsText" dxfId="1257" priority="9" operator="containsText" text="HOLD"/>
    <x:cfRule type="containsText" dxfId="1258" priority="10" operator="containsText" text="NOT_DISCLOSED"/>
    <x:cfRule type="containsText" dxfId="1259" priority="11" operator="containsText" text="BLOCKED"/>
    <x:cfRule type="containsText" dxfId="1260" priority="12" operator="containsText" text="FAIL"/>
    <x:cfRule type="containsText" dxfId="1261" priority="13" operator="containsText" text="FALSE"/>
    <x:cfRule type="containsText" dxfId="1262" priority="14" operator="containsText" text="EXCLUDED"/>
    <x:cfRule type="containsText" dxfId="1263" priority="15" operator="containsText" text="OPTION"/>
  </x:conditionalFormatting>
  <x:conditionalFormatting sqref="J17:K23">
    <x:cfRule type="containsText" dxfId="1264" priority="16" operator="containsText" text="PASS"/>
    <x:cfRule type="containsText" dxfId="1265" priority="17" operator="containsText" text="READY"/>
    <x:cfRule type="containsText" dxfId="1266" priority="18" operator="containsText" text="TRUE"/>
    <x:cfRule type="containsText" dxfId="1267" priority="19" operator="containsText" text="CORE"/>
    <x:cfRule type="containsText" dxfId="1268" priority="20" operator="containsText" text="LOCKED"/>
    <x:cfRule type="containsText" dxfId="1269" priority="21" operator="containsText" text="ZERO_DELTA"/>
    <x:cfRule type="containsText" dxfId="1270" priority="22" operator="containsText" text="CONDITIONAL"/>
    <x:cfRule type="containsText" dxfId="1271" priority="23" operator="containsText" text="PROVISIONAL"/>
    <x:cfRule type="containsText" dxfId="1272" priority="24" operator="containsText" text="HOLD"/>
    <x:cfRule type="containsText" dxfId="1273" priority="25" operator="containsText" text="NOT_DISCLOSED"/>
    <x:cfRule type="containsText" dxfId="1274" priority="26" operator="containsText" text="BLOCKED"/>
    <x:cfRule type="containsText" dxfId="1275" priority="27" operator="containsText" text="FAIL"/>
    <x:cfRule type="containsText" dxfId="1276" priority="28" operator="containsText" text="FALSE"/>
    <x:cfRule type="containsText" dxfId="1277" priority="29" operator="containsText" text="EXCLUDED"/>
    <x:cfRule type="containsText" dxfId="1278" priority="30" operator="containsText" text="OPTION"/>
  </x:conditionalFormatting>
  <x:pageMargins left="0.7" right="0.7" top="0.75" bottom="0.75" header="0.3" footer="0.3"/>
</x:worksheet>
</file>

<file path=xl/worksheets/sheet6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18" hidden="0" customWidth="1"/>
    <x:col min="3" max="3" width="38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44" hidden="0" customWidth="1"/>
    <x:col min="9" max="9" width="18" hidden="0" customWidth="1"/>
    <x:col min="10" max="10" width="18" hidden="0" customWidth="1"/>
    <x:col min="11" max="11" width="20" hidden="0" customWidth="1"/>
    <x:col min="12" max="12" width="48" hidden="0" customWidth="1"/>
  </x:cols>
  <x:sheetData>
    <x:row r="1" ht="30" customHeight="1">
      <x:c r="A1" s="397" t="str">
        <x:v>67｜Phase 3.2B独立成本参数</x:v>
      </x:c>
      <x:c r="B1" s="397"/>
      <x:c r="C1" s="397"/>
      <x:c r="D1" s="397"/>
      <x:c r="E1" s="397"/>
      <x:c r="F1" s="397"/>
      <x:c r="G1" s="397"/>
      <x:c r="H1" s="397"/>
      <x:c r="I1" s="397"/>
      <x:c r="J1" s="397"/>
      <x:c r="K1" s="397"/>
      <x:c r="L1" s="397"/>
    </x:row>
    <x:row r="2" ht="22" customHeight="1">
      <x:c r="A2" s="400" t="str">
        <x:v>所有成本参数与预售价隔离｜Low/Mid/High保留独立工程含义｜price_derived_flag全部NO</x:v>
      </x:c>
      <x:c r="B2" s="400"/>
      <x:c r="C2" s="400"/>
      <x:c r="D2" s="400"/>
      <x:c r="E2" s="400"/>
      <x:c r="F2" s="400"/>
      <x:c r="G2" s="400"/>
      <x:c r="H2" s="400"/>
      <x:c r="I2" s="400"/>
      <x:c r="J2" s="400"/>
      <x:c r="K2" s="400"/>
      <x:c r="L2" s="400"/>
    </x:row>
    <x:row r="3" ht="62" customHeight="1">
      <x:c r="A3" s="404" t="str">
        <x:v>车身代理沿用Phase 2.3B材料篮子与供应商直接制造转化系数，但把结构清洁比例降为55%/60%/65%，为座椅、座舱、底盘和安全件预留35%—45%质量，防止重复计数。</x:v>
      </x:c>
      <x:c r="B3" s="404"/>
      <x:c r="C3" s="404"/>
      <x:c r="D3" s="404"/>
      <x:c r="E3" s="404"/>
      <x:c r="F3" s="404"/>
      <x:c r="G3" s="404"/>
      <x:c r="H3" s="404"/>
      <x:c r="I3" s="404"/>
      <x:c r="J3" s="404"/>
      <x:c r="K3" s="404"/>
      <x:c r="L3" s="404"/>
    </x:row>
    <x:row r="5" ht="50" customHeight="1">
      <x:c r="A5" s="409" t="str">
        <x:v>parameter_id</x:v>
      </x:c>
      <x:c r="B5" s="409" t="str">
        <x:v>模块</x:v>
      </x:c>
      <x:c r="C5" s="409" t="str">
        <x:v>参数</x:v>
      </x:c>
      <x:c r="D5" s="409" t="str">
        <x:v>Low</x:v>
      </x:c>
      <x:c r="E5" s="409" t="str">
        <x:v>Mid</x:v>
      </x:c>
      <x:c r="F5" s="409" t="str">
        <x:v>High</x:v>
      </x:c>
      <x:c r="G5" s="409" t="str">
        <x:v>单位</x:v>
      </x:c>
      <x:c r="H5" s="409" t="str">
        <x:v>来源/公式</x:v>
      </x:c>
      <x:c r="I5" s="409" t="str">
        <x:v>差异证据</x:v>
      </x:c>
      <x:c r="J5" s="409" t="str">
        <x:v>估值证据</x:v>
      </x:c>
      <x:c r="K5" s="409" t="str">
        <x:v>price_derived_flag</x:v>
      </x:c>
      <x:c r="L5" s="409" t="str">
        <x:v>边界/用途</x:v>
      </x:c>
    </x:row>
    <x:row r="6" ht="44" customHeight="1">
      <x:c r="A6" s="19" t="str">
        <x:v>P_N90_CURB</x:v>
      </x:c>
      <x:c r="B6" s="19" t="str">
        <x:v>BODY</x:v>
      </x:c>
      <x:c r="C6" s="19" t="str">
        <x:v>N90整备质量</x:v>
      </x:c>
      <x:c r="D6" s="416" t="n">
        <x:v>2800</x:v>
      </x:c>
      <x:c r="E6" s="416" t="n">
        <x:v>2800</x:v>
      </x:c>
      <x:c r="F6" s="416" t="n">
        <x:v>2800</x:v>
      </x:c>
      <x:c r="G6" s="19" t="str">
        <x:v>kg</x:v>
      </x:c>
      <x:c r="H6" s="19" t="str">
        <x:v>39_工信部车型</x:v>
      </x:c>
      <x:c r="I6" s="19" t="str">
        <x:v>A</x:v>
      </x:c>
      <x:c r="J6" s="19" t="str">
        <x:v>A</x:v>
      </x:c>
      <x:c r="K6" s="19" t="str">
        <x:v>NO</x:v>
      </x:c>
      <x:c r="L6" s="19" t="str">
        <x:v>同一监管值</x:v>
      </x:c>
    </x:row>
    <x:row r="7" ht="44" customHeight="1">
      <x:c r="A7" s="410" t="str">
        <x:v>P_N70_CURB</x:v>
      </x:c>
      <x:c r="B7" s="410" t="str">
        <x:v>BODY</x:v>
      </x:c>
      <x:c r="C7" s="410" t="str">
        <x:v>N70整备质量情景</x:v>
      </x:c>
      <x:c r="D7" s="417" t="n">
        <x:v>2610</x:v>
      </x:c>
      <x:c r="E7" s="417" t="n">
        <x:v>2585.5</x:v>
      </x:c>
      <x:c r="F7" s="417" t="n">
        <x:v>2561</x:v>
      </x:c>
      <x:c r="G7" s="410" t="str">
        <x:v>kg</x:v>
      </x:c>
      <x:c r="H7" s="410" t="str">
        <x:v>39_工信部车型</x:v>
      </x:c>
      <x:c r="I7" s="410" t="str">
        <x:v>A</x:v>
      </x:c>
      <x:c r="J7" s="410" t="str">
        <x:v>A</x:v>
      </x:c>
      <x:c r="K7" s="410" t="str">
        <x:v>NO</x:v>
      </x:c>
      <x:c r="L7" s="410" t="str">
        <x:v>Low差用高N70质量；High差用低N70质量</x:v>
      </x:c>
    </x:row>
    <x:row r="8" ht="44" customHeight="1">
      <x:c r="A8" s="19" t="str">
        <x:v>P_MASS_DELTA</x:v>
      </x:c>
      <x:c r="B8" s="19" t="str">
        <x:v>BODY</x:v>
      </x:c>
      <x:c r="C8" s="19" t="str">
        <x:v>同三电整备质量差</x:v>
      </x:c>
      <x:c r="D8" s="416" t="n">
        <x:f>D6-D7</x:f>
        <x:v>190</x:v>
      </x:c>
      <x:c r="E8" s="416" t="n">
        <x:f>E6-E7</x:f>
        <x:v>214.5</x:v>
      </x:c>
      <x:c r="F8" s="416" t="n">
        <x:f>F6-F7</x:f>
        <x:v>239</x:v>
      </x:c>
      <x:c r="G8" s="19" t="str">
        <x:v>kg</x:v>
      </x:c>
      <x:c r="H8" s="19" t="str">
        <x:v>P_N90_CURB−P_N70_CURB</x:v>
      </x:c>
      <x:c r="I8" s="19" t="str">
        <x:v>A</x:v>
      </x:c>
      <x:c r="J8" s="19" t="str">
        <x:v>公式</x:v>
      </x:c>
      <x:c r="K8" s="19" t="str">
        <x:v>NO</x:v>
      </x:c>
      <x:c r="L8" s="19" t="str">
        <x:v>190/214.5/239kg；不是白车身重量</x:v>
      </x:c>
    </x:row>
    <x:row r="9" ht="44" customHeight="1">
      <x:c r="A9" s="410" t="str">
        <x:v>P_STRUCTURE_CLEAN</x:v>
      </x:c>
      <x:c r="B9" s="410" t="str">
        <x:v>BODY</x:v>
      </x:c>
      <x:c r="C9" s="410" t="str">
        <x:v>结构清洁比例</x:v>
      </x:c>
      <x:c r="D9" s="418" t="n">
        <x:v>0.55</x:v>
      </x:c>
      <x:c r="E9" s="418" t="n">
        <x:v>0.6</x:v>
      </x:c>
      <x:c r="F9" s="418" t="n">
        <x:v>0.65</x:v>
      </x:c>
      <x:c r="G9" s="410" t="str">
        <x:v>%</x:v>
      </x:c>
      <x:c r="H9" s="410" t="str">
        <x:v>透明工程假设</x:v>
      </x:c>
      <x:c r="I9" s="410" t="str">
        <x:v>A约束</x:v>
      </x:c>
      <x:c r="J9" s="410" t="str">
        <x:v>D</x:v>
      </x:c>
      <x:c r="K9" s="410" t="str">
        <x:v>NO</x:v>
      </x:c>
      <x:c r="L9" s="410" t="str">
        <x:v>剔除单列座椅/座舱/底盘/安全件质量</x:v>
      </x:c>
    </x:row>
    <x:row r="10" ht="44" customHeight="1">
      <x:c r="A10" s="19" t="str">
        <x:v>P_SHARE_STEEL</x:v>
      </x:c>
      <x:c r="B10" s="19" t="str">
        <x:v>BODY</x:v>
      </x:c>
      <x:c r="C10" s="19" t="str">
        <x:v>钢质量占比</x:v>
      </x:c>
      <x:c r="D10" s="23" t="n">
        <x:v>0.5</x:v>
      </x:c>
      <x:c r="E10" s="23" t="n">
        <x:v>0.5</x:v>
      </x:c>
      <x:c r="F10" s="23" t="n">
        <x:v>0.5</x:v>
      </x:c>
      <x:c r="G10" s="19" t="str">
        <x:v>%</x:v>
      </x:c>
      <x:c r="H10" s="19" t="str">
        <x:v>25_BOM假设</x:v>
      </x:c>
      <x:c r="I10" s="19" t="str">
        <x:v>工程先验</x:v>
      </x:c>
      <x:c r="J10" s="19" t="str">
        <x:v>D</x:v>
      </x:c>
      <x:c r="K10" s="19" t="str">
        <x:v>NO</x:v>
      </x:c>
      <x:c r="L10" s="19" t="str">
        <x:v>非小米材料清单</x:v>
      </x:c>
    </x:row>
    <x:row r="11" ht="44" customHeight="1">
      <x:c r="A11" s="410" t="str">
        <x:v>P_SHARE_AL</x:v>
      </x:c>
      <x:c r="B11" s="410" t="str">
        <x:v>BODY</x:v>
      </x:c>
      <x:c r="C11" s="410" t="str">
        <x:v>铝质量占比</x:v>
      </x:c>
      <x:c r="D11" s="418" t="n">
        <x:v>0.15</x:v>
      </x:c>
      <x:c r="E11" s="418" t="n">
        <x:v>0.15</x:v>
      </x:c>
      <x:c r="F11" s="418" t="n">
        <x:v>0.15</x:v>
      </x:c>
      <x:c r="G11" s="410" t="str">
        <x:v>%</x:v>
      </x:c>
      <x:c r="H11" s="410" t="str">
        <x:v>25_BOM假设</x:v>
      </x:c>
      <x:c r="I11" s="410" t="str">
        <x:v>工程先验</x:v>
      </x:c>
      <x:c r="J11" s="410" t="str">
        <x:v>D</x:v>
      </x:c>
      <x:c r="K11" s="410" t="str">
        <x:v>NO</x:v>
      </x:c>
      <x:c r="L11" s="410" t="str">
        <x:v>非小米材料清单</x:v>
      </x:c>
    </x:row>
    <x:row r="12" ht="44" customHeight="1">
      <x:c r="A12" s="19" t="str">
        <x:v>P_SHARE_PLASTIC</x:v>
      </x:c>
      <x:c r="B12" s="19" t="str">
        <x:v>BODY</x:v>
      </x:c>
      <x:c r="C12" s="19" t="str">
        <x:v>改性塑料占比</x:v>
      </x:c>
      <x:c r="D12" s="23" t="n">
        <x:v>0.2</x:v>
      </x:c>
      <x:c r="E12" s="23" t="n">
        <x:v>0.2</x:v>
      </x:c>
      <x:c r="F12" s="23" t="n">
        <x:v>0.2</x:v>
      </x:c>
      <x:c r="G12" s="19" t="str">
        <x:v>%</x:v>
      </x:c>
      <x:c r="H12" s="19" t="str">
        <x:v>25_BOM假设</x:v>
      </x:c>
      <x:c r="I12" s="19" t="str">
        <x:v>工程先验</x:v>
      </x:c>
      <x:c r="J12" s="19" t="str">
        <x:v>D</x:v>
      </x:c>
      <x:c r="K12" s="19" t="str">
        <x:v>NO</x:v>
      </x:c>
      <x:c r="L12" s="19" t="str">
        <x:v>非小米材料清单</x:v>
      </x:c>
    </x:row>
    <x:row r="13" ht="44" customHeight="1">
      <x:c r="A13" s="410" t="str">
        <x:v>P_SHARE_OTHER</x:v>
      </x:c>
      <x:c r="B13" s="410" t="str">
        <x:v>BODY</x:v>
      </x:c>
      <x:c r="C13" s="410" t="str">
        <x:v>其他材料占比</x:v>
      </x:c>
      <x:c r="D13" s="418" t="n">
        <x:v>0.13</x:v>
      </x:c>
      <x:c r="E13" s="418" t="n">
        <x:v>0.13</x:v>
      </x:c>
      <x:c r="F13" s="418" t="n">
        <x:v>0.13</x:v>
      </x:c>
      <x:c r="G13" s="410" t="str">
        <x:v>%</x:v>
      </x:c>
      <x:c r="H13" s="410" t="str">
        <x:v>25_BOM假设</x:v>
      </x:c>
      <x:c r="I13" s="410" t="str">
        <x:v>工程先验</x:v>
      </x:c>
      <x:c r="J13" s="410" t="str">
        <x:v>D</x:v>
      </x:c>
      <x:c r="K13" s="410" t="str">
        <x:v>NO</x:v>
      </x:c>
      <x:c r="L13" s="410" t="str">
        <x:v>余量不作配平</x:v>
      </x:c>
    </x:row>
    <x:row r="14" ht="44" customHeight="1">
      <x:c r="A14" s="19" t="str">
        <x:v>P_STEEL_NET</x:v>
      </x:c>
      <x:c r="B14" s="19" t="str">
        <x:v>BODY</x:v>
      </x:c>
      <x:c r="C14" s="19" t="str">
        <x:v>汽车钢净材料输入</x:v>
      </x:c>
      <x:c r="D14" s="416" t="n">
        <x:v>4.5</x:v>
      </x:c>
      <x:c r="E14" s="416" t="n">
        <x:v>6</x:v>
      </x:c>
      <x:c r="F14" s="416" t="n">
        <x:v>8.5</x:v>
      </x:c>
      <x:c r="G14" s="19" t="str">
        <x:v>元/kg</x:v>
      </x:c>
      <x:c r="H14" s="19" t="str">
        <x:v>25_BOM假设</x:v>
      </x:c>
      <x:c r="I14" s="19" t="str">
        <x:v>工程先验</x:v>
      </x:c>
      <x:c r="J14" s="19" t="str">
        <x:v>C/D</x:v>
      </x:c>
      <x:c r="K14" s="19" t="str">
        <x:v>NO</x:v>
      </x:c>
      <x:c r="L14" s="19" t="str">
        <x:v>不是小米采购价</x:v>
      </x:c>
    </x:row>
    <x:row r="15" ht="44" customHeight="1">
      <x:c r="A15" s="410" t="str">
        <x:v>P_AL_NET</x:v>
      </x:c>
      <x:c r="B15" s="410" t="str">
        <x:v>BODY</x:v>
      </x:c>
      <x:c r="C15" s="410" t="str">
        <x:v>汽车铝净材料输入</x:v>
      </x:c>
      <x:c r="D15" s="417" t="n">
        <x:v>28</x:v>
      </x:c>
      <x:c r="E15" s="417" t="n">
        <x:v>35</x:v>
      </x:c>
      <x:c r="F15" s="417" t="n">
        <x:v>44</x:v>
      </x:c>
      <x:c r="G15" s="410" t="str">
        <x:v>元/kg</x:v>
      </x:c>
      <x:c r="H15" s="410" t="str">
        <x:v>25_BOM假设</x:v>
      </x:c>
      <x:c r="I15" s="410" t="str">
        <x:v>工程先验</x:v>
      </x:c>
      <x:c r="J15" s="410" t="str">
        <x:v>C/D</x:v>
      </x:c>
      <x:c r="K15" s="410" t="str">
        <x:v>NO</x:v>
      </x:c>
      <x:c r="L15" s="410" t="str">
        <x:v>不是小米采购价</x:v>
      </x:c>
    </x:row>
    <x:row r="16" ht="44" customHeight="1">
      <x:c r="A16" s="19" t="str">
        <x:v>P_PLASTIC_NET</x:v>
      </x:c>
      <x:c r="B16" s="19" t="str">
        <x:v>BODY</x:v>
      </x:c>
      <x:c r="C16" s="19" t="str">
        <x:v>改性塑料输入</x:v>
      </x:c>
      <x:c r="D16" s="416" t="n">
        <x:v>12.5</x:v>
      </x:c>
      <x:c r="E16" s="416" t="n">
        <x:v>16</x:v>
      </x:c>
      <x:c r="F16" s="416" t="n">
        <x:v>22</x:v>
      </x:c>
      <x:c r="G16" s="19" t="str">
        <x:v>元/kg</x:v>
      </x:c>
      <x:c r="H16" s="19" t="str">
        <x:v>25_BOM假设</x:v>
      </x:c>
      <x:c r="I16" s="19" t="str">
        <x:v>工程先验</x:v>
      </x:c>
      <x:c r="J16" s="19" t="str">
        <x:v>B/D</x:v>
      </x:c>
      <x:c r="K16" s="19" t="str">
        <x:v>NO</x:v>
      </x:c>
      <x:c r="L16" s="19" t="str">
        <x:v>不是注塑件价格</x:v>
      </x:c>
    </x:row>
    <x:row r="17" ht="44" customHeight="1">
      <x:c r="A17" s="410" t="str">
        <x:v>P_OTHER_NET</x:v>
      </x:c>
      <x:c r="B17" s="410" t="str">
        <x:v>BODY</x:v>
      </x:c>
      <x:c r="C17" s="410" t="str">
        <x:v>其他材料篮子</x:v>
      </x:c>
      <x:c r="D17" s="417" t="n">
        <x:v>10</x:v>
      </x:c>
      <x:c r="E17" s="417" t="n">
        <x:v>20</x:v>
      </x:c>
      <x:c r="F17" s="417" t="n">
        <x:v>35</x:v>
      </x:c>
      <x:c r="G17" s="410" t="str">
        <x:v>元/kg</x:v>
      </x:c>
      <x:c r="H17" s="410" t="str">
        <x:v>25_BOM假设</x:v>
      </x:c>
      <x:c r="I17" s="410" t="str">
        <x:v>工程先验</x:v>
      </x:c>
      <x:c r="J17" s="410" t="str">
        <x:v>D</x:v>
      </x:c>
      <x:c r="K17" s="410" t="str">
        <x:v>NO</x:v>
      </x:c>
      <x:c r="L17" s="410" t="str">
        <x:v>敏感性</x:v>
      </x:c>
    </x:row>
    <x:row r="18" ht="44" customHeight="1">
      <x:c r="A18" s="19" t="str">
        <x:v>P_CONVERSION</x:v>
      </x:c>
      <x:c r="B18" s="19" t="str">
        <x:v>BODY</x:v>
      </x:c>
      <x:c r="C18" s="19" t="str">
        <x:v>供应商转化/连接系数</x:v>
      </x:c>
      <x:c r="D18" s="420" t="n">
        <x:v>1.2</x:v>
      </x:c>
      <x:c r="E18" s="420" t="n">
        <x:v>1.45</x:v>
      </x:c>
      <x:c r="F18" s="420" t="n">
        <x:v>1.75</x:v>
      </x:c>
      <x:c r="G18" s="19" t="str">
        <x:v>x</x:v>
      </x:c>
      <x:c r="H18" s="19" t="str">
        <x:v>25_BOM假设</x:v>
      </x:c>
      <x:c r="I18" s="19" t="str">
        <x:v>工程先验</x:v>
      </x:c>
      <x:c r="J18" s="19" t="str">
        <x:v>C/D</x:v>
      </x:c>
      <x:c r="K18" s="19" t="str">
        <x:v>NO</x:v>
      </x:c>
      <x:c r="L18" s="19" t="str">
        <x:v>不含小米总装M09</x:v>
      </x:c>
    </x:row>
    <x:row r="19" ht="44" customHeight="1">
      <x:c r="A19" s="410" t="str">
        <x:v>P_MFG_RATE</x:v>
      </x:c>
      <x:c r="B19" s="410" t="str">
        <x:v>OVERLAY</x:v>
      </x:c>
      <x:c r="C19" s="410" t="str">
        <x:v>制造复杂度覆盖率</x:v>
      </x:c>
      <x:c r="D19" s="418" t="n">
        <x:v>0.01</x:v>
      </x:c>
      <x:c r="E19" s="418" t="n">
        <x:v>0.02</x:v>
      </x:c>
      <x:c r="F19" s="418" t="n">
        <x:v>0.04</x:v>
      </x:c>
      <x:c r="G19" s="410" t="str">
        <x:v>%</x:v>
      </x:c>
      <x:c r="H19" s="410" t="str">
        <x:v>01_原子成本假设</x:v>
      </x:c>
      <x:c r="I19" s="410" t="str">
        <x:v>模型参数</x:v>
      </x:c>
      <x:c r="J19" s="410" t="str">
        <x:v>D</x:v>
      </x:c>
      <x:c r="K19" s="410" t="str">
        <x:v>NO</x:v>
      </x:c>
      <x:c r="L19" s="410" t="str">
        <x:v>物理BOM×率；只计一次</x:v>
      </x:c>
    </x:row>
    <x:row r="20" ht="44" customHeight="1">
      <x:c r="A20" s="19" t="str">
        <x:v>P_WARRANTY_RATE</x:v>
      </x:c>
      <x:c r="B20" s="19" t="str">
        <x:v>OVERLAY</x:v>
      </x:c>
      <x:c r="C20" s="19" t="str">
        <x:v>质保风险覆盖率</x:v>
      </x:c>
      <x:c r="D20" s="23" t="n">
        <x:v>0.005</x:v>
      </x:c>
      <x:c r="E20" s="23" t="n">
        <x:v>0.015</x:v>
      </x:c>
      <x:c r="F20" s="23" t="n">
        <x:v>0.03</x:v>
      </x:c>
      <x:c r="G20" s="19" t="str">
        <x:v>%</x:v>
      </x:c>
      <x:c r="H20" s="19" t="str">
        <x:v>01_原子成本假设</x:v>
      </x:c>
      <x:c r="I20" s="19" t="str">
        <x:v>模型参数</x:v>
      </x:c>
      <x:c r="J20" s="19" t="str">
        <x:v>D</x:v>
      </x:c>
      <x:c r="K20" s="19" t="str">
        <x:v>NO</x:v>
      </x:c>
      <x:c r="L20" s="19" t="str">
        <x:v>物理BOM×率；不复利</x:v>
      </x:c>
    </x:row>
    <x:row r="21" ht="44" customHeight="1">
      <x:c r="A21" s="410" t="str">
        <x:v>P_KAPPA</x:v>
      </x:c>
      <x:c r="B21" s="410" t="str">
        <x:v>PRICING</x:v>
      </x:c>
      <x:c r="C21" s="410" t="str">
        <x:v>普通硬件价格传导κ</x:v>
      </x:c>
      <x:c r="D21" s="419" t="n">
        <x:v>1.0254431631664882</x:v>
      </x:c>
      <x:c r="E21" s="419" t="n">
        <x:v>1.0694836789414475</x:v>
      </x:c>
      <x:c r="F21" s="419" t="n">
        <x:v>1.2206571280521978</x:v>
      </x:c>
      <x:c r="G21" s="410" t="str">
        <x:v>x</x:v>
      </x:c>
      <x:c r="H21" s="410" t="str">
        <x:v>35_澎程规则</x:v>
      </x:c>
      <x:c r="I21" s="410" t="str">
        <x:v>四条普通桥</x:v>
      </x:c>
      <x:c r="J21" s="410" t="str">
        <x:v>PROVISIONAL</x:v>
      </x:c>
      <x:c r="K21" s="410" t="str">
        <x:v>NO</x:v>
      </x:c>
      <x:c r="L21" s="410" t="str">
        <x:v>使用包络时普通ε权重为0</x:v>
      </x:c>
    </x:row>
    <x:row r="22" ht="44" customHeight="1">
      <x:c r="A22" s="19" t="str">
        <x:v>P_VAT</x:v>
      </x:c>
      <x:c r="B22" s="19" t="str">
        <x:v>PRICING</x:v>
      </x:c>
      <x:c r="C22" s="19" t="str">
        <x:v>增值税率</x:v>
      </x:c>
      <x:c r="D22" s="23" t="n">
        <x:v>0.13</x:v>
      </x:c>
      <x:c r="E22" s="23" t="n">
        <x:v>0.13</x:v>
      </x:c>
      <x:c r="F22" s="23" t="n">
        <x:v>0.13</x:v>
      </x:c>
      <x:c r="G22" s="19" t="str">
        <x:v>%</x:v>
      </x:c>
      <x:c r="H22" s="19" t="str">
        <x:v>35_澎程规则</x:v>
      </x:c>
      <x:c r="I22" s="19" t="str">
        <x:v>法规口径</x:v>
      </x:c>
      <x:c r="J22" s="19" t="str">
        <x:v>A</x:v>
      </x:c>
      <x:c r="K22" s="19" t="str">
        <x:v>NO</x:v>
      </x:c>
      <x:c r="L22" s="19" t="str">
        <x:v>只在售价端末次应用</x:v>
      </x:c>
    </x:row>
    <x:row r="23" ht="44" customHeight="1">
      <x:c r="A23" s="410" t="str">
        <x:v>P_SEAT_ARCH</x:v>
      </x:c>
      <x:c r="B23" s="410" t="str">
        <x:v>SEATING</x:v>
      </x:c>
      <x:c r="C23" s="410" t="str">
        <x:v>5→7座基础座椅架构</x:v>
      </x:c>
      <x:c r="D23" s="415" t="n">
        <x:v>1400</x:v>
      </x:c>
      <x:c r="E23" s="415" t="n">
        <x:v>2400</x:v>
      </x:c>
      <x:c r="F23" s="415" t="n">
        <x:v>3800</x:v>
      </x:c>
      <x:c r="G23" s="410" t="str">
        <x:v>元/车</x:v>
      </x:c>
      <x:c r="H23" s="410" t="str">
        <x:v>新增两座+固定/导轨/安全带接口工程先验</x:v>
      </x:c>
      <x:c r="I23" s="410" t="str">
        <x:v>A</x:v>
      </x:c>
      <x:c r="J23" s="410" t="str">
        <x:v>D</x:v>
      </x:c>
      <x:c r="K23" s="410" t="str">
        <x:v>NO</x:v>
      </x:c>
      <x:c r="L23" s="410" t="str">
        <x:v>不含按摩/零重力/旋转</x:v>
      </x:c>
    </x:row>
    <x:row r="24" ht="44" customHeight="1">
      <x:c r="A24" s="19" t="str">
        <x:v>P_HVAC_3ROW</x:v>
      </x:c>
      <x:c r="B24" s="19" t="str">
        <x:v>HVAC</x:v>
      </x:c>
      <x:c r="C24" s="19" t="str">
        <x:v>三排风道与温控增量</x:v>
      </x:c>
      <x:c r="D24" s="414" t="n">
        <x:v>200</x:v>
      </x:c>
      <x:c r="E24" s="414" t="n">
        <x:v>500</x:v>
      </x:c>
      <x:c r="F24" s="414" t="n">
        <x:v>900</x:v>
      </x:c>
      <x:c r="G24" s="19" t="str">
        <x:v>元/车</x:v>
      </x:c>
      <x:c r="H24" s="19" t="str">
        <x:v>N90三分区/三排布局工程先验</x:v>
      </x:c>
      <x:c r="I24" s="19" t="str">
        <x:v>B</x:v>
      </x:c>
      <x:c r="J24" s="19" t="str">
        <x:v>D</x:v>
      </x:c>
      <x:c r="K24" s="19" t="str">
        <x:v>NO</x:v>
      </x:c>
      <x:c r="L24" s="19" t="str">
        <x:v>不计完整热泵绝对成本</x:v>
      </x:c>
    </x:row>
    <x:row r="25" ht="44" customHeight="1">
      <x:c r="A25" s="410" t="str">
        <x:v>P_GLAZING</x:v>
      </x:c>
      <x:c r="B25" s="410" t="str">
        <x:v>BODY</x:v>
      </x:c>
      <x:c r="C25" s="410" t="str">
        <x:v>更大玻璃面积增量</x:v>
      </x:c>
      <x:c r="D25" s="415" t="n">
        <x:v>100</x:v>
      </x:c>
      <x:c r="E25" s="415" t="n">
        <x:v>200</x:v>
      </x:c>
      <x:c r="F25" s="415" t="n">
        <x:v>500</x:v>
      </x:c>
      <x:c r="G25" s="410" t="str">
        <x:v>元/车</x:v>
      </x:c>
      <x:c r="H25" s="410" t="str">
        <x:v>N90 6.8㎡；N70未披露</x:v>
      </x:c>
      <x:c r="I25" s="410" t="str">
        <x:v>B对C</x:v>
      </x:c>
      <x:c r="J25" s="410" t="str">
        <x:v>D</x:v>
      </x:c>
      <x:c r="K25" s="410" t="str">
        <x:v>NO</x:v>
      </x:c>
      <x:c r="L25" s="410" t="str">
        <x:v>Low由条件开关归零</x:v>
      </x:c>
    </x:row>
    <x:row r="26" ht="44" customHeight="1">
      <x:c r="A26" s="19" t="str">
        <x:v>P_CABIN_TRIM</x:v>
      </x:c>
      <x:c r="B26" s="19" t="str">
        <x:v>CABIN</x:v>
      </x:c>
      <x:c r="C26" s="19" t="str">
        <x:v>95%软包覆增量</x:v>
      </x:c>
      <x:c r="D26" s="414" t="n">
        <x:v>250</x:v>
      </x:c>
      <x:c r="E26" s="414" t="n">
        <x:v>500</x:v>
      </x:c>
      <x:c r="F26" s="414" t="n">
        <x:v>1200</x:v>
      </x:c>
      <x:c r="G26" s="19" t="str">
        <x:v>元/车</x:v>
      </x:c>
      <x:c r="H26" s="19" t="str">
        <x:v>N90产品材料；N70未披露</x:v>
      </x:c>
      <x:c r="I26" s="19" t="str">
        <x:v>B对C</x:v>
      </x:c>
      <x:c r="J26" s="19" t="str">
        <x:v>D</x:v>
      </x:c>
      <x:c r="K26" s="19" t="str">
        <x:v>NO</x:v>
      </x:c>
      <x:c r="L26" s="19" t="str">
        <x:v>只计面料/饰件净差</x:v>
      </x:c>
    </x:row>
    <x:row r="27" ht="44" customHeight="1">
      <x:c r="A27" s="410" t="str">
        <x:v>P_AMBIENT</x:v>
      </x:c>
      <x:c r="B27" s="410" t="str">
        <x:v>CABIN</x:v>
      </x:c>
      <x:c r="C27" s="410" t="str">
        <x:v>256色氛围灯增量</x:v>
      </x:c>
      <x:c r="D27" s="415" t="n">
        <x:v>80</x:v>
      </x:c>
      <x:c r="E27" s="415" t="n">
        <x:v>150</x:v>
      </x:c>
      <x:c r="F27" s="415" t="n">
        <x:v>300</x:v>
      </x:c>
      <x:c r="G27" s="410" t="str">
        <x:v>元/车</x:v>
      </x:c>
      <x:c r="H27" s="410" t="str">
        <x:v>N90产品材料；N70未披露</x:v>
      </x:c>
      <x:c r="I27" s="410" t="str">
        <x:v>B对C</x:v>
      </x:c>
      <x:c r="J27" s="410" t="str">
        <x:v>D</x:v>
      </x:c>
      <x:c r="K27" s="410" t="str">
        <x:v>NO</x:v>
      </x:c>
      <x:c r="L27" s="410" t="str">
        <x:v>含灯带/驱动/局部线束</x:v>
      </x:c>
    </x:row>
    <x:row r="28" ht="44" customHeight="1">
      <x:c r="A28" s="19" t="str">
        <x:v>P_FRIDGE</x:v>
      </x:c>
      <x:c r="B28" s="19" t="str">
        <x:v>CABIN</x:v>
      </x:c>
      <x:c r="C28" s="19" t="str">
        <x:v>9L冷热冰箱增量</x:v>
      </x:c>
      <x:c r="D28" s="414" t="n">
        <x:v>350</x:v>
      </x:c>
      <x:c r="E28" s="414" t="n">
        <x:v>600</x:v>
      </x:c>
      <x:c r="F28" s="414" t="n">
        <x:v>1200</x:v>
      </x:c>
      <x:c r="G28" s="19" t="str">
        <x:v>元/车</x:v>
      </x:c>
      <x:c r="H28" s="19" t="str">
        <x:v>N90产品材料；N70未披露</x:v>
      </x:c>
      <x:c r="I28" s="19" t="str">
        <x:v>B对C</x:v>
      </x:c>
      <x:c r="J28" s="19" t="str">
        <x:v>D</x:v>
      </x:c>
      <x:c r="K28" s="19" t="str">
        <x:v>NO</x:v>
      </x:c>
      <x:c r="L28" s="19" t="str">
        <x:v>基础整车工程条件项</x:v>
      </x:c>
    </x:row>
    <x:row r="29" ht="44" customHeight="1">
      <x:c r="A29" s="410" t="str">
        <x:v>P_SEAT_COMFORT</x:v>
      </x:c>
      <x:c r="B29" s="410" t="str">
        <x:v>SEATING</x:v>
      </x:c>
      <x:c r="C29" s="410" t="str">
        <x:v>一二排按摩/通风/加热增量</x:v>
      </x:c>
      <x:c r="D29" s="415" t="n">
        <x:v>900</x:v>
      </x:c>
      <x:c r="E29" s="415" t="n">
        <x:v>1800</x:v>
      </x:c>
      <x:c r="F29" s="415" t="n">
        <x:v>3500</x:v>
      </x:c>
      <x:c r="G29" s="410" t="str">
        <x:v>元/车</x:v>
      </x:c>
      <x:c r="H29" s="410" t="str">
        <x:v>N90产品材料；N70未披露</x:v>
      </x:c>
      <x:c r="I29" s="410" t="str">
        <x:v>B对C</x:v>
      </x:c>
      <x:c r="J29" s="410" t="str">
        <x:v>D</x:v>
      </x:c>
      <x:c r="K29" s="410" t="str">
        <x:v>NO</x:v>
      </x:c>
      <x:c r="L29" s="410" t="str">
        <x:v>与基础座椅架构分离</x:v>
      </x:c>
    </x:row>
    <x:row r="30" ht="44" customHeight="1">
      <x:c r="A30" s="19" t="str">
        <x:v>P_AUDIO_25</x:v>
      </x:c>
      <x:c r="B30" s="19" t="str">
        <x:v>CABIN</x:v>
      </x:c>
      <x:c r="C30" s="19" t="str">
        <x:v>25扬声器系统增量</x:v>
      </x:c>
      <x:c r="D30" s="414" t="n">
        <x:v>400</x:v>
      </x:c>
      <x:c r="E30" s="414" t="n">
        <x:v>650</x:v>
      </x:c>
      <x:c r="F30" s="414" t="n">
        <x:v>1050</x:v>
      </x:c>
      <x:c r="G30" s="19" t="str">
        <x:v>元/车</x:v>
      </x:c>
      <x:c r="H30" s="19" t="str">
        <x:v>INC_AUDIO_14_25</x:v>
      </x:c>
      <x:c r="I30" s="19" t="str">
        <x:v>B对C</x:v>
      </x:c>
      <x:c r="J30" s="19" t="str">
        <x:v>B</x:v>
      </x:c>
      <x:c r="K30" s="19" t="str">
        <x:v>NO</x:v>
      </x:c>
      <x:c r="L30" s="19" t="str">
        <x:v>按系统升级一次；不再加功放</x:v>
      </x:c>
    </x:row>
    <x:row r="31" ht="44" customHeight="1">
      <x:c r="A31" s="410" t="str">
        <x:v>P_CABIN_PORTS</x:v>
      </x:c>
      <x:c r="B31" s="410" t="str">
        <x:v>CABIN</x:v>
      </x:c>
      <x:c r="C31" s="410" t="str">
        <x:v>生态/电源接口增量</x:v>
      </x:c>
      <x:c r="D31" s="415" t="n">
        <x:v>150</x:v>
      </x:c>
      <x:c r="E31" s="415" t="n">
        <x:v>300</x:v>
      </x:c>
      <x:c r="F31" s="415" t="n">
        <x:v>800</x:v>
      </x:c>
      <x:c r="G31" s="410" t="str">
        <x:v>元/车</x:v>
      </x:c>
      <x:c r="H31" s="410" t="str">
        <x:v>N90产品材料；N70未披露</x:v>
      </x:c>
      <x:c r="I31" s="410" t="str">
        <x:v>B对C</x:v>
      </x:c>
      <x:c r="J31" s="410" t="str">
        <x:v>D</x:v>
      </x:c>
      <x:c r="K31" s="410" t="str">
        <x:v>NO</x:v>
      </x:c>
      <x:c r="L31" s="410" t="str">
        <x:v>不含220V</x:v>
      </x:c>
    </x:row>
    <x:row r="32" ht="44" customHeight="1">
      <x:c r="A32" s="19" t="str">
        <x:v>P_CABIN_220V</x:v>
      </x:c>
      <x:c r="B32" s="19" t="str">
        <x:v>CABIN</x:v>
      </x:c>
      <x:c r="C32" s="19" t="str">
        <x:v>车内220V增量</x:v>
      </x:c>
      <x:c r="D32" s="414" t="n">
        <x:v>150</x:v>
      </x:c>
      <x:c r="E32" s="414" t="n">
        <x:v>250</x:v>
      </x:c>
      <x:c r="F32" s="414" t="n">
        <x:v>500</x:v>
      </x:c>
      <x:c r="G32" s="19" t="str">
        <x:v>元/车</x:v>
      </x:c>
      <x:c r="H32" s="19" t="str">
        <x:v>N90产品材料；N70未披露</x:v>
      </x:c>
      <x:c r="I32" s="19" t="str">
        <x:v>B对C</x:v>
      </x:c>
      <x:c r="J32" s="19" t="str">
        <x:v>D</x:v>
      </x:c>
      <x:c r="K32" s="19" t="str">
        <x:v>NO</x:v>
      </x:c>
      <x:c r="L32" s="19" t="str">
        <x:v>不与V2L整套重复</x:v>
      </x:c>
    </x:row>
    <x:row r="33" ht="44" customHeight="1">
      <x:c r="A33" s="410" t="str">
        <x:v>P_HYDRAULIC_BUSH</x:v>
      </x:c>
      <x:c r="B33" s="410" t="str">
        <x:v>CHASSIS</x:v>
      </x:c>
      <x:c r="C33" s="410" t="str">
        <x:v>4个液压衬套增量</x:v>
      </x:c>
      <x:c r="D33" s="415" t="n">
        <x:v>150</x:v>
      </x:c>
      <x:c r="E33" s="415" t="n">
        <x:v>300</x:v>
      </x:c>
      <x:c r="F33" s="415" t="n">
        <x:v>600</x:v>
      </x:c>
      <x:c r="G33" s="410" t="str">
        <x:v>元/车</x:v>
      </x:c>
      <x:c r="H33" s="410" t="str">
        <x:v>N90产品材料；N70未披露</x:v>
      </x:c>
      <x:c r="I33" s="410" t="str">
        <x:v>B对C</x:v>
      </x:c>
      <x:c r="J33" s="410" t="str">
        <x:v>D</x:v>
      </x:c>
      <x:c r="K33" s="410" t="str">
        <x:v>NO</x:v>
      </x:c>
      <x:c r="L33" s="410" t="str">
        <x:v>不重复基础悬架</x:v>
      </x:c>
    </x:row>
    <x:row r="34" ht="44" customHeight="1">
      <x:c r="A34" s="19" t="str">
        <x:v>P_TIRE_WHEEL</x:v>
      </x:c>
      <x:c r="B34" s="19" t="str">
        <x:v>CHASSIS</x:v>
      </x:c>
      <x:c r="C34" s="19" t="str">
        <x:v>255/265宽胎规格差</x:v>
      </x:c>
      <x:c r="D34" s="414" t="n">
        <x:v>100</x:v>
      </x:c>
      <x:c r="E34" s="414" t="n">
        <x:v>200</x:v>
      </x:c>
      <x:c r="F34" s="414" t="n">
        <x:v>500</x:v>
      </x:c>
      <x:c r="G34" s="19" t="str">
        <x:v>元/车</x:v>
      </x:c>
      <x:c r="H34" s="19" t="str">
        <x:v>N90固定规格；N70允许集未锁</x:v>
      </x:c>
      <x:c r="I34" s="19" t="str">
        <x:v>B对C</x:v>
      </x:c>
      <x:c r="J34" s="19" t="str">
        <x:v>D</x:v>
      </x:c>
      <x:c r="K34" s="19" t="str">
        <x:v>NO</x:v>
      </x:c>
      <x:c r="L34" s="19" t="str">
        <x:v>只计规格净差，不计整套21英寸绝对值</x:v>
      </x:c>
    </x:row>
    <x:row r="35" ht="44" customHeight="1">
      <x:c r="A35" s="410" t="str">
        <x:v>P_RESTRAINT</x:v>
      </x:c>
      <x:c r="B35" s="410" t="str">
        <x:v>SAFETY</x:v>
      </x:c>
      <x:c r="C35" s="410" t="str">
        <x:v>12气囊约束系统差异</x:v>
      </x:c>
      <x:c r="D35" s="415" t="n">
        <x:v>100</x:v>
      </x:c>
      <x:c r="E35" s="415" t="n">
        <x:v>280</x:v>
      </x:c>
      <x:c r="F35" s="415" t="n">
        <x:v>720</x:v>
      </x:c>
      <x:c r="G35" s="410" t="str">
        <x:v>元/车</x:v>
      </x:c>
      <x:c r="H35" s="410" t="str">
        <x:v>气囊100/140/180元×条件数量差</x:v>
      </x:c>
      <x:c r="I35" s="410" t="str">
        <x:v>B对C</x:v>
      </x:c>
      <x:c r="J35" s="410" t="str">
        <x:v>B/C</x:v>
      </x:c>
      <x:c r="K35" s="410" t="str">
        <x:v>NO</x:v>
      </x:c>
      <x:c r="L35" s="410" t="str">
        <x:v>N70气囊数未披露；Low归零</x:v>
      </x:c>
    </x:row>
    <x:row r="36" ht="44" customHeight="1">
      <x:c r="A36" s="19" t="str">
        <x:v>P_CONNECTIVITY</x:v>
      </x:c>
      <x:c r="B36" s="19" t="str">
        <x:v>ELECTRONICS</x:v>
      </x:c>
      <x:c r="C36" s="19" t="str">
        <x:v>双5G/Wi-Fi7通信增量</x:v>
      </x:c>
      <x:c r="D36" s="414" t="n">
        <x:v>150</x:v>
      </x:c>
      <x:c r="E36" s="414" t="n">
        <x:v>300</x:v>
      </x:c>
      <x:c r="F36" s="414" t="n">
        <x:v>700</x:v>
      </x:c>
      <x:c r="G36" s="19" t="str">
        <x:v>元/车</x:v>
      </x:c>
      <x:c r="H36" s="19" t="str">
        <x:v>N90严格事实；N70未披露</x:v>
      </x:c>
      <x:c r="I36" s="19" t="str">
        <x:v>A/B对C</x:v>
      </x:c>
      <x:c r="J36" s="19" t="str">
        <x:v>D</x:v>
      </x:c>
      <x:c r="K36" s="19" t="str">
        <x:v>NO</x:v>
      </x:c>
      <x:c r="L36" s="19" t="str">
        <x:v>不把Flyback整套绝对成本新增</x:v>
      </x:c>
    </x:row>
    <x:row r="37" ht="44" customHeight="1">
      <x:c r="A37" s="410" t="str">
        <x:v>P_REAR_LIDAR</x:v>
      </x:c>
      <x:c r="B37" s="410" t="str">
        <x:v>ADAS</x:v>
      </x:c>
      <x:c r="C37" s="410" t="str">
        <x:v>1颗后向固态激光雷达</x:v>
      </x:c>
      <x:c r="D37" s="415" t="n">
        <x:v>1200</x:v>
      </x:c>
      <x:c r="E37" s="415" t="n">
        <x:v>1500</x:v>
      </x:c>
      <x:c r="F37" s="415" t="n">
        <x:v>1900</x:v>
      </x:c>
      <x:c r="G37" s="410" t="str">
        <x:v>元/车</x:v>
      </x:c>
      <x:c r="H37" s="410" t="str">
        <x:v>ABS_ADAS_LIDAR量级类比</x:v>
      </x:c>
      <x:c r="I37" s="410" t="str">
        <x:v>B歧义对C</x:v>
      </x:c>
      <x:c r="J37" s="410" t="str">
        <x:v>B</x:v>
      </x:c>
      <x:c r="K37" s="410" t="str">
        <x:v>NO</x:v>
      </x:c>
      <x:c r="L37" s="410" t="str">
        <x:v>章节作用域候选；Low归零</x:v>
      </x:c>
    </x:row>
  </x:sheetData>
  <x:mergeCells>
    <x:mergeCell ref="A1:L1"/>
    <x:mergeCell ref="A2:L2"/>
    <x:mergeCell ref="A3:L3"/>
  </x:mergeCells>
  <x:conditionalFormatting sqref="I6:K37">
    <x:cfRule type="containsText" dxfId="1279" priority="1" operator="containsText" text="PASS"/>
    <x:cfRule type="containsText" dxfId="1280" priority="2" operator="containsText" text="READY"/>
    <x:cfRule type="containsText" dxfId="1281" priority="3" operator="containsText" text="TRUE"/>
    <x:cfRule type="containsText" dxfId="1282" priority="4" operator="containsText" text="CORE"/>
    <x:cfRule type="containsText" dxfId="1283" priority="5" operator="containsText" text="LOCKED"/>
    <x:cfRule type="containsText" dxfId="1284" priority="6" operator="containsText" text="ZERO_DELTA"/>
    <x:cfRule type="containsText" dxfId="1285" priority="7" operator="containsText" text="CONDITIONAL"/>
    <x:cfRule type="containsText" dxfId="1286" priority="8" operator="containsText" text="PROVISIONAL"/>
    <x:cfRule type="containsText" dxfId="1287" priority="9" operator="containsText" text="HOLD"/>
    <x:cfRule type="containsText" dxfId="1288" priority="10" operator="containsText" text="NOT_DISCLOSED"/>
    <x:cfRule type="containsText" dxfId="1289" priority="11" operator="containsText" text="BLOCKED"/>
    <x:cfRule type="containsText" dxfId="1290" priority="12" operator="containsText" text="FAIL"/>
    <x:cfRule type="containsText" dxfId="1291" priority="13" operator="containsText" text="FALSE"/>
    <x:cfRule type="containsText" dxfId="1292" priority="14" operator="containsText" text="EXCLUDED"/>
    <x:cfRule type="containsText" dxfId="1293" priority="15" operator="containsText" text="OPTION"/>
  </x:conditionalFormatting>
  <x:pageMargins left="0.7" right="0.7" top="0.75" bottom="0.75" header="0.3" footer="0.3"/>
</x:worksheet>
</file>

<file path=xl/worksheets/sheet6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34" hidden="0" customWidth="1"/>
    <x:col min="3" max="3" width="17" hidden="0" customWidth="1"/>
    <x:col min="4" max="4" width="34" hidden="0" customWidth="1"/>
    <x:col min="5" max="5" width="30" hidden="0" customWidth="1"/>
    <x:col min="6" max="6" width="48" hidden="0" customWidth="1"/>
    <x:col min="7" max="7" width="36" hidden="0" customWidth="1"/>
    <x:col min="8" max="8" width="20" hidden="0" customWidth="1"/>
    <x:col min="9" max="9" width="24" hidden="0" customWidth="1"/>
    <x:col min="10" max="10" width="14" hidden="0" customWidth="1"/>
    <x:col min="11" max="11" width="14" hidden="0" customWidth="1"/>
    <x:col min="12" max="12" width="14" hidden="0" customWidth="1"/>
    <x:col min="13" max="13" width="12" hidden="0" customWidth="1"/>
    <x:col min="14" max="14" width="12" hidden="0" customWidth="1"/>
    <x:col min="15" max="15" width="12" hidden="0" customWidth="1"/>
    <x:col min="16" max="16" width="14" hidden="0" customWidth="1"/>
    <x:col min="17" max="17" width="14" hidden="0" customWidth="1"/>
    <x:col min="18" max="18" width="14" hidden="0" customWidth="1"/>
    <x:col min="19" max="19" width="34" hidden="0" customWidth="1"/>
    <x:col min="20" max="20" width="54" hidden="0" customWidth="1"/>
    <x:col min="21" max="21" width="14" hidden="0" customWidth="1"/>
    <x:col min="22" max="22" width="14" hidden="0" customWidth="1"/>
  </x:cols>
  <x:sheetData>
    <x:row r="1" ht="30" customHeight="1">
      <x:c r="A1" s="397" t="str">
        <x:v>68｜N70 Max→N90 Max增量BOM</x:v>
      </x:c>
      <x:c r="B1" s="397"/>
      <x:c r="C1" s="397"/>
      <x:c r="D1" s="397"/>
      <x:c r="E1" s="397"/>
      <x:c r="F1" s="397"/>
      <x:c r="G1" s="397"/>
      <x:c r="H1" s="397"/>
      <x:c r="I1" s="397"/>
      <x:c r="J1" s="397"/>
      <x:c r="K1" s="397"/>
      <x:c r="L1" s="397"/>
      <x:c r="M1" s="397"/>
      <x:c r="N1" s="397"/>
      <x:c r="O1" s="397"/>
      <x:c r="P1" s="397"/>
      <x:c r="Q1" s="397"/>
      <x:c r="R1" s="397"/>
      <x:c r="S1" s="397"/>
      <x:c r="T1" s="397"/>
      <x:c r="U1" s="397"/>
      <x:c r="V1" s="397"/>
    </x:row>
    <x:row r="2" ht="22" customHeight="1">
      <x:c r="A2" s="400" t="str">
        <x:v>3条硬结构核心 + 13条N70未披露条件项｜Low条件项全部归零｜每个double_count_key仅一次</x:v>
      </x:c>
      <x:c r="B2" s="400"/>
      <x:c r="C2" s="400"/>
      <x:c r="D2" s="400"/>
      <x:c r="E2" s="400"/>
      <x:c r="F2" s="400"/>
      <x:c r="G2" s="400"/>
      <x:c r="H2" s="400"/>
      <x:c r="I2" s="400"/>
      <x:c r="J2" s="400"/>
      <x:c r="K2" s="400"/>
      <x:c r="L2" s="400"/>
      <x:c r="M2" s="400"/>
      <x:c r="N2" s="400"/>
      <x:c r="O2" s="400"/>
      <x:c r="P2" s="400"/>
      <x:c r="Q2" s="400"/>
      <x:c r="R2" s="400"/>
      <x:c r="S2" s="400"/>
      <x:c r="T2" s="400"/>
      <x:c r="U2" s="400"/>
      <x:c r="V2" s="400"/>
    </x:row>
    <x:row r="3" ht="62" customHeight="1">
      <x:c r="A3" s="404" t="str">
        <x:v>核心BOM与条件池严格分层。N90有26个工程硬件根、N70只有4个可计价根，并不代表N90确定新增22套硬件；绝大多数只是N70尚未披露。</x:v>
      </x:c>
      <x:c r="B3" s="404"/>
      <x:c r="C3" s="404"/>
      <x:c r="D3" s="404"/>
      <x:c r="E3" s="404"/>
      <x:c r="F3" s="404"/>
      <x:c r="G3" s="404"/>
      <x:c r="H3" s="404"/>
      <x:c r="I3" s="404"/>
      <x:c r="J3" s="404"/>
      <x:c r="K3" s="404"/>
      <x:c r="L3" s="404"/>
      <x:c r="M3" s="404"/>
      <x:c r="N3" s="404"/>
      <x:c r="O3" s="404"/>
      <x:c r="P3" s="404"/>
      <x:c r="Q3" s="404"/>
      <x:c r="R3" s="404"/>
      <x:c r="S3" s="404"/>
      <x:c r="T3" s="404"/>
      <x:c r="U3" s="404"/>
      <x:c r="V3" s="404"/>
    </x:row>
    <x:row r="5" ht="58" customHeight="1">
      <x:c r="A5" s="409" t="str">
        <x:v>cost_line_id</x:v>
      </x:c>
      <x:c r="B5" s="409" t="str">
        <x:v>layer</x:v>
      </x:c>
      <x:c r="C5" s="409" t="str">
        <x:v>module</x:v>
      </x:c>
      <x:c r="D5" s="409" t="str">
        <x:v>cost_item</x:v>
      </x:c>
      <x:c r="E5" s="409" t="str">
        <x:v>double_count_key</x:v>
      </x:c>
      <x:c r="F5" s="409" t="str">
        <x:v>差异证据</x:v>
      </x:c>
      <x:c r="G5" s="409" t="str">
        <x:v>估值证据</x:v>
      </x:c>
      <x:c r="H5" s="409" t="str">
        <x:v>price_derived_flag</x:v>
      </x:c>
      <x:c r="I5" s="409" t="str">
        <x:v>parameter_id</x:v>
      </x:c>
      <x:c r="J5" s="409" t="str">
        <x:v>raw_L</x:v>
      </x:c>
      <x:c r="K5" s="409" t="str">
        <x:v>raw_M</x:v>
      </x:c>
      <x:c r="L5" s="409" t="str">
        <x:v>raw_H</x:v>
      </x:c>
      <x:c r="M5" s="409" t="str">
        <x:v>include_L</x:v>
      </x:c>
      <x:c r="N5" s="409" t="str">
        <x:v>include_M</x:v>
      </x:c>
      <x:c r="O5" s="409" t="str">
        <x:v>include_H</x:v>
      </x:c>
      <x:c r="P5" s="409" t="str">
        <x:v>cost_L</x:v>
      </x:c>
      <x:c r="Q5" s="409" t="str">
        <x:v>cost_M</x:v>
      </x:c>
      <x:c r="R5" s="409" t="str">
        <x:v>cost_H</x:v>
      </x:c>
      <x:c r="S5" s="409" t="str">
        <x:v>status</x:v>
      </x:c>
      <x:c r="T5" s="409" t="str">
        <x:v>boundary</x:v>
      </x:c>
      <x:c r="U5" s="409" t="str">
        <x:v>overlap_count</x:v>
      </x:c>
      <x:c r="V5" s="409" t="str">
        <x:v>range_violation</x:v>
      </x:c>
    </x:row>
    <x:row r="6" ht="58" customHeight="1">
      <x:c r="A6" s="19" t="str">
        <x:v>B32B-001</x:v>
      </x:c>
      <x:c r="B6" s="19" t="str">
        <x:v>CORE_HARD_STRUCTURE</x:v>
      </x:c>
      <x:c r="C6" s="19" t="str">
        <x:v>BODY</x:v>
      </x:c>
      <x:c r="D6" s="19" t="str">
        <x:v>车身尺寸与结构增量</x:v>
      </x:c>
      <x:c r="E6" s="19" t="str">
        <x:v>BODY_SCALE_N70_N90</x:v>
      </x:c>
      <x:c r="F6" s="19" t="str">
        <x:v>MIIT：+325mm车长/+130mm轴距/+60mm车高；+190~239kg</x:v>
      </x:c>
      <x:c r="G6" s="19" t="str">
        <x:v>Phase2.3B材料篮子×55%/60%/65%结构清洁率</x:v>
      </x:c>
      <x:c r="H6" s="19" t="str">
        <x:v>NO</x:v>
      </x:c>
      <x:c r="I6" s="19" t="str">
        <x:v>BODY_FORMULA</x:v>
      </x:c>
      <x:c r="J6" s="414" t="n">
        <x:f>ROUND('67_成本参数'!D8*'67_成本参数'!D9*('67_成本参数'!D10*'67_成本参数'!D14+'67_成本参数'!D11*'67_成本参数'!D15+'67_成本参数'!D12*'67_成本参数'!D16+'67_成本参数'!D13*'67_成本参数'!D17)*'67_成本参数'!D18,-2)</x:f>
        <x:v>1300</x:v>
      </x:c>
      <x:c r="K6" s="414" t="n">
        <x:f>ROUND('67_成本参数'!E8*'67_成本参数'!E9*('67_成本参数'!E10*'67_成本参数'!E14+'67_成本参数'!E11*'67_成本参数'!E15+'67_成本参数'!E12*'67_成本参数'!E16+'67_成本参数'!E13*'67_成本参数'!E17)*'67_成本参数'!E18,-2)</x:f>
        <x:v>2600</x:v>
      </x:c>
      <x:c r="L6" s="414" t="n">
        <x:f>ROUND('67_成本参数'!F8*'67_成本参数'!F9*('67_成本参数'!F10*'67_成本参数'!F14+'67_成本参数'!F11*'67_成本参数'!F15+'67_成本参数'!F12*'67_成本参数'!F16+'67_成本参数'!F13*'67_成本参数'!F17)*'67_成本参数'!F18,-2)</x:f>
        <x:v>5400</x:v>
      </x:c>
      <x:c r="M6" s="19" t="n">
        <x:v>1</x:v>
      </x:c>
      <x:c r="N6" s="19" t="n">
        <x:v>1</x:v>
      </x:c>
      <x:c r="O6" s="19" t="n">
        <x:v>1</x:v>
      </x:c>
      <x:c r="P6" s="414" t="n">
        <x:f>J6*M6</x:f>
        <x:v>1300</x:v>
      </x:c>
      <x:c r="Q6" s="414" t="n">
        <x:f>K6*N6</x:f>
        <x:v>2600</x:v>
      </x:c>
      <x:c r="R6" s="414" t="n">
        <x:f>L6*O6</x:f>
        <x:v>5400</x:v>
      </x:c>
      <x:c r="S6" s="19" t="str">
        <x:v>CORE_IDENTIFIED</x:v>
      </x:c>
      <x:c r="T6" s="19" t="str">
        <x:v>含加长结构/闭合件/地板/门环净差；不再单列白车身安全</x:v>
      </x:c>
      <x:c r="U6" s="19" t="n">
        <x:f>COUNTIF($E$6:$E$21,E6)</x:f>
        <x:v>1</x:v>
      </x:c>
      <x:c r="V6" s="19" t="n">
        <x:f>IF(AND(P6&lt;=Q6,Q6&lt;=R6),0,1)</x:f>
        <x:v>0</x:v>
      </x:c>
    </x:row>
    <x:row r="7" ht="58" customHeight="1">
      <x:c r="A7" s="410" t="str">
        <x:v>B32B-002</x:v>
      </x:c>
      <x:c r="B7" s="410" t="str">
        <x:v>CORE_HARD_STRUCTURE</x:v>
      </x:c>
      <x:c r="C7" s="410" t="str">
        <x:v>SEATING</x:v>
      </x:c>
      <x:c r="D7" s="410" t="str">
        <x:v>5→7座基础座椅架构</x:v>
      </x:c>
      <x:c r="E7" s="410" t="str">
        <x:v>SEAT_ARCH_5_TO_7</x:v>
      </x:c>
      <x:c r="F7" s="410" t="str">
        <x:v>监管+发布：5座→7座、2+2+3</x:v>
      </x:c>
      <x:c r="G7" s="410" t="str">
        <x:v>新增两座+固定/导轨/安全带接口工程先验</x:v>
      </x:c>
      <x:c r="H7" s="410" t="str">
        <x:v>NO</x:v>
      </x:c>
      <x:c r="I7" s="410" t="str">
        <x:v>P_SEAT_ARCH</x:v>
      </x:c>
      <x:c r="J7" s="415" t="n">
        <x:f>'67_成本参数'!D23</x:f>
        <x:v>1400</x:v>
      </x:c>
      <x:c r="K7" s="415" t="n">
        <x:f>'67_成本参数'!E23</x:f>
        <x:v>2400</x:v>
      </x:c>
      <x:c r="L7" s="415" t="n">
        <x:f>'67_成本参数'!F23</x:f>
        <x:v>3800</x:v>
      </x:c>
      <x:c r="M7" s="410" t="n">
        <x:v>1</x:v>
      </x:c>
      <x:c r="N7" s="410" t="n">
        <x:v>1</x:v>
      </x:c>
      <x:c r="O7" s="410" t="n">
        <x:v>1</x:v>
      </x:c>
      <x:c r="P7" s="415" t="n">
        <x:f>J7*M7</x:f>
        <x:v>1400</x:v>
      </x:c>
      <x:c r="Q7" s="415" t="n">
        <x:f>K7*N7</x:f>
        <x:v>2400</x:v>
      </x:c>
      <x:c r="R7" s="415" t="n">
        <x:f>L7*O7</x:f>
        <x:v>3800</x:v>
      </x:c>
      <x:c r="S7" s="410" t="str">
        <x:v>CORE_IDENTIFIED</x:v>
      </x:c>
      <x:c r="T7" s="410" t="str">
        <x:v>不含按摩/零重力/旋转；不以零重力单座代替基础座椅</x:v>
      </x:c>
      <x:c r="U7" s="410" t="n">
        <x:f>COUNTIF($E$6:$E$21,E7)</x:f>
        <x:v>1</x:v>
      </x:c>
      <x:c r="V7" s="410" t="n">
        <x:f>IF(AND(P7&lt;=Q7,Q7&lt;=R7),0,1)</x:f>
        <x:v>0</x:v>
      </x:c>
    </x:row>
    <x:row r="8" ht="58" customHeight="1">
      <x:c r="A8" s="19" t="str">
        <x:v>B32B-003</x:v>
      </x:c>
      <x:c r="B8" s="19" t="str">
        <x:v>CORE_HARD_STRUCTURE</x:v>
      </x:c>
      <x:c r="C8" s="19" t="str">
        <x:v>HVAC</x:v>
      </x:c>
      <x:c r="D8" s="19" t="str">
        <x:v>三排风道与温控增量</x:v>
      </x:c>
      <x:c r="E8" s="19" t="str">
        <x:v>HVAC_3ROW_DELTA</x:v>
      </x:c>
      <x:c r="F8" s="19" t="str">
        <x:v>N90三排/三分区；N70两排</x:v>
      </x:c>
      <x:c r="G8" s="19" t="str">
        <x:v>三排风道/阀件/控制增量工程先验</x:v>
      </x:c>
      <x:c r="H8" s="19" t="str">
        <x:v>NO</x:v>
      </x:c>
      <x:c r="I8" s="19" t="str">
        <x:v>P_HVAC_3ROW</x:v>
      </x:c>
      <x:c r="J8" s="414" t="n">
        <x:f>'67_成本参数'!D24</x:f>
        <x:v>200</x:v>
      </x:c>
      <x:c r="K8" s="414" t="n">
        <x:f>'67_成本参数'!E24</x:f>
        <x:v>500</x:v>
      </x:c>
      <x:c r="L8" s="414" t="n">
        <x:f>'67_成本参数'!F24</x:f>
        <x:v>900</x:v>
      </x:c>
      <x:c r="M8" s="19" t="n">
        <x:v>1</x:v>
      </x:c>
      <x:c r="N8" s="19" t="n">
        <x:v>1</x:v>
      </x:c>
      <x:c r="O8" s="19" t="n">
        <x:v>1</x:v>
      </x:c>
      <x:c r="P8" s="414" t="n">
        <x:f>J8*M8</x:f>
        <x:v>200</x:v>
      </x:c>
      <x:c r="Q8" s="414" t="n">
        <x:f>K8*N8</x:f>
        <x:v>500</x:v>
      </x:c>
      <x:c r="R8" s="414" t="n">
        <x:f>L8*O8</x:f>
        <x:v>900</x:v>
      </x:c>
      <x:c r="S8" s="19" t="str">
        <x:v>CORE_IDENTIFIED</x:v>
      </x:c>
      <x:c r="T8" s="19" t="str">
        <x:v>不计完整热泵绝对成本</x:v>
      </x:c>
      <x:c r="U8" s="19" t="n">
        <x:f>COUNTIF($E$6:$E$21,E8)</x:f>
        <x:v>1</x:v>
      </x:c>
      <x:c r="V8" s="19" t="n">
        <x:f>IF(AND(P8&lt;=Q8,Q8&lt;=R8),0,1)</x:f>
        <x:v>0</x:v>
      </x:c>
    </x:row>
    <x:row r="9" ht="58" customHeight="1">
      <x:c r="A9" s="410" t="str">
        <x:v>B32B-004</x:v>
      </x:c>
      <x:c r="B9" s="410" t="str">
        <x:v>CONDITIONAL_N70_UNDISCLOSED</x:v>
      </x:c>
      <x:c r="C9" s="410" t="str">
        <x:v>BODY</x:v>
      </x:c>
      <x:c r="D9" s="410" t="str">
        <x:v>更大玻璃面积</x:v>
      </x:c>
      <x:c r="E9" s="410" t="str">
        <x:v>GLAZING_AREA_DELTA</x:v>
      </x:c>
      <x:c r="F9" s="410" t="str">
        <x:v>N90披露6.8㎡；N70未披露</x:v>
      </x:c>
      <x:c r="G9" s="410" t="str">
        <x:v>汽车玻璃量级工程区间</x:v>
      </x:c>
      <x:c r="H9" s="410" t="str">
        <x:v>NO</x:v>
      </x:c>
      <x:c r="I9" s="410" t="str">
        <x:v>P_GLAZING</x:v>
      </x:c>
      <x:c r="J9" s="415" t="n">
        <x:f>'67_成本参数'!D25</x:f>
        <x:v>100</x:v>
      </x:c>
      <x:c r="K9" s="415" t="n">
        <x:f>'67_成本参数'!E25</x:f>
        <x:v>200</x:v>
      </x:c>
      <x:c r="L9" s="415" t="n">
        <x:f>'67_成本参数'!F25</x:f>
        <x:v>500</x:v>
      </x:c>
      <x:c r="M9" s="410" t="n">
        <x:v>0</x:v>
      </x:c>
      <x:c r="N9" s="410" t="n">
        <x:v>1</x:v>
      </x:c>
      <x:c r="O9" s="410" t="n">
        <x:v>1</x:v>
      </x:c>
      <x:c r="P9" s="415" t="n">
        <x:f>J9*M9</x:f>
        <x:v>0</x:v>
      </x:c>
      <x:c r="Q9" s="415" t="n">
        <x:f>K9*N9</x:f>
        <x:v>200</x:v>
      </x:c>
      <x:c r="R9" s="415" t="n">
        <x:f>L9*O9</x:f>
        <x:v>500</x:v>
      </x:c>
      <x:c r="S9" s="410" t="str">
        <x:v>CONDITIONAL</x:v>
      </x:c>
      <x:c r="T9" s="410" t="str">
        <x:v>Low假定双方同配；不从6.8㎡全额起算</x:v>
      </x:c>
      <x:c r="U9" s="410" t="n">
        <x:f>COUNTIF($E$6:$E$21,E9)</x:f>
        <x:v>1</x:v>
      </x:c>
      <x:c r="V9" s="410" t="n">
        <x:f>IF(AND(P9&lt;=Q9,Q9&lt;=R9),0,1)</x:f>
        <x:v>0</x:v>
      </x:c>
    </x:row>
    <x:row r="10" ht="58" customHeight="1">
      <x:c r="A10" s="19" t="str">
        <x:v>B32B-005</x:v>
      </x:c>
      <x:c r="B10" s="19" t="str">
        <x:v>CONDITIONAL_N70_UNDISCLOSED</x:v>
      </x:c>
      <x:c r="C10" s="19" t="str">
        <x:v>CABIN</x:v>
      </x:c>
      <x:c r="D10" s="19" t="str">
        <x:v>95%软包覆差异</x:v>
      </x:c>
      <x:c r="E10" s="19" t="str">
        <x:v>CABIN_TRIM_DELTA</x:v>
      </x:c>
      <x:c r="F10" s="19" t="str">
        <x:v>N90披露；N70未披露</x:v>
      </x:c>
      <x:c r="G10" s="19" t="str">
        <x:v>面料/饰件净差工程区间</x:v>
      </x:c>
      <x:c r="H10" s="19" t="str">
        <x:v>NO</x:v>
      </x:c>
      <x:c r="I10" s="19" t="str">
        <x:v>P_CABIN_TRIM</x:v>
      </x:c>
      <x:c r="J10" s="414" t="n">
        <x:f>'67_成本参数'!D26</x:f>
        <x:v>250</x:v>
      </x:c>
      <x:c r="K10" s="414" t="n">
        <x:f>'67_成本参数'!E26</x:f>
        <x:v>500</x:v>
      </x:c>
      <x:c r="L10" s="414" t="n">
        <x:f>'67_成本参数'!F26</x:f>
        <x:v>1200</x:v>
      </x:c>
      <x:c r="M10" s="19" t="n">
        <x:v>0</x:v>
      </x:c>
      <x:c r="N10" s="19" t="n">
        <x:v>1</x:v>
      </x:c>
      <x:c r="O10" s="19" t="n">
        <x:v>1</x:v>
      </x:c>
      <x:c r="P10" s="414" t="n">
        <x:f>J10*M10</x:f>
        <x:v>0</x:v>
      </x:c>
      <x:c r="Q10" s="414" t="n">
        <x:f>K10*N10</x:f>
        <x:v>500</x:v>
      </x:c>
      <x:c r="R10" s="414" t="n">
        <x:f>L10*O10</x:f>
        <x:v>1200</x:v>
      </x:c>
      <x:c r="S10" s="19" t="str">
        <x:v>CONDITIONAL</x:v>
      </x:c>
      <x:c r="T10" s="19" t="str">
        <x:v>不含座椅面料与顶棚基材</x:v>
      </x:c>
      <x:c r="U10" s="19" t="n">
        <x:f>COUNTIF($E$6:$E$21,E10)</x:f>
        <x:v>1</x:v>
      </x:c>
      <x:c r="V10" s="19" t="n">
        <x:f>IF(AND(P10&lt;=Q10,Q10&lt;=R10),0,1)</x:f>
        <x:v>0</x:v>
      </x:c>
    </x:row>
    <x:row r="11" ht="58" customHeight="1">
      <x:c r="A11" s="410" t="str">
        <x:v>B32B-006</x:v>
      </x:c>
      <x:c r="B11" s="410" t="str">
        <x:v>CONDITIONAL_N70_UNDISCLOSED</x:v>
      </x:c>
      <x:c r="C11" s="410" t="str">
        <x:v>CABIN</x:v>
      </x:c>
      <x:c r="D11" s="410" t="str">
        <x:v>256色氛围灯</x:v>
      </x:c>
      <x:c r="E11" s="410" t="str">
        <x:v>AMBIENT_LIGHT_DELTA</x:v>
      </x:c>
      <x:c r="F11" s="410" t="str">
        <x:v>N90披露；N70未披露</x:v>
      </x:c>
      <x:c r="G11" s="410" t="str">
        <x:v>灯带/驱动/局部线束工程区间</x:v>
      </x:c>
      <x:c r="H11" s="410" t="str">
        <x:v>NO</x:v>
      </x:c>
      <x:c r="I11" s="410" t="str">
        <x:v>P_AMBIENT</x:v>
      </x:c>
      <x:c r="J11" s="415" t="n">
        <x:f>'67_成本参数'!D27</x:f>
        <x:v>80</x:v>
      </x:c>
      <x:c r="K11" s="415" t="n">
        <x:f>'67_成本参数'!E27</x:f>
        <x:v>150</x:v>
      </x:c>
      <x:c r="L11" s="415" t="n">
        <x:f>'67_成本参数'!F27</x:f>
        <x:v>300</x:v>
      </x:c>
      <x:c r="M11" s="410" t="n">
        <x:v>0</x:v>
      </x:c>
      <x:c r="N11" s="410" t="n">
        <x:v>1</x:v>
      </x:c>
      <x:c r="O11" s="410" t="n">
        <x:v>1</x:v>
      </x:c>
      <x:c r="P11" s="415" t="n">
        <x:f>J11*M11</x:f>
        <x:v>0</x:v>
      </x:c>
      <x:c r="Q11" s="415" t="n">
        <x:f>K11*N11</x:f>
        <x:v>150</x:v>
      </x:c>
      <x:c r="R11" s="415" t="n">
        <x:f>L11*O11</x:f>
        <x:v>300</x:v>
      </x:c>
      <x:c r="S11" s="410" t="str">
        <x:v>CONDITIONAL</x:v>
      </x:c>
      <x:c r="T11" s="410" t="str">
        <x:v>Low归零</x:v>
      </x:c>
      <x:c r="U11" s="410" t="n">
        <x:f>COUNTIF($E$6:$E$21,E11)</x:f>
        <x:v>1</x:v>
      </x:c>
      <x:c r="V11" s="410" t="n">
        <x:f>IF(AND(P11&lt;=Q11,Q11&lt;=R11),0,1)</x:f>
        <x:v>0</x:v>
      </x:c>
    </x:row>
    <x:row r="12" ht="58" customHeight="1">
      <x:c r="A12" s="19" t="str">
        <x:v>B32B-007</x:v>
      </x:c>
      <x:c r="B12" s="19" t="str">
        <x:v>CONDITIONAL_N70_UNDISCLOSED</x:v>
      </x:c>
      <x:c r="C12" s="19" t="str">
        <x:v>CABIN</x:v>
      </x:c>
      <x:c r="D12" s="19" t="str">
        <x:v>9L冷热冰箱</x:v>
      </x:c>
      <x:c r="E12" s="19" t="str">
        <x:v>FRIDGE_DELTA</x:v>
      </x:c>
      <x:c r="F12" s="19" t="str">
        <x:v>N90披露；N70未披露</x:v>
      </x:c>
      <x:c r="G12" s="19" t="str">
        <x:v>车载冷热箱工程区间</x:v>
      </x:c>
      <x:c r="H12" s="19" t="str">
        <x:v>NO</x:v>
      </x:c>
      <x:c r="I12" s="19" t="str">
        <x:v>P_FRIDGE</x:v>
      </x:c>
      <x:c r="J12" s="414" t="n">
        <x:f>'67_成本参数'!D28</x:f>
        <x:v>350</x:v>
      </x:c>
      <x:c r="K12" s="414" t="n">
        <x:f>'67_成本参数'!E28</x:f>
        <x:v>600</x:v>
      </x:c>
      <x:c r="L12" s="414" t="n">
        <x:f>'67_成本参数'!F28</x:f>
        <x:v>1200</x:v>
      </x:c>
      <x:c r="M12" s="19" t="n">
        <x:v>0</x:v>
      </x:c>
      <x:c r="N12" s="19" t="n">
        <x:v>1</x:v>
      </x:c>
      <x:c r="O12" s="19" t="n">
        <x:v>1</x:v>
      </x:c>
      <x:c r="P12" s="414" t="n">
        <x:f>J12*M12</x:f>
        <x:v>0</x:v>
      </x:c>
      <x:c r="Q12" s="414" t="n">
        <x:f>K12*N12</x:f>
        <x:v>600</x:v>
      </x:c>
      <x:c r="R12" s="414" t="n">
        <x:f>L12*O12</x:f>
        <x:v>1200</x:v>
      </x:c>
      <x:c r="S12" s="19" t="str">
        <x:v>CONDITIONAL</x:v>
      </x:c>
      <x:c r="T12" s="19" t="str">
        <x:v>N70未披露不等于没有</x:v>
      </x:c>
      <x:c r="U12" s="19" t="n">
        <x:f>COUNTIF($E$6:$E$21,E12)</x:f>
        <x:v>1</x:v>
      </x:c>
      <x:c r="V12" s="19" t="n">
        <x:f>IF(AND(P12&lt;=Q12,Q12&lt;=R12),0,1)</x:f>
        <x:v>0</x:v>
      </x:c>
    </x:row>
    <x:row r="13" ht="58" customHeight="1">
      <x:c r="A13" s="410" t="str">
        <x:v>B32B-008</x:v>
      </x:c>
      <x:c r="B13" s="410" t="str">
        <x:v>CONDITIONAL_N70_UNDISCLOSED</x:v>
      </x:c>
      <x:c r="C13" s="410" t="str">
        <x:v>SEATING</x:v>
      </x:c>
      <x:c r="D13" s="410" t="str">
        <x:v>一二排按摩/通风/加热</x:v>
      </x:c>
      <x:c r="E13" s="410" t="str">
        <x:v>SEAT_COMFORT_DELTA</x:v>
      </x:c>
      <x:c r="F13" s="410" t="str">
        <x:v>N90披露；N70未披露</x:v>
      </x:c>
      <x:c r="G13" s="410" t="str">
        <x:v>四座舒适执行件净差工程区间</x:v>
      </x:c>
      <x:c r="H13" s="410" t="str">
        <x:v>NO</x:v>
      </x:c>
      <x:c r="I13" s="410" t="str">
        <x:v>P_SEAT_COMFORT</x:v>
      </x:c>
      <x:c r="J13" s="415" t="n">
        <x:f>'67_成本参数'!D29</x:f>
        <x:v>900</x:v>
      </x:c>
      <x:c r="K13" s="415" t="n">
        <x:f>'67_成本参数'!E29</x:f>
        <x:v>1800</x:v>
      </x:c>
      <x:c r="L13" s="415" t="n">
        <x:f>'67_成本参数'!F29</x:f>
        <x:v>3500</x:v>
      </x:c>
      <x:c r="M13" s="410" t="n">
        <x:v>0</x:v>
      </x:c>
      <x:c r="N13" s="410" t="n">
        <x:v>1</x:v>
      </x:c>
      <x:c r="O13" s="410" t="n">
        <x:v>1</x:v>
      </x:c>
      <x:c r="P13" s="415" t="n">
        <x:f>J13*M13</x:f>
        <x:v>0</x:v>
      </x:c>
      <x:c r="Q13" s="415" t="n">
        <x:f>K13*N13</x:f>
        <x:v>1800</x:v>
      </x:c>
      <x:c r="R13" s="415" t="n">
        <x:f>L13*O13</x:f>
        <x:v>3500</x:v>
      </x:c>
      <x:c r="S13" s="410" t="str">
        <x:v>CONDITIONAL</x:v>
      </x:c>
      <x:c r="T13" s="410" t="str">
        <x:v>与基础座椅架构分开；零重力/旋转仍为选装</x:v>
      </x:c>
      <x:c r="U13" s="410" t="n">
        <x:f>COUNTIF($E$6:$E$21,E13)</x:f>
        <x:v>1</x:v>
      </x:c>
      <x:c r="V13" s="410" t="n">
        <x:f>IF(AND(P13&lt;=Q13,Q13&lt;=R13),0,1)</x:f>
        <x:v>0</x:v>
      </x:c>
    </x:row>
    <x:row r="14" ht="58" customHeight="1">
      <x:c r="A14" s="19" t="str">
        <x:v>B32B-009</x:v>
      </x:c>
      <x:c r="B14" s="19" t="str">
        <x:v>CONDITIONAL_N70_UNDISCLOSED</x:v>
      </x:c>
      <x:c r="C14" s="19" t="str">
        <x:v>CABIN</x:v>
      </x:c>
      <x:c r="D14" s="19" t="str">
        <x:v>25扬声器音响差</x:v>
      </x:c>
      <x:c r="E14" s="19" t="str">
        <x:v>AUDIO_SYSTEM_UPGRADE</x:v>
      </x:c>
      <x:c r="F14" s="19" t="str">
        <x:v>N90 25扬声器；N70未披露</x:v>
      </x:c>
      <x:c r="G14" s="19" t="str">
        <x:v>Phase2.1B 14→25系统增量</x:v>
      </x:c>
      <x:c r="H14" s="19" t="str">
        <x:v>NO</x:v>
      </x:c>
      <x:c r="I14" s="19" t="str">
        <x:v>P_AUDIO_25</x:v>
      </x:c>
      <x:c r="J14" s="414" t="n">
        <x:f>'67_成本参数'!D30</x:f>
        <x:v>400</x:v>
      </x:c>
      <x:c r="K14" s="414" t="n">
        <x:f>'67_成本参数'!E30</x:f>
        <x:v>650</x:v>
      </x:c>
      <x:c r="L14" s="414" t="n">
        <x:f>'67_成本参数'!F30</x:f>
        <x:v>1050</x:v>
      </x:c>
      <x:c r="M14" s="19" t="n">
        <x:v>0</x:v>
      </x:c>
      <x:c r="N14" s="19" t="n">
        <x:v>1</x:v>
      </x:c>
      <x:c r="O14" s="19" t="n">
        <x:v>1</x:v>
      </x:c>
      <x:c r="P14" s="414" t="n">
        <x:f>J14*M14</x:f>
        <x:v>0</x:v>
      </x:c>
      <x:c r="Q14" s="414" t="n">
        <x:f>K14*N14</x:f>
        <x:v>650</x:v>
      </x:c>
      <x:c r="R14" s="414" t="n">
        <x:f>L14*O14</x:f>
        <x:v>1050</x:v>
      </x:c>
      <x:c r="S14" s="19" t="str">
        <x:v>CONDITIONAL</x:v>
      </x:c>
      <x:c r="T14" s="19" t="str">
        <x:v>系统一次计价；不再按4890W或功放重复</x:v>
      </x:c>
      <x:c r="U14" s="19" t="n">
        <x:f>COUNTIF($E$6:$E$21,E14)</x:f>
        <x:v>1</x:v>
      </x:c>
      <x:c r="V14" s="19" t="n">
        <x:f>IF(AND(P14&lt;=Q14,Q14&lt;=R14),0,1)</x:f>
        <x:v>0</x:v>
      </x:c>
    </x:row>
    <x:row r="15" ht="58" customHeight="1">
      <x:c r="A15" s="410" t="str">
        <x:v>B32B-010</x:v>
      </x:c>
      <x:c r="B15" s="410" t="str">
        <x:v>CONDITIONAL_N70_UNDISCLOSED</x:v>
      </x:c>
      <x:c r="C15" s="410" t="str">
        <x:v>CABIN</x:v>
      </x:c>
      <x:c r="D15" s="410" t="str">
        <x:v>生态与电源接口差</x:v>
      </x:c>
      <x:c r="E15" s="410" t="str">
        <x:v>CABIN_PORTS_DELTA</x:v>
      </x:c>
      <x:c r="F15" s="410" t="str">
        <x:v>N90 12生态/14电源；N70未披露</x:v>
      </x:c>
      <x:c r="G15" s="410" t="str">
        <x:v>接口模组/线束工程区间</x:v>
      </x:c>
      <x:c r="H15" s="410" t="str">
        <x:v>NO</x:v>
      </x:c>
      <x:c r="I15" s="410" t="str">
        <x:v>P_CABIN_PORTS</x:v>
      </x:c>
      <x:c r="J15" s="415" t="n">
        <x:f>'67_成本参数'!D31</x:f>
        <x:v>150</x:v>
      </x:c>
      <x:c r="K15" s="415" t="n">
        <x:f>'67_成本参数'!E31</x:f>
        <x:v>300</x:v>
      </x:c>
      <x:c r="L15" s="415" t="n">
        <x:f>'67_成本参数'!F31</x:f>
        <x:v>800</x:v>
      </x:c>
      <x:c r="M15" s="410" t="n">
        <x:v>0</x:v>
      </x:c>
      <x:c r="N15" s="410" t="n">
        <x:v>1</x:v>
      </x:c>
      <x:c r="O15" s="410" t="n">
        <x:v>1</x:v>
      </x:c>
      <x:c r="P15" s="415" t="n">
        <x:f>J15*M15</x:f>
        <x:v>0</x:v>
      </x:c>
      <x:c r="Q15" s="415" t="n">
        <x:f>K15*N15</x:f>
        <x:v>300</x:v>
      </x:c>
      <x:c r="R15" s="415" t="n">
        <x:f>L15*O15</x:f>
        <x:v>800</x:v>
      </x:c>
      <x:c r="S15" s="410" t="str">
        <x:v>CONDITIONAL</x:v>
      </x:c>
      <x:c r="T15" s="410" t="str">
        <x:v>不含220V</x:v>
      </x:c>
      <x:c r="U15" s="410" t="n">
        <x:f>COUNTIF($E$6:$E$21,E15)</x:f>
        <x:v>1</x:v>
      </x:c>
      <x:c r="V15" s="410" t="n">
        <x:f>IF(AND(P15&lt;=Q15,Q15&lt;=R15),0,1)</x:f>
        <x:v>0</x:v>
      </x:c>
    </x:row>
    <x:row r="16" ht="58" customHeight="1">
      <x:c r="A16" s="19" t="str">
        <x:v>B32B-011</x:v>
      </x:c>
      <x:c r="B16" s="19" t="str">
        <x:v>CONDITIONAL_N70_UNDISCLOSED</x:v>
      </x:c>
      <x:c r="C16" s="19" t="str">
        <x:v>CABIN</x:v>
      </x:c>
      <x:c r="D16" s="19" t="str">
        <x:v>车内220V</x:v>
      </x:c>
      <x:c r="E16" s="19" t="str">
        <x:v>CABIN_220V_DELTA</x:v>
      </x:c>
      <x:c r="F16" s="19" t="str">
        <x:v>N90披露；N70未披露</x:v>
      </x:c>
      <x:c r="G16" s="19" t="str">
        <x:v>逆变/插座局部增量工程区间</x:v>
      </x:c>
      <x:c r="H16" s="19" t="str">
        <x:v>NO</x:v>
      </x:c>
      <x:c r="I16" s="19" t="str">
        <x:v>P_CABIN_220V</x:v>
      </x:c>
      <x:c r="J16" s="414" t="n">
        <x:f>'67_成本参数'!D32</x:f>
        <x:v>150</x:v>
      </x:c>
      <x:c r="K16" s="414" t="n">
        <x:f>'67_成本参数'!E32</x:f>
        <x:v>250</x:v>
      </x:c>
      <x:c r="L16" s="414" t="n">
        <x:f>'67_成本参数'!F32</x:f>
        <x:v>500</x:v>
      </x:c>
      <x:c r="M16" s="19" t="n">
        <x:v>0</x:v>
      </x:c>
      <x:c r="N16" s="19" t="n">
        <x:v>1</x:v>
      </x:c>
      <x:c r="O16" s="19" t="n">
        <x:v>1</x:v>
      </x:c>
      <x:c r="P16" s="414" t="n">
        <x:f>J16*M16</x:f>
        <x:v>0</x:v>
      </x:c>
      <x:c r="Q16" s="414" t="n">
        <x:f>K16*N16</x:f>
        <x:v>250</x:v>
      </x:c>
      <x:c r="R16" s="414" t="n">
        <x:f>L16*O16</x:f>
        <x:v>500</x:v>
      </x:c>
      <x:c r="S16" s="19" t="str">
        <x:v>CONDITIONAL</x:v>
      </x:c>
      <x:c r="T16" s="19" t="str">
        <x:v>不重复整套V2L与Flyback</x:v>
      </x:c>
      <x:c r="U16" s="19" t="n">
        <x:f>COUNTIF($E$6:$E$21,E16)</x:f>
        <x:v>1</x:v>
      </x:c>
      <x:c r="V16" s="19" t="n">
        <x:f>IF(AND(P16&lt;=Q16,Q16&lt;=R16),0,1)</x:f>
        <x:v>0</x:v>
      </x:c>
    </x:row>
    <x:row r="17" ht="58" customHeight="1">
      <x:c r="A17" s="410" t="str">
        <x:v>B32B-012</x:v>
      </x:c>
      <x:c r="B17" s="410" t="str">
        <x:v>CONDITIONAL_N70_UNDISCLOSED</x:v>
      </x:c>
      <x:c r="C17" s="410" t="str">
        <x:v>CHASSIS</x:v>
      </x:c>
      <x:c r="D17" s="410" t="str">
        <x:v>4个液压衬套</x:v>
      </x:c>
      <x:c r="E17" s="410" t="str">
        <x:v>HYDRAULIC_BUSHING_DELTA</x:v>
      </x:c>
      <x:c r="F17" s="410" t="str">
        <x:v>N90披露；N70未披露</x:v>
      </x:c>
      <x:c r="G17" s="410" t="str">
        <x:v>衬套净差工程区间</x:v>
      </x:c>
      <x:c r="H17" s="410" t="str">
        <x:v>NO</x:v>
      </x:c>
      <x:c r="I17" s="410" t="str">
        <x:v>P_HYDRAULIC_BUSH</x:v>
      </x:c>
      <x:c r="J17" s="415" t="n">
        <x:f>'67_成本参数'!D33</x:f>
        <x:v>150</x:v>
      </x:c>
      <x:c r="K17" s="415" t="n">
        <x:f>'67_成本参数'!E33</x:f>
        <x:v>300</x:v>
      </x:c>
      <x:c r="L17" s="415" t="n">
        <x:f>'67_成本参数'!F33</x:f>
        <x:v>600</x:v>
      </x:c>
      <x:c r="M17" s="410" t="n">
        <x:v>0</x:v>
      </x:c>
      <x:c r="N17" s="410" t="n">
        <x:v>1</x:v>
      </x:c>
      <x:c r="O17" s="410" t="n">
        <x:v>1</x:v>
      </x:c>
      <x:c r="P17" s="415" t="n">
        <x:f>J17*M17</x:f>
        <x:v>0</x:v>
      </x:c>
      <x:c r="Q17" s="415" t="n">
        <x:f>K17*N17</x:f>
        <x:v>300</x:v>
      </x:c>
      <x:c r="R17" s="415" t="n">
        <x:f>L17*O17</x:f>
        <x:v>600</x:v>
      </x:c>
      <x:c r="S17" s="410" t="str">
        <x:v>CONDITIONAL</x:v>
      </x:c>
      <x:c r="T17" s="410" t="str">
        <x:v>不重复前双叉臂/后多连杆基础结构</x:v>
      </x:c>
      <x:c r="U17" s="410" t="n">
        <x:f>COUNTIF($E$6:$E$21,E17)</x:f>
        <x:v>1</x:v>
      </x:c>
      <x:c r="V17" s="410" t="n">
        <x:f>IF(AND(P17&lt;=Q17,Q17&lt;=R17),0,1)</x:f>
        <x:v>0</x:v>
      </x:c>
    </x:row>
    <x:row r="18" ht="58" customHeight="1">
      <x:c r="A18" s="19" t="str">
        <x:v>B32B-013</x:v>
      </x:c>
      <x:c r="B18" s="19" t="str">
        <x:v>CONDITIONAL_N70_UNDISCLOSED</x:v>
      </x:c>
      <x:c r="C18" s="19" t="str">
        <x:v>CHASSIS</x:v>
      </x:c>
      <x:c r="D18" s="19" t="str">
        <x:v>255/265宽胎规格差</x:v>
      </x:c>
      <x:c r="E18" s="19" t="str">
        <x:v>TIRE_WHEEL_DELTA</x:v>
      </x:c>
      <x:c r="F18" s="19" t="str">
        <x:v>N90固定21英寸；N70仅有19/21准入允许集</x:v>
      </x:c>
      <x:c r="G18" s="19" t="str">
        <x:v>规格净差工程区间</x:v>
      </x:c>
      <x:c r="H18" s="19" t="str">
        <x:v>NO</x:v>
      </x:c>
      <x:c r="I18" s="19" t="str">
        <x:v>P_TIRE_WHEEL</x:v>
      </x:c>
      <x:c r="J18" s="414" t="n">
        <x:f>'67_成本参数'!D34</x:f>
        <x:v>100</x:v>
      </x:c>
      <x:c r="K18" s="414" t="n">
        <x:f>'67_成本参数'!E34</x:f>
        <x:v>200</x:v>
      </x:c>
      <x:c r="L18" s="414" t="n">
        <x:f>'67_成本参数'!F34</x:f>
        <x:v>500</x:v>
      </x:c>
      <x:c r="M18" s="19" t="n">
        <x:v>0</x:v>
      </x:c>
      <x:c r="N18" s="19" t="n">
        <x:v>1</x:v>
      </x:c>
      <x:c r="O18" s="19" t="n">
        <x:v>1</x:v>
      </x:c>
      <x:c r="P18" s="414" t="n">
        <x:f>J18*M18</x:f>
        <x:v>0</x:v>
      </x:c>
      <x:c r="Q18" s="414" t="n">
        <x:f>K18*N18</x:f>
        <x:v>200</x:v>
      </x:c>
      <x:c r="R18" s="414" t="n">
        <x:f>L18*O18</x:f>
        <x:v>500</x:v>
      </x:c>
      <x:c r="S18" s="19" t="str">
        <x:v>CONDITIONAL</x:v>
      </x:c>
      <x:c r="T18" s="19" t="str">
        <x:v>不计整套21英寸绝对成本；造型选择属于选装池</x:v>
      </x:c>
      <x:c r="U18" s="19" t="n">
        <x:f>COUNTIF($E$6:$E$21,E18)</x:f>
        <x:v>1</x:v>
      </x:c>
      <x:c r="V18" s="19" t="n">
        <x:f>IF(AND(P18&lt;=Q18,Q18&lt;=R18),0,1)</x:f>
        <x:v>0</x:v>
      </x:c>
    </x:row>
    <x:row r="19" ht="58" customHeight="1">
      <x:c r="A19" s="410" t="str">
        <x:v>B32B-014</x:v>
      </x:c>
      <x:c r="B19" s="410" t="str">
        <x:v>CONDITIONAL_N70_UNDISCLOSED</x:v>
      </x:c>
      <x:c r="C19" s="410" t="str">
        <x:v>SAFETY</x:v>
      </x:c>
      <x:c r="D19" s="410" t="str">
        <x:v>12气囊约束系统差异</x:v>
      </x:c>
      <x:c r="E19" s="410" t="str">
        <x:v>RESTRAINT_DELTA</x:v>
      </x:c>
      <x:c r="F19" s="410" t="str">
        <x:v>N90 12气囊；N70数量未披露</x:v>
      </x:c>
      <x:c r="G19" s="410" t="str">
        <x:v>100/140/180元单元×条件数量差</x:v>
      </x:c>
      <x:c r="H19" s="410" t="str">
        <x:v>NO</x:v>
      </x:c>
      <x:c r="I19" s="410" t="str">
        <x:v>P_RESTRAINT</x:v>
      </x:c>
      <x:c r="J19" s="415" t="n">
        <x:f>'67_成本参数'!D35</x:f>
        <x:v>100</x:v>
      </x:c>
      <x:c r="K19" s="415" t="n">
        <x:f>'67_成本参数'!E35</x:f>
        <x:v>280</x:v>
      </x:c>
      <x:c r="L19" s="415" t="n">
        <x:f>'67_成本参数'!F35</x:f>
        <x:v>720</x:v>
      </x:c>
      <x:c r="M19" s="410" t="n">
        <x:v>0</x:v>
      </x:c>
      <x:c r="N19" s="410" t="n">
        <x:v>1</x:v>
      </x:c>
      <x:c r="O19" s="410" t="n">
        <x:v>1</x:v>
      </x:c>
      <x:c r="P19" s="415" t="n">
        <x:f>J19*M19</x:f>
        <x:v>0</x:v>
      </x:c>
      <x:c r="Q19" s="415" t="n">
        <x:f>K19*N19</x:f>
        <x:v>280</x:v>
      </x:c>
      <x:c r="R19" s="415" t="n">
        <x:f>L19*O19</x:f>
        <x:v>720</x:v>
      </x:c>
      <x:c r="S19" s="410" t="str">
        <x:v>CONDITIONAL</x:v>
      </x:c>
      <x:c r="T19" s="410" t="str">
        <x:v>基础座椅安全带已在座椅架构；此处只计可能的气囊净差</x:v>
      </x:c>
      <x:c r="U19" s="410" t="n">
        <x:f>COUNTIF($E$6:$E$21,E19)</x:f>
        <x:v>1</x:v>
      </x:c>
      <x:c r="V19" s="410" t="n">
        <x:f>IF(AND(P19&lt;=Q19,Q19&lt;=R19),0,1)</x:f>
        <x:v>0</x:v>
      </x:c>
    </x:row>
    <x:row r="20" ht="58" customHeight="1">
      <x:c r="A20" s="19" t="str">
        <x:v>B32B-015</x:v>
      </x:c>
      <x:c r="B20" s="19" t="str">
        <x:v>CONDITIONAL_N70_UNDISCLOSED</x:v>
      </x:c>
      <x:c r="C20" s="19" t="str">
        <x:v>ELECTRONICS</x:v>
      </x:c>
      <x:c r="D20" s="19" t="str">
        <x:v>双5G/Wi-Fi7通信差</x:v>
      </x:c>
      <x:c r="E20" s="19" t="str">
        <x:v>CONNECTIVITY_DELTA</x:v>
      </x:c>
      <x:c r="F20" s="19" t="str">
        <x:v>N90严格事实；N70未披露</x:v>
      </x:c>
      <x:c r="G20" s="19" t="str">
        <x:v>通信模组/天线净差工程区间</x:v>
      </x:c>
      <x:c r="H20" s="19" t="str">
        <x:v>NO</x:v>
      </x:c>
      <x:c r="I20" s="19" t="str">
        <x:v>P_CONNECTIVITY</x:v>
      </x:c>
      <x:c r="J20" s="414" t="n">
        <x:f>'67_成本参数'!D36</x:f>
        <x:v>150</x:v>
      </x:c>
      <x:c r="K20" s="414" t="n">
        <x:f>'67_成本参数'!E36</x:f>
        <x:v>300</x:v>
      </x:c>
      <x:c r="L20" s="414" t="n">
        <x:f>'67_成本参数'!F36</x:f>
        <x:v>700</x:v>
      </x:c>
      <x:c r="M20" s="19" t="n">
        <x:v>0</x:v>
      </x:c>
      <x:c r="N20" s="19" t="n">
        <x:v>1</x:v>
      </x:c>
      <x:c r="O20" s="19" t="n">
        <x:v>1</x:v>
      </x:c>
      <x:c r="P20" s="414" t="n">
        <x:f>J20*M20</x:f>
        <x:v>0</x:v>
      </x:c>
      <x:c r="Q20" s="414" t="n">
        <x:f>K20*N20</x:f>
        <x:v>300</x:v>
      </x:c>
      <x:c r="R20" s="414" t="n">
        <x:f>L20*O20</x:f>
        <x:v>700</x:v>
      </x:c>
      <x:c r="S20" s="19" t="str">
        <x:v>CONDITIONAL</x:v>
      </x:c>
      <x:c r="T20" s="19" t="str">
        <x:v>不把Flyback或整套中央架构绝对成本新增</x:v>
      </x:c>
      <x:c r="U20" s="19" t="n">
        <x:f>COUNTIF($E$6:$E$21,E20)</x:f>
        <x:v>1</x:v>
      </x:c>
      <x:c r="V20" s="19" t="n">
        <x:f>IF(AND(P20&lt;=Q20,Q20&lt;=R20),0,1)</x:f>
        <x:v>0</x:v>
      </x:c>
    </x:row>
    <x:row r="21" ht="58" customHeight="1">
      <x:c r="A21" s="410" t="str">
        <x:v>B32B-016</x:v>
      </x:c>
      <x:c r="B21" s="410" t="str">
        <x:v>CONDITIONAL_N70_UNDISCLOSED</x:v>
      </x:c>
      <x:c r="C21" s="410" t="str">
        <x:v>ADAS</x:v>
      </x:c>
      <x:c r="D21" s="410" t="str">
        <x:v>后向固态激光雷达</x:v>
      </x:c>
      <x:c r="E21" s="410" t="str">
        <x:v>ADAS_LIDAR_1</x:v>
      </x:c>
      <x:c r="F21" s="410" t="str">
        <x:v>N90章节作用域候选；N70未披露</x:v>
      </x:c>
      <x:c r="G21" s="410" t="str">
        <x:v>Phase2.1B单颗激光雷达量级</x:v>
      </x:c>
      <x:c r="H21" s="410" t="str">
        <x:v>NO</x:v>
      </x:c>
      <x:c r="I21" s="410" t="str">
        <x:v>P_REAR_LIDAR</x:v>
      </x:c>
      <x:c r="J21" s="415" t="n">
        <x:f>'67_成本参数'!D37</x:f>
        <x:v>1200</x:v>
      </x:c>
      <x:c r="K21" s="415" t="n">
        <x:f>'67_成本参数'!E37</x:f>
        <x:v>1500</x:v>
      </x:c>
      <x:c r="L21" s="415" t="n">
        <x:f>'67_成本参数'!F37</x:f>
        <x:v>1900</x:v>
      </x:c>
      <x:c r="M21" s="410" t="n">
        <x:v>0</x:v>
      </x:c>
      <x:c r="N21" s="410" t="n">
        <x:v>1</x:v>
      </x:c>
      <x:c r="O21" s="410" t="n">
        <x:v>1</x:v>
      </x:c>
      <x:c r="P21" s="415" t="n">
        <x:f>J21*M21</x:f>
        <x:v>0</x:v>
      </x:c>
      <x:c r="Q21" s="415" t="n">
        <x:f>K21*N21</x:f>
        <x:v>1500</x:v>
      </x:c>
      <x:c r="R21" s="415" t="n">
        <x:f>L21*O21</x:f>
        <x:v>1900</x:v>
      </x:c>
      <x:c r="S21" s="410" t="str">
        <x:v>CONDITIONAL_SCOPE_AMBIGUOUS</x:v>
      </x:c>
      <x:c r="T21" s="410" t="str">
        <x:v>只计一颗；HAD/XLA/域控不重复；Low归零</x:v>
      </x:c>
      <x:c r="U21" s="410" t="n">
        <x:f>COUNTIF($E$6:$E$21,E21)</x:f>
        <x:v>1</x:v>
      </x:c>
      <x:c r="V21" s="410" t="n">
        <x:f>IF(AND(P21&lt;=Q21,Q21&lt;=R21),0,1)</x:f>
        <x:v>0</x:v>
      </x:c>
    </x:row>
    <x:row r="23" ht="24" customHeight="1">
      <x:c r="A23" s="413" t="str">
        <x:v>排除与零增量：不进入上述16条成本行</x:v>
      </x:c>
      <x:c r="B23" s="413"/>
      <x:c r="C23" s="413"/>
      <x:c r="D23" s="413"/>
      <x:c r="E23" s="413"/>
      <x:c r="F23" s="413"/>
      <x:c r="G23" s="413"/>
      <x:c r="H23" s="413"/>
      <x:c r="I23" s="413"/>
      <x:c r="J23" s="413"/>
      <x:c r="K23" s="413"/>
      <x:c r="L23" s="413"/>
      <x:c r="M23" s="413"/>
      <x:c r="N23" s="413"/>
      <x:c r="O23" s="413"/>
      <x:c r="P23" s="413"/>
      <x:c r="Q23" s="413"/>
      <x:c r="R23" s="413"/>
      <x:c r="S23" s="413"/>
      <x:c r="T23" s="413"/>
      <x:c r="U23" s="413"/>
      <x:c r="V23" s="413"/>
    </x:row>
    <x:row r="24" ht="44" customHeight="1">
      <x:c r="A24" s="409" t="str">
        <x:v>对象</x:v>
      </x:c>
      <x:c r="B24" s="409" t="str">
        <x:v>处理</x:v>
      </x:c>
      <x:c r="C24" s="409" t="str">
        <x:v>原因</x:v>
      </x:c>
      <x:c r="D24" s="409" t="str">
        <x:v>对象</x:v>
      </x:c>
      <x:c r="E24" s="409" t="str">
        <x:v>处理</x:v>
      </x:c>
      <x:c r="F24" s="409" t="str">
        <x:v>原因</x:v>
      </x:c>
      <x:c r="G24" t="str"/>
      <x:c r="H24" t="str"/>
      <x:c r="I24" t="str"/>
      <x:c r="J24" t="str"/>
      <x:c r="K24" t="str"/>
      <x:c r="L24" t="str"/>
      <x:c r="M24" t="str"/>
      <x:c r="N24" t="str"/>
      <x:c r="O24" t="str"/>
      <x:c r="P24" t="str"/>
      <x:c r="Q24" t="str"/>
      <x:c r="R24" t="str"/>
      <x:c r="S24" t="str"/>
      <x:c r="T24" t="str"/>
      <x:c r="U24" t="str"/>
      <x:c r="V24" t="str"/>
    </x:row>
    <x:row r="25" ht="52" customHeight="1">
      <x:c r="A25" s="19" t="str">
        <x:v>76kWh/NCM/400kg整包</x:v>
      </x:c>
      <x:c r="B25" s="19" t="str">
        <x:v>BASE_ZERO_CANDIDATE</x:v>
      </x:c>
      <x:c r="C25" s="19" t="str">
        <x:v>工程同源候选；若App反证则重开</x:v>
      </x:c>
      <x:c r="D25" s="19" t="str">
        <x:v>310kW双电驱</x:v>
      </x:c>
      <x:c r="E25" s="19" t="str">
        <x:v>BASE_ZERO_CANDIDATE</x:v>
      </x:c>
      <x:c r="F25" s="19" t="str">
        <x:v>同210+100kW；不计绝对总成</x:v>
      </x:c>
    </x:row>
    <x:row r="26" ht="52" customHeight="1">
      <x:c r="A26" s="410" t="str">
        <x:v>M15DRE增程器</x:v>
      </x:c>
      <x:c r="B26" s="410" t="str">
        <x:v>BASE_ZERO_CANDIDATE</x:v>
      </x:c>
      <x:c r="C26" s="410" t="str">
        <x:v>同型号/排量/净功率</x:v>
      </x:c>
      <x:c r="D26" s="410" t="str">
        <x:v>空气悬架+CDC</x:v>
      </x:c>
      <x:c r="E26" s="410" t="str">
        <x:v>BASE_ZERO_CANDIDATE</x:v>
      </x:c>
      <x:c r="F26" s="410" t="str">
        <x:v>不重复整套成本</x:v>
      </x:c>
    </x:row>
    <x:row r="27" ht="52" customHeight="1">
      <x:c r="A27" s="19" t="str">
        <x:v>HAD/XLA/域控</x:v>
      </x:c>
      <x:c r="B27" s="19" t="str">
        <x:v>SYSTEM_ZERO</x:v>
      </x:c>
      <x:c r="C27" s="19" t="str">
        <x:v>共用系统根；后向雷达只计一次</x:v>
      </x:c>
      <x:c r="D27" s="19" t="str">
        <x:v>涉水模式/2雷达</x:v>
      </x:c>
      <x:c r="E27" s="19" t="str">
        <x:v>SYSTEM_ZERO</x:v>
      </x:c>
      <x:c r="F27" s="19" t="str">
        <x:v>性能深度不同不单独计成本</x:v>
      </x:c>
    </x:row>
    <x:row r="28" ht="52" customHeight="1">
      <x:c r="A28" s="410" t="str">
        <x:v>车身安全/门环</x:v>
      </x:c>
      <x:c r="B28" s="410" t="str">
        <x:v>ABSORBED_BODY_SCALE</x:v>
      </x:c>
      <x:c r="C28" s="410" t="str">
        <x:v>加长/加强结构已并入BODY_SCALE</x:v>
      </x:c>
      <x:c r="D28" s="410" t="str">
        <x:v>60L油箱/V2L/Flyback</x:v>
      </x:c>
      <x:c r="E28" s="410" t="str">
        <x:v>HOLD_ZERO</x:v>
      </x:c>
      <x:c r="F28" s="410" t="str">
        <x:v>N70未披露，不按整套绝对成本新增</x:v>
      </x:c>
    </x:row>
    <x:row r="29" ht="52" customHeight="1">
      <x:c r="A29" s="19" t="str">
        <x:v>6项选装</x:v>
      </x:c>
      <x:c r="B29" s="19" t="str">
        <x:v>EXCLUDED</x:v>
      </x:c>
      <x:c r="C29" s="19" t="str">
        <x:v>不进基础BOM；价格未发布</x:v>
      </x:c>
      <x:c r="D29" s="19" t="str">
        <x:v>6项另购附件</x:v>
      </x:c>
      <x:c r="E29" s="19" t="str">
        <x:v>EXCLUDED</x:v>
      </x:c>
      <x:c r="F29" s="19" t="str">
        <x:v>整车BOM永久分离</x:v>
      </x:c>
    </x:row>
    <x:row r="30" ht="52" customHeight="1">
      <x:c r="A30" s="410" t="str">
        <x:v>续航/油耗/加速/空间</x:v>
      </x:c>
      <x:c r="B30" s="410" t="str">
        <x:v>METRIC_ONLY</x:v>
      </x:c>
      <x:c r="C30" s="410" t="str">
        <x:v>仅校验，不能单独计价</x:v>
      </x:c>
      <x:c r="D30" s="410" t="str">
        <x:v>固定跨系常数/层级项</x:v>
      </x:c>
      <x:c r="E30" s="410" t="str">
        <x:v>WEIGHT_ZERO</x:v>
      </x:c>
      <x:c r="F30" s="410" t="str">
        <x:v>禁止用残余回填BOM</x:v>
      </x:c>
    </x:row>
  </x:sheetData>
  <x:mergeCells>
    <x:mergeCell ref="A1:V1"/>
    <x:mergeCell ref="A2:V2"/>
    <x:mergeCell ref="A3:V3"/>
    <x:mergeCell ref="A23:V23"/>
  </x:mergeCells>
  <x:conditionalFormatting sqref="B6:S21">
    <x:cfRule type="containsText" dxfId="1294" priority="1" operator="containsText" text="PASS"/>
    <x:cfRule type="containsText" dxfId="1295" priority="2" operator="containsText" text="READY"/>
    <x:cfRule type="containsText" dxfId="1296" priority="3" operator="containsText" text="TRUE"/>
    <x:cfRule type="containsText" dxfId="1297" priority="4" operator="containsText" text="CORE"/>
    <x:cfRule type="containsText" dxfId="1298" priority="5" operator="containsText" text="LOCKED"/>
    <x:cfRule type="containsText" dxfId="1299" priority="6" operator="containsText" text="ZERO_DELTA"/>
    <x:cfRule type="containsText" dxfId="1300" priority="7" operator="containsText" text="CONDITIONAL"/>
    <x:cfRule type="containsText" dxfId="1301" priority="8" operator="containsText" text="PROVISIONAL"/>
    <x:cfRule type="containsText" dxfId="1302" priority="9" operator="containsText" text="HOLD"/>
    <x:cfRule type="containsText" dxfId="1303" priority="10" operator="containsText" text="NOT_DISCLOSED"/>
    <x:cfRule type="containsText" dxfId="1304" priority="11" operator="containsText" text="BLOCKED"/>
    <x:cfRule type="containsText" dxfId="1305" priority="12" operator="containsText" text="FAIL"/>
    <x:cfRule type="containsText" dxfId="1306" priority="13" operator="containsText" text="FALSE"/>
    <x:cfRule type="containsText" dxfId="1307" priority="14" operator="containsText" text="EXCLUDED"/>
    <x:cfRule type="containsText" dxfId="1308" priority="15" operator="containsText" text="OPTION"/>
  </x:conditionalFormatting>
  <x:conditionalFormatting sqref="B25:E30">
    <x:cfRule type="containsText" dxfId="1309" priority="16" operator="containsText" text="PASS"/>
    <x:cfRule type="containsText" dxfId="1310" priority="17" operator="containsText" text="READY"/>
    <x:cfRule type="containsText" dxfId="1311" priority="18" operator="containsText" text="TRUE"/>
    <x:cfRule type="containsText" dxfId="1312" priority="19" operator="containsText" text="CORE"/>
    <x:cfRule type="containsText" dxfId="1313" priority="20" operator="containsText" text="LOCKED"/>
    <x:cfRule type="containsText" dxfId="1314" priority="21" operator="containsText" text="ZERO_DELTA"/>
    <x:cfRule type="containsText" dxfId="1315" priority="22" operator="containsText" text="CONDITIONAL"/>
    <x:cfRule type="containsText" dxfId="1316" priority="23" operator="containsText" text="PROVISIONAL"/>
    <x:cfRule type="containsText" dxfId="1317" priority="24" operator="containsText" text="HOLD"/>
    <x:cfRule type="containsText" dxfId="1318" priority="25" operator="containsText" text="NOT_DISCLOSED"/>
    <x:cfRule type="containsText" dxfId="1319" priority="26" operator="containsText" text="BLOCKED"/>
    <x:cfRule type="containsText" dxfId="1320" priority="27" operator="containsText" text="FAIL"/>
    <x:cfRule type="containsText" dxfId="1321" priority="28" operator="containsText" text="FALSE"/>
    <x:cfRule type="containsText" dxfId="1322" priority="29" operator="containsText" text="EXCLUDED"/>
    <x:cfRule type="containsText" dxfId="1323" priority="30" operator="containsText" text="OPTION"/>
  </x:conditionalFormatting>
  <x:pageMargins left="0.7" right="0.7" top="0.75" bottom="0.75" header="0.3" footer="0.3"/>
</x:worksheet>
</file>

<file path=xl/worksheets/sheet7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34" hidden="0" customWidth="1"/>
    <x:col min="3" max="3" width="16" hidden="0" customWidth="1"/>
    <x:col min="4" max="4" width="16" hidden="0" customWidth="1"/>
    <x:col min="5" max="5" width="16" hidden="0" customWidth="1"/>
    <x:col min="6" max="6" width="14" hidden="0" customWidth="1"/>
    <x:col min="7" max="7" width="46" hidden="0" customWidth="1"/>
    <x:col min="8" max="8" width="32" hidden="0" customWidth="1"/>
    <x:col min="9" max="9" width="14" hidden="0" customWidth="1"/>
    <x:col min="10" max="10" width="14" hidden="0" customWidth="1"/>
    <x:col min="11" max="11" width="14" hidden="0" customWidth="1"/>
  </x:cols>
  <x:sheetData>
    <x:row r="1" ht="30" customHeight="1">
      <x:c r="A1" s="397" t="str">
        <x:v>69｜增量成本与价格传导情景汇总</x:v>
      </x:c>
      <x:c r="B1" s="397"/>
      <x:c r="C1" s="397"/>
      <x:c r="D1" s="397"/>
      <x:c r="E1" s="397"/>
      <x:c r="F1" s="397"/>
      <x:c r="G1" s="397"/>
      <x:c r="H1" s="397"/>
      <x:c r="I1" s="397"/>
      <x:c r="J1" s="397"/>
      <x:c r="K1" s="397"/>
    </x:row>
    <x:row r="2" ht="22" customHeight="1">
      <x:c r="A2" s="400" t="str">
        <x:v>物理BOM → 制造/质保覆盖 → 增量成本 → κ未税价格解释 → 末端VAT</x:v>
      </x:c>
      <x:c r="B2" s="400"/>
      <x:c r="C2" s="400"/>
      <x:c r="D2" s="400"/>
      <x:c r="E2" s="400"/>
      <x:c r="F2" s="400"/>
      <x:c r="G2" s="400"/>
      <x:c r="H2" s="400"/>
      <x:c r="I2" s="400"/>
      <x:c r="J2" s="400"/>
      <x:c r="K2" s="400"/>
    </x:row>
    <x:row r="3" ht="62" customHeight="1">
      <x:c r="A3" s="404" t="str">
        <x:v>核心中值物理BOM约0.55万元，条件池约0.70万元；制造与质保后增量成本约1.30万元。所有数值均由68表公式汇总，未引用259900、299900或40000元。</x:v>
      </x:c>
      <x:c r="B3" s="404"/>
      <x:c r="C3" s="404"/>
      <x:c r="D3" s="404"/>
      <x:c r="E3" s="404"/>
      <x:c r="F3" s="404"/>
      <x:c r="G3" s="404"/>
      <x:c r="H3" s="404"/>
      <x:c r="I3" s="404"/>
      <x:c r="J3" s="404"/>
      <x:c r="K3" s="404"/>
    </x:row>
    <x:row r="5" ht="44" customHeight="1">
      <x:c r="A5" s="409" t="str">
        <x:v>metric_id</x:v>
      </x:c>
      <x:c r="B5" s="409" t="str">
        <x:v>指标</x:v>
      </x:c>
      <x:c r="C5" s="409" t="str">
        <x:v>Low</x:v>
      </x:c>
      <x:c r="D5" s="409" t="str">
        <x:v>Mid</x:v>
      </x:c>
      <x:c r="E5" s="409" t="str">
        <x:v>High</x:v>
      </x:c>
      <x:c r="F5" s="409" t="str">
        <x:v>单位</x:v>
      </x:c>
      <x:c r="G5" s="409" t="str">
        <x:v>公式/定义</x:v>
      </x:c>
      <x:c r="H5" s="409" t="str">
        <x:v>状态</x:v>
      </x:c>
    </x:row>
    <x:row r="6" ht="46" customHeight="1">
      <x:c r="A6" s="19" t="str">
        <x:v>S32B-01</x:v>
      </x:c>
      <x:c r="B6" s="19" t="str">
        <x:v>硬结构核心物理BOM</x:v>
      </x:c>
      <x:c r="C6" s="414" t="n">
        <x:f>SUMIFS('68_增量BOM'!$P$6:$P$21,'68_增量BOM'!$B$6:$B$21,"CORE_HARD_STRUCTURE")</x:f>
        <x:v>2900</x:v>
      </x:c>
      <x:c r="D6" s="414" t="n">
        <x:f>SUMIFS('68_增量BOM'!$Q$6:$Q$21,'68_增量BOM'!$B$6:$B$21,"CORE_HARD_STRUCTURE")</x:f>
        <x:v>5500</x:v>
      </x:c>
      <x:c r="E6" s="414" t="n">
        <x:f>SUMIFS('68_增量BOM'!$R$6:$R$21,'68_增量BOM'!$B$6:$B$21,"CORE_HARD_STRUCTURE")</x:f>
        <x:v>10100</x:v>
      </x:c>
      <x:c r="F6" s="19" t="str">
        <x:v>元/车</x:v>
      </x:c>
      <x:c r="G6" s="19" t="str">
        <x:v>车身+座椅架构+三排温控</x:v>
      </x:c>
      <x:c r="H6" s="19" t="str">
        <x:v>CORE_IDENTIFIED</x:v>
      </x:c>
    </x:row>
    <x:row r="7" ht="46" customHeight="1">
      <x:c r="A7" s="410" t="str">
        <x:v>S32B-02</x:v>
      </x:c>
      <x:c r="B7" s="410" t="str">
        <x:v>N70未披露条件池物理BOM</x:v>
      </x:c>
      <x:c r="C7" s="415" t="n">
        <x:f>SUMIFS('68_增量BOM'!$P$6:$P$21,'68_增量BOM'!$B$6:$B$21,"CONDITIONAL_N70_UNDISCLOSED")</x:f>
        <x:v>0</x:v>
      </x:c>
      <x:c r="D7" s="415" t="n">
        <x:f>SUMIFS('68_增量BOM'!$Q$6:$Q$21,'68_增量BOM'!$B$6:$B$21,"CONDITIONAL_N70_UNDISCLOSED")</x:f>
        <x:v>7030</x:v>
      </x:c>
      <x:c r="E7" s="415" t="n">
        <x:f>SUMIFS('68_增量BOM'!$R$6:$R$21,'68_增量BOM'!$B$6:$B$21,"CONDITIONAL_N70_UNDISCLOSED")</x:f>
        <x:v>13470</x:v>
      </x:c>
      <x:c r="F7" s="410" t="str">
        <x:v>元/车</x:v>
      </x:c>
      <x:c r="G7" s="410" t="str">
        <x:v>N90披露/N70未披露；Low=0</x:v>
      </x:c>
      <x:c r="H7" s="410" t="str">
        <x:v>CONDITIONAL</x:v>
      </x:c>
    </x:row>
    <x:row r="8" ht="46" customHeight="1">
      <x:c r="A8" s="19" t="str">
        <x:v>S32B-03</x:v>
      </x:c>
      <x:c r="B8" s="19" t="str">
        <x:v>物理BOM合计</x:v>
      </x:c>
      <x:c r="C8" s="414" t="n">
        <x:f>C6+C7</x:f>
        <x:v>2900</x:v>
      </x:c>
      <x:c r="D8" s="414" t="n">
        <x:f>D6+D7</x:f>
        <x:v>12530</x:v>
      </x:c>
      <x:c r="E8" s="414" t="n">
        <x:f>E6+E7</x:f>
        <x:v>23570</x:v>
      </x:c>
      <x:c r="F8" s="19" t="str">
        <x:v>元/车</x:v>
      </x:c>
      <x:c r="G8" s="19" t="str">
        <x:v>核心+条件池</x:v>
      </x:c>
      <x:c r="H8" s="19" t="str">
        <x:v>PROVISIONAL</x:v>
      </x:c>
    </x:row>
    <x:row r="9" ht="46" customHeight="1">
      <x:c r="A9" s="410" t="str">
        <x:v>S32B-04</x:v>
      </x:c>
      <x:c r="B9" s="410" t="str">
        <x:v>制造复杂度覆盖M09</x:v>
      </x:c>
      <x:c r="C9" s="415" t="n">
        <x:f>ROUND(C8*'67_成本参数'!D19,0)</x:f>
        <x:v>29</x:v>
      </x:c>
      <x:c r="D9" s="415" t="n">
        <x:f>ROUND(D8*'67_成本参数'!E19,0)</x:f>
        <x:v>251</x:v>
      </x:c>
      <x:c r="E9" s="415" t="n">
        <x:f>ROUND(E8*'67_成本参数'!F19,0)</x:f>
        <x:v>943</x:v>
      </x:c>
      <x:c r="F9" s="410" t="str">
        <x:v>元/车</x:v>
      </x:c>
      <x:c r="G9" s="410" t="str">
        <x:v>物理BOM×1%/2%/4%</x:v>
      </x:c>
      <x:c r="H9" s="410" t="str">
        <x:v>PROVISIONAL</x:v>
      </x:c>
    </x:row>
    <x:row r="10" ht="46" customHeight="1">
      <x:c r="A10" s="19" t="str">
        <x:v>S32B-05</x:v>
      </x:c>
      <x:c r="B10" s="19" t="str">
        <x:v>质保风险覆盖M10</x:v>
      </x:c>
      <x:c r="C10" s="414" t="n">
        <x:f>ROUND(C8*'67_成本参数'!D20,0)</x:f>
        <x:v>15</x:v>
      </x:c>
      <x:c r="D10" s="414" t="n">
        <x:f>ROUND(D8*'67_成本参数'!E20,0)</x:f>
        <x:v>188</x:v>
      </x:c>
      <x:c r="E10" s="414" t="n">
        <x:f>ROUND(E8*'67_成本参数'!F20,0)</x:f>
        <x:v>707</x:v>
      </x:c>
      <x:c r="F10" s="19" t="str">
        <x:v>元/车</x:v>
      </x:c>
      <x:c r="G10" s="19" t="str">
        <x:v>物理BOM×0.5%/1.5%/3%</x:v>
      </x:c>
      <x:c r="H10" s="19" t="str">
        <x:v>PROVISIONAL</x:v>
      </x:c>
    </x:row>
    <x:row r="11" ht="46" customHeight="1">
      <x:c r="A11" s="410" t="str">
        <x:v>S32B-06</x:v>
      </x:c>
      <x:c r="B11" s="410" t="str">
        <x:v>增量成本合计</x:v>
      </x:c>
      <x:c r="C11" s="415" t="n">
        <x:f>ROUND(C8+C9+C10,0)</x:f>
        <x:v>2944</x:v>
      </x:c>
      <x:c r="D11" s="415" t="n">
        <x:f>ROUND(D8+D9+D10,0)</x:f>
        <x:v>12969</x:v>
      </x:c>
      <x:c r="E11" s="415" t="n">
        <x:f>ROUND(E8+E9+E10,0)</x:f>
        <x:v>25220</x:v>
      </x:c>
      <x:c r="F11" s="410" t="str">
        <x:v>元/车</x:v>
      </x:c>
      <x:c r="G11" s="410" t="str">
        <x:v>物理BOM+M09+M10</x:v>
      </x:c>
      <x:c r="H11" s="410" t="str">
        <x:v>ENGINEERING_COST</x:v>
      </x:c>
    </x:row>
    <x:row r="12" ht="46" customHeight="1">
      <x:c r="A12" s="19" t="str">
        <x:v>S32B-07</x:v>
      </x:c>
      <x:c r="B12" s="19" t="str">
        <x:v>普通硬件传导κ</x:v>
      </x:c>
      <x:c r="C12" s="420" t="n">
        <x:f>'67_成本参数'!D21</x:f>
        <x:v>1.0254431631664882</x:v>
      </x:c>
      <x:c r="D12" s="420" t="n">
        <x:f>'67_成本参数'!E21</x:f>
        <x:v>1.0694836789414475</x:v>
      </x:c>
      <x:c r="E12" s="420" t="n">
        <x:f>'67_成本参数'!F21</x:f>
        <x:v>1.2206571280521978</x:v>
      </x:c>
      <x:c r="F12" s="19" t="str">
        <x:v>x</x:v>
      </x:c>
      <x:c r="G12" s="19" t="str">
        <x:v>Phase2.3C普通桥κ包络</x:v>
      </x:c>
      <x:c r="H12" s="19" t="str">
        <x:v>PROVISIONAL</x:v>
      </x:c>
    </x:row>
    <x:row r="13" ht="46" customHeight="1">
      <x:c r="A13" s="410" t="str">
        <x:v>S32B-08</x:v>
      </x:c>
      <x:c r="B13" s="410" t="str">
        <x:v>成本驱动未税价格解释</x:v>
      </x:c>
      <x:c r="C13" s="415" t="n">
        <x:f>ROUND(C11*C12,0)</x:f>
        <x:v>3019</x:v>
      </x:c>
      <x:c r="D13" s="415" t="n">
        <x:f>ROUND(D11*D12,0)</x:f>
        <x:v>13870</x:v>
      </x:c>
      <x:c r="E13" s="415" t="n">
        <x:f>ROUND(E11*E12,0)</x:f>
        <x:v>30785</x:v>
      </x:c>
      <x:c r="F13" s="410" t="str">
        <x:v>元/车</x:v>
      </x:c>
      <x:c r="G13" s="410" t="str">
        <x:v>增量成本×κ</x:v>
      </x:c>
      <x:c r="H13" s="410" t="str">
        <x:v>PROVISIONAL</x:v>
      </x:c>
    </x:row>
    <x:row r="14" ht="46" customHeight="1">
      <x:c r="A14" s="19" t="str">
        <x:v>S32B-09</x:v>
      </x:c>
      <x:c r="B14" s="19" t="str">
        <x:v>末端VAT</x:v>
      </x:c>
      <x:c r="C14" s="23" t="n">
        <x:f>'67_成本参数'!D22</x:f>
        <x:v>0.13</x:v>
      </x:c>
      <x:c r="D14" s="23" t="n">
        <x:f>'67_成本参数'!E22</x:f>
        <x:v>0.13</x:v>
      </x:c>
      <x:c r="E14" s="23" t="n">
        <x:f>'67_成本参数'!F22</x:f>
        <x:v>0.13</x:v>
      </x:c>
      <x:c r="F14" s="19" t="str">
        <x:v>%</x:v>
      </x:c>
      <x:c r="G14" s="19" t="str">
        <x:v>只在价格末端一次</x:v>
      </x:c>
      <x:c r="H14" s="19" t="str">
        <x:v>FIXED</x:v>
      </x:c>
    </x:row>
    <x:row r="15" ht="46" customHeight="1">
      <x:c r="A15" s="410" t="str">
        <x:v>S32B-10</x:v>
      </x:c>
      <x:c r="B15" s="410" t="str">
        <x:v>成本驱动含税价格解释</x:v>
      </x:c>
      <x:c r="C15" s="415" t="n">
        <x:f>ROUND(C13*(1+C14),0)</x:f>
        <x:v>3411</x:v>
      </x:c>
      <x:c r="D15" s="415" t="n">
        <x:f>ROUND(D13*(1+D14),0)</x:f>
        <x:v>15673</x:v>
      </x:c>
      <x:c r="E15" s="415" t="n">
        <x:f>ROUND(E13*(1+E14),0)</x:f>
        <x:v>34787</x:v>
      </x:c>
      <x:c r="F15" s="410" t="str">
        <x:v>元/车</x:v>
      </x:c>
      <x:c r="G15" s="410" t="str">
        <x:v>未税价格解释×(1+VAT)</x:v>
      </x:c>
      <x:c r="H15" s="410" t="str">
        <x:v>PRESALE_RECONCILIATION_INPUT</x:v>
      </x:c>
    </x:row>
    <x:row r="17" ht="24" customHeight="1">
      <x:c r="A17" s="413" t="str">
        <x:v>模块物理BOM拆分（未含M09/M10）</x:v>
      </x:c>
      <x:c r="B17" s="413"/>
      <x:c r="C17" s="413"/>
      <x:c r="D17" s="413"/>
      <x:c r="E17" s="413"/>
      <x:c r="F17" s="413"/>
      <x:c r="G17" s="413"/>
      <x:c r="H17" s="413"/>
    </x:row>
    <x:row r="18" ht="44" customHeight="1">
      <x:c r="A18" s="409" t="str">
        <x:v>模块</x:v>
      </x:c>
      <x:c r="B18" s="409" t="str">
        <x:v>Low</x:v>
      </x:c>
      <x:c r="C18" s="409" t="str">
        <x:v>Mid</x:v>
      </x:c>
      <x:c r="D18" s="409" t="str">
        <x:v>High</x:v>
      </x:c>
      <x:c r="E18" s="409" t="str">
        <x:v>解释</x:v>
      </x:c>
    </x:row>
    <x:row r="19" ht="42" customHeight="1">
      <x:c r="A19" s="19" t="str">
        <x:v>BODY</x:v>
      </x:c>
      <x:c r="B19" s="414" t="n">
        <x:f>SUMIFS('68_增量BOM'!$P$6:$P$21,'68_增量BOM'!$C$6:$C$21,A19)</x:f>
        <x:v>1300</x:v>
      </x:c>
      <x:c r="C19" s="414" t="n">
        <x:f>SUMIFS('68_增量BOM'!$Q$6:$Q$21,'68_增量BOM'!$C$6:$C$21,A19)</x:f>
        <x:v>2800</x:v>
      </x:c>
      <x:c r="D19" s="414" t="n">
        <x:f>SUMIFS('68_增量BOM'!$R$6:$R$21,'68_增量BOM'!$C$6:$C$21,A19)</x:f>
        <x:v>5900</x:v>
      </x:c>
      <x:c r="E19" s="19" t="str">
        <x:v>结构与玻璃</x:v>
      </x:c>
    </x:row>
    <x:row r="20" ht="42" customHeight="1">
      <x:c r="A20" s="410" t="str">
        <x:v>SEATING</x:v>
      </x:c>
      <x:c r="B20" s="415" t="n">
        <x:f>SUMIFS('68_增量BOM'!$P$6:$P$21,'68_增量BOM'!$C$6:$C$21,A20)</x:f>
        <x:v>1400</x:v>
      </x:c>
      <x:c r="C20" s="415" t="n">
        <x:f>SUMIFS('68_增量BOM'!$Q$6:$Q$21,'68_增量BOM'!$C$6:$C$21,A20)</x:f>
        <x:v>4200</x:v>
      </x:c>
      <x:c r="D20" s="415" t="n">
        <x:f>SUMIFS('68_增量BOM'!$R$6:$R$21,'68_增量BOM'!$C$6:$C$21,A20)</x:f>
        <x:v>7300</x:v>
      </x:c>
      <x:c r="E20" s="410" t="str">
        <x:v>基础座椅架构+条件舒适</x:v>
      </x:c>
    </x:row>
    <x:row r="21" ht="42" customHeight="1">
      <x:c r="A21" s="19" t="str">
        <x:v>HVAC</x:v>
      </x:c>
      <x:c r="B21" s="414" t="n">
        <x:f>SUMIFS('68_增量BOM'!$P$6:$P$21,'68_增量BOM'!$C$6:$C$21,A21)</x:f>
        <x:v>200</x:v>
      </x:c>
      <x:c r="C21" s="414" t="n">
        <x:f>SUMIFS('68_增量BOM'!$Q$6:$Q$21,'68_增量BOM'!$C$6:$C$21,A21)</x:f>
        <x:v>500</x:v>
      </x:c>
      <x:c r="D21" s="414" t="n">
        <x:f>SUMIFS('68_增量BOM'!$R$6:$R$21,'68_增量BOM'!$C$6:$C$21,A21)</x:f>
        <x:v>900</x:v>
      </x:c>
      <x:c r="E21" s="19" t="str">
        <x:v>三排风道温控</x:v>
      </x:c>
    </x:row>
    <x:row r="22" ht="42" customHeight="1">
      <x:c r="A22" s="410" t="str">
        <x:v>CABIN</x:v>
      </x:c>
      <x:c r="B22" s="415" t="n">
        <x:f>SUMIFS('68_增量BOM'!$P$6:$P$21,'68_增量BOM'!$C$6:$C$21,A22)</x:f>
        <x:v>0</x:v>
      </x:c>
      <x:c r="C22" s="415" t="n">
        <x:f>SUMIFS('68_增量BOM'!$Q$6:$Q$21,'68_增量BOM'!$C$6:$C$21,A22)</x:f>
        <x:v>2450</x:v>
      </x:c>
      <x:c r="D22" s="415" t="n">
        <x:f>SUMIFS('68_增量BOM'!$R$6:$R$21,'68_增量BOM'!$C$6:$C$21,A22)</x:f>
        <x:v>5050</x:v>
      </x:c>
      <x:c r="E22" s="410" t="str">
        <x:v>软包/灯/冰箱/音响/接口</x:v>
      </x:c>
    </x:row>
    <x:row r="23" ht="42" customHeight="1">
      <x:c r="A23" s="19" t="str">
        <x:v>CHASSIS</x:v>
      </x:c>
      <x:c r="B23" s="414" t="n">
        <x:f>SUMIFS('68_增量BOM'!$P$6:$P$21,'68_增量BOM'!$C$6:$C$21,A23)</x:f>
        <x:v>0</x:v>
      </x:c>
      <x:c r="C23" s="414" t="n">
        <x:f>SUMIFS('68_增量BOM'!$Q$6:$Q$21,'68_增量BOM'!$C$6:$C$21,A23)</x:f>
        <x:v>500</x:v>
      </x:c>
      <x:c r="D23" s="414" t="n">
        <x:f>SUMIFS('68_增量BOM'!$R$6:$R$21,'68_增量BOM'!$C$6:$C$21,A23)</x:f>
        <x:v>1100</x:v>
      </x:c>
      <x:c r="E23" s="19" t="str">
        <x:v>液压衬套+轮胎规格</x:v>
      </x:c>
    </x:row>
    <x:row r="24" ht="42" customHeight="1">
      <x:c r="A24" s="410" t="str">
        <x:v>SAFETY</x:v>
      </x:c>
      <x:c r="B24" s="415" t="n">
        <x:f>SUMIFS('68_增量BOM'!$P$6:$P$21,'68_增量BOM'!$C$6:$C$21,A24)</x:f>
        <x:v>0</x:v>
      </x:c>
      <x:c r="C24" s="415" t="n">
        <x:f>SUMIFS('68_增量BOM'!$Q$6:$Q$21,'68_增量BOM'!$C$6:$C$21,A24)</x:f>
        <x:v>280</x:v>
      </x:c>
      <x:c r="D24" s="415" t="n">
        <x:f>SUMIFS('68_增量BOM'!$R$6:$R$21,'68_增量BOM'!$C$6:$C$21,A24)</x:f>
        <x:v>720</x:v>
      </x:c>
      <x:c r="E24" s="410" t="str">
        <x:v>气囊约束净差</x:v>
      </x:c>
    </x:row>
    <x:row r="25" ht="42" customHeight="1">
      <x:c r="A25" s="19" t="str">
        <x:v>ELECTRONICS</x:v>
      </x:c>
      <x:c r="B25" s="414" t="n">
        <x:f>SUMIFS('68_增量BOM'!$P$6:$P$21,'68_增量BOM'!$C$6:$C$21,A25)</x:f>
        <x:v>0</x:v>
      </x:c>
      <x:c r="C25" s="414" t="n">
        <x:f>SUMIFS('68_增量BOM'!$Q$6:$Q$21,'68_增量BOM'!$C$6:$C$21,A25)</x:f>
        <x:v>300</x:v>
      </x:c>
      <x:c r="D25" s="414" t="n">
        <x:f>SUMIFS('68_增量BOM'!$R$6:$R$21,'68_增量BOM'!$C$6:$C$21,A25)</x:f>
        <x:v>700</x:v>
      </x:c>
      <x:c r="E25" s="19" t="str">
        <x:v>通信净差</x:v>
      </x:c>
    </x:row>
    <x:row r="26" ht="42" customHeight="1">
      <x:c r="A26" s="410" t="str">
        <x:v>ADAS</x:v>
      </x:c>
      <x:c r="B26" s="415" t="n">
        <x:f>SUMIFS('68_增量BOM'!$P$6:$P$21,'68_增量BOM'!$C$6:$C$21,A26)</x:f>
        <x:v>0</x:v>
      </x:c>
      <x:c r="C26" s="415" t="n">
        <x:f>SUMIFS('68_增量BOM'!$Q$6:$Q$21,'68_增量BOM'!$C$6:$C$21,A26)</x:f>
        <x:v>1500</x:v>
      </x:c>
      <x:c r="D26" s="415" t="n">
        <x:f>SUMIFS('68_增量BOM'!$R$6:$R$21,'68_增量BOM'!$C$6:$C$21,A26)</x:f>
        <x:v>1900</x:v>
      </x:c>
      <x:c r="E26" s="410" t="str">
        <x:v>后向固态激光雷达</x:v>
      </x:c>
    </x:row>
  </x:sheetData>
  <x:mergeCells>
    <x:mergeCell ref="A1:K1"/>
    <x:mergeCell ref="A2:K2"/>
    <x:mergeCell ref="A3:K3"/>
    <x:mergeCell ref="A17:H17"/>
  </x:mergeCells>
  <x:conditionalFormatting sqref="G6:H15">
    <x:cfRule type="containsText" dxfId="1324" priority="1" operator="containsText" text="PASS"/>
    <x:cfRule type="containsText" dxfId="1325" priority="2" operator="containsText" text="READY"/>
    <x:cfRule type="containsText" dxfId="1326" priority="3" operator="containsText" text="TRUE"/>
    <x:cfRule type="containsText" dxfId="1327" priority="4" operator="containsText" text="CORE"/>
    <x:cfRule type="containsText" dxfId="1328" priority="5" operator="containsText" text="LOCKED"/>
    <x:cfRule type="containsText" dxfId="1329" priority="6" operator="containsText" text="ZERO_DELTA"/>
    <x:cfRule type="containsText" dxfId="1330" priority="7" operator="containsText" text="CONDITIONAL"/>
    <x:cfRule type="containsText" dxfId="1331" priority="8" operator="containsText" text="PROVISIONAL"/>
    <x:cfRule type="containsText" dxfId="1332" priority="9" operator="containsText" text="HOLD"/>
    <x:cfRule type="containsText" dxfId="1333" priority="10" operator="containsText" text="NOT_DISCLOSED"/>
    <x:cfRule type="containsText" dxfId="1334" priority="11" operator="containsText" text="BLOCKED"/>
    <x:cfRule type="containsText" dxfId="1335" priority="12" operator="containsText" text="FAIL"/>
    <x:cfRule type="containsText" dxfId="1336" priority="13" operator="containsText" text="FALSE"/>
    <x:cfRule type="containsText" dxfId="1337" priority="14" operator="containsText" text="EXCLUDED"/>
    <x:cfRule type="containsText" dxfId="1338" priority="15" operator="containsText" text="OPTION"/>
  </x:conditionalFormatting>
  <x:pageMargins left="0.7" right="0.7" top="0.75" bottom="0.75" header="0.3" footer="0.3"/>
</x:worksheet>
</file>

<file path=xl/worksheets/sheet7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34" hidden="0" customWidth="1"/>
    <x:col min="3" max="3" width="18" hidden="0" customWidth="1"/>
    <x:col min="4" max="4" width="22" hidden="0" customWidth="1"/>
    <x:col min="5" max="5" width="24" hidden="0" customWidth="1"/>
    <x:col min="6" max="6" width="22" hidden="0" customWidth="1"/>
    <x:col min="7" max="7" width="22" hidden="0" customWidth="1"/>
    <x:col min="8" max="8" width="18" hidden="0" customWidth="1"/>
    <x:col min="9" max="9" width="34" hidden="0" customWidth="1"/>
    <x:col min="10" max="10" width="4" hidden="0" customWidth="1"/>
    <x:col min="11" max="11" width="16" hidden="0" customWidth="1"/>
    <x:col min="12" max="12" width="22" hidden="0" customWidth="1"/>
    <x:col min="13" max="13" width="22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  <x:col min="19" max="19" width="14" hidden="0" customWidth="1"/>
    <x:col min="20" max="20" width="14" hidden="0" customWidth="1"/>
    <x:col min="21" max="21" width="14" hidden="0" customWidth="1"/>
    <x:col min="22" max="22" width="14" hidden="0" customWidth="1"/>
  </x:cols>
  <x:sheetData>
    <x:row r="1" ht="30" customHeight="1">
      <x:c r="A1" s="397" t="str">
        <x:v>70｜N70 Max→N90 Max 4万元预售价差拆解</x:v>
      </x:c>
      <x:c r="B1" s="397"/>
      <x:c r="C1" s="397"/>
      <x:c r="D1" s="397"/>
      <x:c r="E1" s="397"/>
      <x:c r="F1" s="397"/>
      <x:c r="G1" s="397"/>
      <x:c r="H1" s="397"/>
      <x:c r="I1" s="397"/>
      <x:c r="J1" s="397"/>
      <x:c r="K1" s="397"/>
      <x:c r="L1" s="397"/>
      <x:c r="M1" s="397"/>
      <x:c r="N1" s="397"/>
      <x:c r="O1" s="397"/>
      <x:c r="P1" s="397"/>
      <x:c r="Q1" s="397"/>
      <x:c r="R1" s="397"/>
      <x:c r="S1" s="397"/>
      <x:c r="T1" s="397"/>
      <x:c r="U1" s="397"/>
      <x:c r="V1" s="397"/>
    </x:row>
    <x:row r="2" ht="22" customHeight="1">
      <x:c r="A2" s="400" t="str">
        <x:v>259900→299900仅作预售价差暂行解释｜成本公式与价格输入完全隔离｜残余不得命名为利润</x:v>
      </x:c>
      <x:c r="B2" s="400"/>
      <x:c r="C2" s="400"/>
      <x:c r="D2" s="400"/>
      <x:c r="E2" s="400"/>
      <x:c r="F2" s="400"/>
      <x:c r="G2" s="400"/>
      <x:c r="H2" s="400"/>
      <x:c r="I2" s="400"/>
      <x:c r="J2" s="400"/>
      <x:c r="K2" s="400"/>
      <x:c r="L2" s="400"/>
      <x:c r="M2" s="400"/>
      <x:c r="N2" s="400"/>
      <x:c r="O2" s="400"/>
      <x:c r="P2" s="400"/>
      <x:c r="Q2" s="400"/>
      <x:c r="R2" s="400"/>
      <x:c r="S2" s="400"/>
      <x:c r="T2" s="400"/>
      <x:c r="U2" s="400"/>
      <x:c r="V2" s="400"/>
    </x:row>
    <x:row r="3" ht="62" customHeight="1">
      <x:c r="A3" s="404" t="str">
        <x:v>中值：增量成本约1.30万元；经κ和13% VAT后，成本驱动含税价差约1.57万元；剩余约2.43万元仍混合未披露配置、车身/座位价值捕获、固定成本和预售定位。</x:v>
      </x:c>
      <x:c r="B3" s="404"/>
      <x:c r="C3" s="404"/>
      <x:c r="D3" s="404"/>
      <x:c r="E3" s="404"/>
      <x:c r="F3" s="404"/>
      <x:c r="G3" s="404"/>
      <x:c r="H3" s="404"/>
      <x:c r="I3" s="404"/>
      <x:c r="J3" s="404"/>
      <x:c r="K3" s="404"/>
      <x:c r="L3" s="404"/>
      <x:c r="M3" s="404"/>
      <x:c r="N3" s="404"/>
      <x:c r="O3" s="404"/>
      <x:c r="P3" s="404"/>
      <x:c r="Q3" s="404"/>
      <x:c r="R3" s="404"/>
      <x:c r="S3" s="404"/>
      <x:c r="T3" s="404"/>
      <x:c r="U3" s="404"/>
      <x:c r="V3" s="404"/>
    </x:row>
    <x:row r="5" ht="44" customHeight="1">
      <x:c r="A5" s="409" t="str">
        <x:v>price_input_id</x:v>
      </x:c>
      <x:c r="B5" s="409" t="str">
        <x:v>输入/指标</x:v>
      </x:c>
      <x:c r="C5" s="409" t="str">
        <x:v>数值</x:v>
      </x:c>
      <x:c r="D5" s="409" t="str">
        <x:v>单位</x:v>
      </x:c>
      <x:c r="E5" s="409" t="str">
        <x:v>口径</x:v>
      </x:c>
      <x:c r="F5" s="409" t="str">
        <x:v>来源</x:v>
      </x:c>
      <x:c r="G5" s="409" t="str">
        <x:v>正式锁定</x:v>
      </x:c>
      <x:c r="H5" s="409" t="str">
        <x:v>用途</x:v>
      </x:c>
    </x:row>
    <x:row r="6" ht="48" customHeight="1">
      <x:c r="A6" s="19" t="str">
        <x:v>PRICE-N70</x:v>
      </x:c>
      <x:c r="B6" s="19" t="str">
        <x:v>N70 Max预售价</x:v>
      </x:c>
      <x:c r="C6" s="414" t="n">
        <x:v>259900</x:v>
      </x:c>
      <x:c r="D6" s="19" t="str">
        <x:v>元/车</x:v>
      </x:c>
      <x:c r="E6" s="19" t="str">
        <x:v>含VAT预售价</x:v>
      </x:c>
      <x:c r="F6" s="19" t="str">
        <x:v>发布会/官网</x:v>
      </x:c>
      <x:c r="G6" s="19" t="str">
        <x:v>FALSE</x:v>
      </x:c>
      <x:c r="H6" s="19" t="str">
        <x:v>只在本页末端校准</x:v>
      </x:c>
    </x:row>
    <x:row r="7" ht="48" customHeight="1">
      <x:c r="A7" s="410" t="str">
        <x:v>PRICE-N90</x:v>
      </x:c>
      <x:c r="B7" s="410" t="str">
        <x:v>N90 Max预售价</x:v>
      </x:c>
      <x:c r="C7" s="415" t="n">
        <x:v>299900</x:v>
      </x:c>
      <x:c r="D7" s="410" t="str">
        <x:v>元/车</x:v>
      </x:c>
      <x:c r="E7" s="410" t="str">
        <x:v>含VAT预售价</x:v>
      </x:c>
      <x:c r="F7" s="410" t="str">
        <x:v>发布会/官网</x:v>
      </x:c>
      <x:c r="G7" s="410" t="str">
        <x:v>FALSE</x:v>
      </x:c>
      <x:c r="H7" s="410" t="str">
        <x:v>只在本页末端校准</x:v>
      </x:c>
    </x:row>
    <x:row r="8" ht="48" customHeight="1">
      <x:c r="A8" s="19" t="str">
        <x:v>VAT</x:v>
      </x:c>
      <x:c r="B8" s="19" t="str">
        <x:v>VAT税率</x:v>
      </x:c>
      <x:c r="C8" s="23" t="n">
        <x:v>0.13</x:v>
      </x:c>
      <x:c r="D8" s="19" t="str">
        <x:v>%</x:v>
      </x:c>
      <x:c r="E8" s="19" t="str">
        <x:v>末端转换</x:v>
      </x:c>
      <x:c r="F8" s="19" t="str">
        <x:v>35_澎程规则</x:v>
      </x:c>
      <x:c r="G8" s="19" t="str">
        <x:v>TRUE_PARAMETER</x:v>
      </x:c>
      <x:c r="H8" s="19" t="str">
        <x:v>只计一次</x:v>
      </x:c>
    </x:row>
    <x:row r="9" ht="48" customHeight="1">
      <x:c r="A9" s="410" t="str">
        <x:v>GAP-INCLVAT</x:v>
      </x:c>
      <x:c r="B9" s="410" t="str">
        <x:v>含VAT预售价差</x:v>
      </x:c>
      <x:c r="C9" s="421" t="n">
        <x:f>C7-C6</x:f>
        <x:v>40000</x:v>
      </x:c>
      <x:c r="D9" s="410" t="str">
        <x:v>元/车</x:v>
      </x:c>
      <x:c r="E9" s="410" t="str">
        <x:v>299900−259900</x:v>
      </x:c>
      <x:c r="F9" s="410" t="str">
        <x:v>公式</x:v>
      </x:c>
      <x:c r="G9" s="410" t="str">
        <x:v>PRESALE_ONLY</x:v>
      </x:c>
      <x:c r="H9" s="410" t="str">
        <x:v>残余起点</x:v>
      </x:c>
    </x:row>
    <x:row r="10" ht="48" customHeight="1">
      <x:c r="A10" s="19" t="str">
        <x:v>GAP-EXVAT</x:v>
      </x:c>
      <x:c r="B10" s="19" t="str">
        <x:v>未税预售价差</x:v>
      </x:c>
      <x:c r="C10" s="422" t="n">
        <x:f>ROUND(C9/(1+C8),2)</x:f>
        <x:v>35398.23</x:v>
      </x:c>
      <x:c r="D10" s="19" t="str">
        <x:v>元/车</x:v>
      </x:c>
      <x:c r="E10" s="19" t="str">
        <x:v>含税价差÷1.13</x:v>
      </x:c>
      <x:c r="F10" s="19" t="str">
        <x:v>公式</x:v>
      </x:c>
      <x:c r="G10" s="19" t="str">
        <x:v>PRESALE_ONLY</x:v>
      </x:c>
      <x:c r="H10" s="19" t="str">
        <x:v>与未税价格解释比较</x:v>
      </x:c>
    </x:row>
    <x:row r="11" ht="48" customHeight="1">
      <x:c r="A11" s="410" t="str">
        <x:v>FORMAL-BRIDGE</x:v>
      </x:c>
      <x:c r="B11" s="410" t="str">
        <x:v>正式指导价桥</x:v>
      </x:c>
      <x:c r="C11" s="410" t="n">
        <x:v>0</x:v>
      </x:c>
      <x:c r="D11" s="410" t="str">
        <x:v>0/1</x:v>
      </x:c>
      <x:c r="E11" s="410" t="str">
        <x:v>App车辆SKU+正式价</x:v>
      </x:c>
      <x:c r="F11" s="410" t="str">
        <x:v>62_App售价桥闸门</x:v>
      </x:c>
      <x:c r="G11" s="410" t="str">
        <x:v>FALSE</x:v>
      </x:c>
      <x:c r="H11" s="410" t="str">
        <x:v>当前关闭</x:v>
      </x:c>
    </x:row>
    <x:row r="13" ht="24" customHeight="1">
      <x:c r="A13" s="413" t="str">
        <x:v>三情景预售价差解释</x:v>
      </x:c>
      <x:c r="B13" s="413"/>
      <x:c r="C13" s="413"/>
      <x:c r="D13" s="413"/>
      <x:c r="E13" s="413"/>
      <x:c r="F13" s="413"/>
      <x:c r="G13" s="413"/>
      <x:c r="H13" s="413"/>
    </x:row>
    <x:row r="14" ht="44" customHeight="1">
      <x:c r="A14" s="409" t="str">
        <x:v>情景</x:v>
      </x:c>
      <x:c r="B14" s="409" t="str">
        <x:v>增量成本</x:v>
      </x:c>
      <x:c r="C14" s="409" t="str">
        <x:v>κ</x:v>
      </x:c>
      <x:c r="D14" s="409" t="str">
        <x:v>成本驱动未税价差</x:v>
      </x:c>
      <x:c r="E14" s="409" t="str">
        <x:v>成本驱动含税价差</x:v>
      </x:c>
      <x:c r="F14" s="409" t="str">
        <x:v>未税残余</x:v>
      </x:c>
      <x:c r="G14" s="409" t="str">
        <x:v>含税残余</x:v>
      </x:c>
      <x:c r="H14" s="409" t="str">
        <x:v>解释比例</x:v>
      </x:c>
      <x:c r="I14" s="409" t="str">
        <x:v>状态</x:v>
      </x:c>
      <x:c r="K14" s="409" t="str">
        <x:v>情景</x:v>
      </x:c>
      <x:c r="L14" s="409" t="str">
        <x:v>成本驱动含税价差</x:v>
      </x:c>
      <x:c r="M14" s="409" t="str">
        <x:v>未解释含税残余</x:v>
      </x:c>
    </x:row>
    <x:row r="15" ht="40" customHeight="1">
      <x:c r="A15" s="19" t="str">
        <x:v>Low</x:v>
      </x:c>
      <x:c r="B15" s="414" t="n">
        <x:f>'69_情景汇总'!C11</x:f>
        <x:v>2944</x:v>
      </x:c>
      <x:c r="C15" s="420" t="n">
        <x:f>'69_情景汇总'!C12</x:f>
        <x:v>1.0254431631664882</x:v>
      </x:c>
      <x:c r="D15" s="422" t="n">
        <x:f>'69_情景汇总'!C13</x:f>
        <x:v>3019</x:v>
      </x:c>
      <x:c r="E15" s="422" t="n">
        <x:f>'69_情景汇总'!C15</x:f>
        <x:v>3411</x:v>
      </x:c>
      <x:c r="F15" s="422" t="n">
        <x:f>ROUND($C$10-D15,2)</x:f>
        <x:v>32379.23</x:v>
      </x:c>
      <x:c r="G15" s="422" t="n">
        <x:f>ROUND($C$9-E15,0)</x:f>
        <x:v>36589</x:v>
      </x:c>
      <x:c r="H15" s="23" t="n">
        <x:f>D15/$C$10</x:f>
        <x:v>0.08528675021321687</x:v>
      </x:c>
      <x:c r="I15" s="19" t="str">
        <x:f>IF(G15&lt;0,"COST_ENVELOPE_EXCEEDS_PRESALE_GAP",IF(H15&gt;=0.75,"MOSTLY_EXPLAINED","PARTIALLY_EXPLAINED"))</x:f>
        <x:v>PARTIALLY_EXPLAINED</x:v>
      </x:c>
      <x:c r="K15" s="19" t="str">
        <x:f>A15</x:f>
        <x:v>Low</x:v>
      </x:c>
      <x:c r="L15" s="414" t="n">
        <x:f>E15</x:f>
        <x:v>3411</x:v>
      </x:c>
      <x:c r="M15" s="414" t="n">
        <x:f>G15</x:f>
        <x:v>36589</x:v>
      </x:c>
    </x:row>
    <x:row r="16" ht="40" customHeight="1">
      <x:c r="A16" s="410" t="str">
        <x:v>Mid</x:v>
      </x:c>
      <x:c r="B16" s="415" t="n">
        <x:f>'69_情景汇总'!D11</x:f>
        <x:v>12969</x:v>
      </x:c>
      <x:c r="C16" s="419" t="n">
        <x:f>'69_情景汇总'!D12</x:f>
        <x:v>1.0694836789414475</x:v>
      </x:c>
      <x:c r="D16" s="421" t="n">
        <x:f>'69_情景汇总'!D13</x:f>
        <x:v>13870</x:v>
      </x:c>
      <x:c r="E16" s="421" t="n">
        <x:f>'69_情景汇总'!D15</x:f>
        <x:v>15673</x:v>
      </x:c>
      <x:c r="F16" s="421" t="n">
        <x:f>ROUND($C$10-D16,2)</x:f>
        <x:v>21528.23</x:v>
      </x:c>
      <x:c r="G16" s="421" t="n">
        <x:f>ROUND($C$9-E16,0)</x:f>
        <x:v>24327</x:v>
      </x:c>
      <x:c r="H16" s="418" t="n">
        <x:f>D16/$C$10</x:f>
        <x:v>0.3918275009795687</x:v>
      </x:c>
      <x:c r="I16" s="410" t="str">
        <x:f>IF(G16&lt;0,"COST_ENVELOPE_EXCEEDS_PRESALE_GAP",IF(H16&gt;=0.75,"MOSTLY_EXPLAINED","PARTIALLY_EXPLAINED"))</x:f>
        <x:v>PARTIALLY_EXPLAINED</x:v>
      </x:c>
      <x:c r="J16" s="423"/>
      <x:c r="K16" s="410" t="str">
        <x:f>A16</x:f>
        <x:v>Mid</x:v>
      </x:c>
      <x:c r="L16" s="415" t="n">
        <x:f>E16</x:f>
        <x:v>15673</x:v>
      </x:c>
      <x:c r="M16" s="415" t="n">
        <x:f>G16</x:f>
        <x:v>24327</x:v>
      </x:c>
    </x:row>
    <x:row r="17" ht="40" customHeight="1">
      <x:c r="A17" s="19" t="str">
        <x:v>High</x:v>
      </x:c>
      <x:c r="B17" s="414" t="n">
        <x:f>'69_情景汇总'!E11</x:f>
        <x:v>25220</x:v>
      </x:c>
      <x:c r="C17" s="420" t="n">
        <x:f>'69_情景汇总'!E12</x:f>
        <x:v>1.2206571280521978</x:v>
      </x:c>
      <x:c r="D17" s="422" t="n">
        <x:f>'69_情景汇总'!E13</x:f>
        <x:v>30785</x:v>
      </x:c>
      <x:c r="E17" s="422" t="n">
        <x:f>'69_情景汇总'!E15</x:f>
        <x:v>34787</x:v>
      </x:c>
      <x:c r="F17" s="422" t="n">
        <x:f>ROUND($C$10-D17,2)</x:f>
        <x:v>4613.23</x:v>
      </x:c>
      <x:c r="G17" s="422" t="n">
        <x:f>ROUND($C$9-E17,0)</x:f>
        <x:v>5213</x:v>
      </x:c>
      <x:c r="H17" s="23" t="n">
        <x:f>D17/$C$10</x:f>
        <x:v>0.8696762521741905</x:v>
      </x:c>
      <x:c r="I17" s="19" t="str">
        <x:f>IF(G17&lt;0,"COST_ENVELOPE_EXCEEDS_PRESALE_GAP",IF(H17&gt;=0.75,"MOSTLY_EXPLAINED","PARTIALLY_EXPLAINED"))</x:f>
        <x:v>MOSTLY_EXPLAINED</x:v>
      </x:c>
      <x:c r="K17" s="19" t="str">
        <x:f>A17</x:f>
        <x:v>High</x:v>
      </x:c>
      <x:c r="L17" s="414" t="n">
        <x:f>E17</x:f>
        <x:v>34787</x:v>
      </x:c>
      <x:c r="M17" s="414" t="n">
        <x:f>G17</x:f>
        <x:v>5213</x:v>
      </x:c>
    </x:row>
    <x:row r="20" ht="24" customHeight="1">
      <x:c r="A20" s="413" t="str">
        <x:v>残余如何解释</x:v>
      </x:c>
      <x:c r="B20" s="413"/>
      <x:c r="C20" s="413"/>
      <x:c r="D20" s="413"/>
      <x:c r="E20" s="413"/>
      <x:c r="F20" s="413"/>
      <x:c r="G20" s="413"/>
      <x:c r="H20" s="413"/>
      <x:c r="I20" s="413"/>
    </x:row>
    <x:row r="21" ht="48" customHeight="1">
      <x:c r="A21" s="19" t="str">
        <x:v>可以说</x:v>
      </x:c>
      <x:c r="B21" s="19" t="str">
        <x:v>当前已识别普通硬件只能解释预售价差的一部分</x:v>
      </x:c>
      <x:c r="C21" s="19" t="str"/>
      <x:c r="D21" s="19" t="str"/>
      <x:c r="E21" s="19" t="str"/>
      <x:c r="F21" s="19" t="str"/>
      <x:c r="G21" s="19" t="str"/>
      <x:c r="H21" s="19" t="str"/>
      <x:c r="I21" s="19" t="str"/>
    </x:row>
    <x:row r="22" ht="48" customHeight="1">
      <x:c r="A22" s="410" t="str">
        <x:v>不能说</x:v>
      </x:c>
      <x:c r="B22" s="410" t="str">
        <x:v>残余=利润/毛利/空间溢价/固定跨车身常数</x:v>
      </x:c>
      <x:c r="C22" s="410" t="str"/>
      <x:c r="D22" s="410" t="str"/>
      <x:c r="E22" s="410" t="str"/>
      <x:c r="F22" s="410" t="str"/>
      <x:c r="G22" s="410" t="str"/>
      <x:c r="H22" s="410" t="str"/>
      <x:c r="I22" s="410" t="str"/>
    </x:row>
    <x:row r="23" ht="48" customHeight="1">
      <x:c r="A23" s="19" t="str">
        <x:v>残余混合</x:v>
      </x:c>
      <x:c r="B23" s="19" t="str">
        <x:v>N70未披露基线、N90未录入硬件、固定成本/研发/认证、产能与预售定位</x:v>
      </x:c>
      <x:c r="C23" s="19" t="str"/>
      <x:c r="D23" s="19" t="str"/>
      <x:c r="E23" s="19" t="str"/>
      <x:c r="F23" s="19" t="str"/>
      <x:c r="G23" s="19" t="str"/>
      <x:c r="H23" s="19" t="str"/>
      <x:c r="I23" s="19" t="str"/>
    </x:row>
    <x:row r="24" ht="48" customHeight="1">
      <x:c r="A24" s="410" t="str">
        <x:v>上界判断</x:v>
      </x:c>
      <x:c r="B24" s="410" t="str">
        <x:v>基准High仍留约0.52万元含税残余；并不证明这就是固定加价</x:v>
      </x:c>
      <x:c r="C24" s="410" t="str"/>
      <x:c r="D24" s="410" t="str"/>
      <x:c r="E24" s="410" t="str"/>
      <x:c r="F24" s="410" t="str"/>
      <x:c r="G24" s="410" t="str"/>
      <x:c r="H24" s="410" t="str"/>
      <x:c r="I24" s="410" t="str"/>
    </x:row>
    <x:row r="25" ht="48" customHeight="1">
      <x:c r="A25" s="19" t="str">
        <x:v>正式重算</x:v>
      </x:c>
      <x:c r="B25" s="19" t="str">
        <x:v>App车辆SKU、完整配置修订与正式指导价发布后，先更新BOM，再更新残余</x:v>
      </x:c>
      <x:c r="C25" s="19" t="str"/>
      <x:c r="D25" s="19" t="str"/>
      <x:c r="E25" s="19" t="str"/>
      <x:c r="F25" s="19" t="str"/>
      <x:c r="G25" s="19" t="str"/>
      <x:c r="H25" s="19" t="str"/>
      <x:c r="I25" s="19" t="str"/>
    </x:row>
  </x:sheetData>
  <x:mergeCells>
    <x:mergeCell ref="A1:V1"/>
    <x:mergeCell ref="A2:V2"/>
    <x:mergeCell ref="A3:V3"/>
    <x:mergeCell ref="A13:H13"/>
    <x:mergeCell ref="A20:I20"/>
    <x:mergeCell ref="B21:I21"/>
    <x:mergeCell ref="B22:I22"/>
    <x:mergeCell ref="B23:I23"/>
    <x:mergeCell ref="B24:I24"/>
    <x:mergeCell ref="B25:I25"/>
  </x:mergeCells>
  <x:conditionalFormatting sqref="F6:G11">
    <x:cfRule type="containsText" dxfId="1339" priority="1" operator="containsText" text="PASS"/>
    <x:cfRule type="containsText" dxfId="1340" priority="2" operator="containsText" text="READY"/>
    <x:cfRule type="containsText" dxfId="1341" priority="3" operator="containsText" text="TRUE"/>
    <x:cfRule type="containsText" dxfId="1342" priority="4" operator="containsText" text="CORE"/>
    <x:cfRule type="containsText" dxfId="1343" priority="5" operator="containsText" text="LOCKED"/>
    <x:cfRule type="containsText" dxfId="1344" priority="6" operator="containsText" text="ZERO_DELTA"/>
    <x:cfRule type="containsText" dxfId="1345" priority="7" operator="containsText" text="CONDITIONAL"/>
    <x:cfRule type="containsText" dxfId="1346" priority="8" operator="containsText" text="PROVISIONAL"/>
    <x:cfRule type="containsText" dxfId="1347" priority="9" operator="containsText" text="HOLD"/>
    <x:cfRule type="containsText" dxfId="1348" priority="10" operator="containsText" text="NOT_DISCLOSED"/>
    <x:cfRule type="containsText" dxfId="1349" priority="11" operator="containsText" text="BLOCKED"/>
    <x:cfRule type="containsText" dxfId="1350" priority="12" operator="containsText" text="FAIL"/>
    <x:cfRule type="containsText" dxfId="1351" priority="13" operator="containsText" text="FALSE"/>
    <x:cfRule type="containsText" dxfId="1352" priority="14" operator="containsText" text="EXCLUDED"/>
    <x:cfRule type="containsText" dxfId="1353" priority="15" operator="containsText" text="OPTION"/>
  </x:conditionalFormatting>
  <x:conditionalFormatting sqref="I15:I17">
    <x:cfRule type="containsText" dxfId="1354" priority="16" operator="containsText" text="PASS"/>
    <x:cfRule type="containsText" dxfId="1355" priority="17" operator="containsText" text="READY"/>
    <x:cfRule type="containsText" dxfId="1356" priority="18" operator="containsText" text="TRUE"/>
    <x:cfRule type="containsText" dxfId="1357" priority="19" operator="containsText" text="CORE"/>
    <x:cfRule type="containsText" dxfId="1358" priority="20" operator="containsText" text="LOCKED"/>
    <x:cfRule type="containsText" dxfId="1359" priority="21" operator="containsText" text="ZERO_DELTA"/>
    <x:cfRule type="containsText" dxfId="1360" priority="22" operator="containsText" text="CONDITIONAL"/>
    <x:cfRule type="containsText" dxfId="1361" priority="23" operator="containsText" text="PROVISIONAL"/>
    <x:cfRule type="containsText" dxfId="1362" priority="24" operator="containsText" text="HOLD"/>
    <x:cfRule type="containsText" dxfId="1363" priority="25" operator="containsText" text="NOT_DISCLOSED"/>
    <x:cfRule type="containsText" dxfId="1364" priority="26" operator="containsText" text="BLOCKED"/>
    <x:cfRule type="containsText" dxfId="1365" priority="27" operator="containsText" text="FAIL"/>
    <x:cfRule type="containsText" dxfId="1366" priority="28" operator="containsText" text="FALSE"/>
    <x:cfRule type="containsText" dxfId="1367" priority="29" operator="containsText" text="EXCLUDED"/>
    <x:cfRule type="containsText" dxfId="1368" priority="30" operator="containsText" text="OPTION"/>
  </x:conditionalFormatting>
  <x:conditionalFormatting sqref="A21:A25">
    <x:cfRule type="containsText" dxfId="1369" priority="31" operator="containsText" text="PASS"/>
    <x:cfRule type="containsText" dxfId="1370" priority="32" operator="containsText" text="READY"/>
    <x:cfRule type="containsText" dxfId="1371" priority="33" operator="containsText" text="TRUE"/>
    <x:cfRule type="containsText" dxfId="1372" priority="34" operator="containsText" text="CORE"/>
    <x:cfRule type="containsText" dxfId="1373" priority="35" operator="containsText" text="LOCKED"/>
    <x:cfRule type="containsText" dxfId="1374" priority="36" operator="containsText" text="ZERO_DELTA"/>
    <x:cfRule type="containsText" dxfId="1375" priority="37" operator="containsText" text="CONDITIONAL"/>
    <x:cfRule type="containsText" dxfId="1376" priority="38" operator="containsText" text="PROVISIONAL"/>
    <x:cfRule type="containsText" dxfId="1377" priority="39" operator="containsText" text="HOLD"/>
    <x:cfRule type="containsText" dxfId="1378" priority="40" operator="containsText" text="NOT_DISCLOSED"/>
    <x:cfRule type="containsText" dxfId="1379" priority="41" operator="containsText" text="BLOCKED"/>
    <x:cfRule type="containsText" dxfId="1380" priority="42" operator="containsText" text="FAIL"/>
    <x:cfRule type="containsText" dxfId="1381" priority="43" operator="containsText" text="FALSE"/>
    <x:cfRule type="containsText" dxfId="1382" priority="44" operator="containsText" text="EXCLUDED"/>
    <x:cfRule type="containsText" dxfId="1383" priority="45" operator="containsText" text="OPTION"/>
  </x:conditionalFormatting>
  <x:pageMargins left="0.7" right="0.7" top="0.75" bottom="0.75" header="0.3" footer="0.3"/>
  <x:drawing xmlns:r="http://schemas.openxmlformats.org/officeDocument/2006/relationships" r:id="R912d184ac4a8498d"/>
</x:worksheet>
</file>

<file path=xl/worksheets/sheet7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8" hidden="0" customWidth="1"/>
    <x:col min="3" max="3" width="18" hidden="0" customWidth="1"/>
    <x:col min="4" max="4" width="24" hidden="0" customWidth="1"/>
    <x:col min="5" max="5" width="40" hidden="0" customWidth="1"/>
    <x:col min="6" max="6" width="3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</x:cols>
  <x:sheetData>
    <x:row r="1" ht="30" customHeight="1">
      <x:c r="A1" s="397" t="str">
        <x:v>71｜成本情景 × κ情景九宫格</x:v>
      </x:c>
      <x:c r="B1" s="397"/>
      <x:c r="C1" s="397"/>
      <x:c r="D1" s="397"/>
      <x:c r="E1" s="397"/>
      <x:c r="F1" s="397"/>
      <x:c r="G1" s="397"/>
      <x:c r="H1" s="397"/>
      <x:c r="I1" s="397"/>
      <x:c r="J1" s="397"/>
      <x:c r="K1" s="397"/>
      <x:c r="L1" s="397"/>
      <x:c r="M1" s="397"/>
    </x:row>
    <x:row r="2" ht="22" customHeight="1">
      <x:c r="A2" s="400" t="str">
        <x:v>两个不确定性轴独立组合｜不只看Low-Low/Mid-Mid/High-High｜VAT只在矩阵末端一次</x:v>
      </x:c>
      <x:c r="B2" s="400"/>
      <x:c r="C2" s="400"/>
      <x:c r="D2" s="400"/>
      <x:c r="E2" s="400"/>
      <x:c r="F2" s="400"/>
      <x:c r="G2" s="400"/>
      <x:c r="H2" s="400"/>
      <x:c r="I2" s="400"/>
      <x:c r="J2" s="400"/>
      <x:c r="K2" s="400"/>
      <x:c r="L2" s="400"/>
      <x:c r="M2" s="400"/>
    </x:row>
    <x:row r="3" ht="62" customHeight="1">
      <x:c r="A3" s="404" t="str">
        <x:v>九宫格用于判断方法不确定性。基准成本上界×κ上界仍低于4万元预售价差约0.52万元；这只说明当前签核BOM尚未完全解释价差，不可把差额命名为利润。</x:v>
      </x:c>
      <x:c r="B3" s="404"/>
      <x:c r="C3" s="404"/>
      <x:c r="D3" s="404"/>
      <x:c r="E3" s="404"/>
      <x:c r="F3" s="404"/>
      <x:c r="G3" s="404"/>
      <x:c r="H3" s="404"/>
      <x:c r="I3" s="404"/>
      <x:c r="J3" s="404"/>
      <x:c r="K3" s="404"/>
      <x:c r="L3" s="404"/>
      <x:c r="M3" s="404"/>
    </x:row>
    <x:row r="5" ht="44" customHeight="1">
      <x:c r="A5" s="409" t="str">
        <x:v>含税价格解释</x:v>
      </x:c>
      <x:c r="B5" s="409" t="str">
        <x:v>κ Low</x:v>
      </x:c>
      <x:c r="C5" s="409" t="str">
        <x:v>κ Mid</x:v>
      </x:c>
      <x:c r="D5" s="409" t="str">
        <x:v>κ High</x:v>
      </x:c>
      <x:c r="E5" s="409" t="str">
        <x:v>成本情景</x:v>
      </x:c>
    </x:row>
    <x:row r="6" ht="48" customHeight="1">
      <x:c r="A6" s="428"/>
      <x:c r="B6" s="429" t="n">
        <x:f>'67_成本参数'!D21</x:f>
        <x:v>1.0254431631664882</x:v>
      </x:c>
      <x:c r="C6" s="429" t="n">
        <x:f>'67_成本参数'!E21</x:f>
        <x:v>1.0694836789414475</x:v>
      </x:c>
      <x:c r="D6" s="429" t="n">
        <x:f>'67_成本参数'!F21</x:f>
        <x:v>1.2206571280521978</x:v>
      </x:c>
      <x:c r="E6" s="428"/>
    </x:row>
    <x:row r="7" ht="48" customHeight="1">
      <x:c r="A7" s="410" t="str">
        <x:v>Low cost</x:v>
      </x:c>
      <x:c r="B7" s="415" t="n">
        <x:f>ROUND('69_情景汇总'!C11*$B$6*(1+'67_成本参数'!D22),0)</x:f>
        <x:v>3411</x:v>
      </x:c>
      <x:c r="C7" s="415" t="n">
        <x:f>ROUND('69_情景汇总'!C11*$C$6*(1+'67_成本参数'!E22),0)</x:f>
        <x:v>3558</x:v>
      </x:c>
      <x:c r="D7" s="415" t="n">
        <x:f>ROUND('69_情景汇总'!C11*$D$6*(1+'67_成本参数'!F22),0)</x:f>
        <x:v>4061</x:v>
      </x:c>
      <x:c r="E7" s="415" t="n">
        <x:f>'69_情景汇总'!C11</x:f>
        <x:v>2944</x:v>
      </x:c>
    </x:row>
    <x:row r="8" ht="48" customHeight="1">
      <x:c r="A8" s="19" t="str">
        <x:v>Mid cost</x:v>
      </x:c>
      <x:c r="B8" s="414" t="n">
        <x:f>ROUND('69_情景汇总'!D11*$B$6*(1+'67_成本参数'!D22),0)</x:f>
        <x:v>15028</x:v>
      </x:c>
      <x:c r="C8" s="414" t="n">
        <x:f>ROUND('69_情景汇总'!D11*$C$6*(1+'67_成本参数'!E22),0)</x:f>
        <x:v>15673</x:v>
      </x:c>
      <x:c r="D8" s="414" t="n">
        <x:f>ROUND('69_情景汇总'!D11*$D$6*(1+'67_成本参数'!F22),0)</x:f>
        <x:v>17889</x:v>
      </x:c>
      <x:c r="E8" s="414" t="n">
        <x:f>'69_情景汇总'!D11</x:f>
        <x:v>12969</x:v>
      </x:c>
    </x:row>
    <x:row r="9" ht="48" customHeight="1">
      <x:c r="A9" s="410" t="str">
        <x:v>High cost</x:v>
      </x:c>
      <x:c r="B9" s="415" t="n">
        <x:f>ROUND('69_情景汇总'!E11*$B$6*(1+'67_成本参数'!D22),0)</x:f>
        <x:v>29224</x:v>
      </x:c>
      <x:c r="C9" s="415" t="n">
        <x:f>ROUND('69_情景汇总'!E11*$C$6*(1+'67_成本参数'!E22),0)</x:f>
        <x:v>30479</x:v>
      </x:c>
      <x:c r="D9" s="415" t="n">
        <x:f>ROUND('69_情景汇总'!E11*$D$6*(1+'67_成本参数'!F22),0)</x:f>
        <x:v>34787</x:v>
      </x:c>
      <x:c r="E9" s="415" t="n">
        <x:f>'69_情景汇总'!E11</x:f>
        <x:v>25220</x:v>
      </x:c>
    </x:row>
    <x:row r="11" ht="24" customHeight="1">
      <x:c r="A11" s="413" t="str">
        <x:v>含税残余 = 40000 − 九宫格价格解释</x:v>
      </x:c>
      <x:c r="B11" s="413"/>
      <x:c r="C11" s="413"/>
      <x:c r="D11" s="413"/>
      <x:c r="E11" s="413"/>
    </x:row>
    <x:row r="12" ht="44" customHeight="1">
      <x:c r="A12" s="409" t="str">
        <x:v>含税残余</x:v>
      </x:c>
      <x:c r="B12" s="409" t="str">
        <x:v>κ Low</x:v>
      </x:c>
      <x:c r="C12" s="409" t="str">
        <x:v>κ Mid</x:v>
      </x:c>
      <x:c r="D12" s="409" t="str">
        <x:v>κ High</x:v>
      </x:c>
      <x:c r="E12" s="409" t="str">
        <x:v>判读</x:v>
      </x:c>
    </x:row>
    <x:row r="13" ht="48" customHeight="1">
      <x:c r="A13" s="19" t="str">
        <x:v>Low cost</x:v>
      </x:c>
      <x:c r="B13" s="414" t="n">
        <x:f>'70_预售价差拆解'!$C$9-B7</x:f>
        <x:v>36589</x:v>
      </x:c>
      <x:c r="C13" s="414" t="n">
        <x:f>'70_预售价差拆解'!$C$9-C7</x:f>
        <x:v>36442</x:v>
      </x:c>
      <x:c r="D13" s="414" t="n">
        <x:f>'70_预售价差拆解'!$C$9-D7</x:f>
        <x:v>35939</x:v>
      </x:c>
      <x:c r="E13" s="19" t="str">
        <x:f>IF(MIN(B13:D13)&gt;0,"ROBUST_POSITIVE_RESIDUAL",IF(MAX(B13:D13)&lt;0,"ROBUST_NEGATIVE_RESIDUAL","CROSSES_ZERO"))</x:f>
        <x:v>ROBUST_POSITIVE_RESIDUAL</x:v>
      </x:c>
    </x:row>
    <x:row r="14" ht="48" customHeight="1">
      <x:c r="A14" s="410" t="str">
        <x:v>Mid cost</x:v>
      </x:c>
      <x:c r="B14" s="415" t="n">
        <x:f>'70_预售价差拆解'!$C$9-B8</x:f>
        <x:v>24972</x:v>
      </x:c>
      <x:c r="C14" s="415" t="n">
        <x:f>'70_预售价差拆解'!$C$9-C8</x:f>
        <x:v>24327</x:v>
      </x:c>
      <x:c r="D14" s="415" t="n">
        <x:f>'70_预售价差拆解'!$C$9-D8</x:f>
        <x:v>22111</x:v>
      </x:c>
      <x:c r="E14" s="410" t="str">
        <x:f>IF(MIN(B14:D14)&gt;0,"ROBUST_POSITIVE_RESIDUAL",IF(MAX(B14:D14)&lt;0,"ROBUST_NEGATIVE_RESIDUAL","CROSSES_ZERO"))</x:f>
        <x:v>ROBUST_POSITIVE_RESIDUAL</x:v>
      </x:c>
    </x:row>
    <x:row r="15" ht="48" customHeight="1">
      <x:c r="A15" s="19" t="str">
        <x:v>High cost</x:v>
      </x:c>
      <x:c r="B15" s="414" t="n">
        <x:f>'70_预售价差拆解'!$C$9-B9</x:f>
        <x:v>10776</x:v>
      </x:c>
      <x:c r="C15" s="414" t="n">
        <x:f>'70_预售价差拆解'!$C$9-C9</x:f>
        <x:v>9521</x:v>
      </x:c>
      <x:c r="D15" s="414" t="n">
        <x:f>'70_预售价差拆解'!$C$9-D9</x:f>
        <x:v>5213</x:v>
      </x:c>
      <x:c r="E15" s="19" t="str">
        <x:f>IF(MIN(B15:D15)&gt;0,"ROBUST_POSITIVE_RESIDUAL",IF(MAX(B15:D15)&lt;0,"ROBUST_NEGATIVE_RESIDUAL","CROSSES_ZERO"))</x:f>
        <x:v>ROBUST_POSITIVE_RESIDUAL</x:v>
      </x:c>
    </x:row>
    <x:row r="17" ht="24" customHeight="1">
      <x:c r="A17" s="413" t="str">
        <x:v>反证与未计价敏感项：出现后必须改BOM，不允许改残余名称</x:v>
      </x:c>
      <x:c r="B17" s="413"/>
      <x:c r="C17" s="413"/>
      <x:c r="D17" s="413"/>
      <x:c r="E17" s="413"/>
      <x:c r="F17" s="413"/>
      <x:c r="G17" s="413"/>
      <x:c r="H17" s="413"/>
      <x:c r="I17" s="413"/>
      <x:c r="J17" s="413"/>
      <x:c r="K17" s="413"/>
      <x:c r="L17" s="413"/>
      <x:c r="M17" s="413"/>
    </x:row>
    <x:row r="18" ht="44" customHeight="1">
      <x:c r="A18" s="409" t="str">
        <x:v>事件</x:v>
      </x:c>
      <x:c r="B18" s="409" t="str">
        <x:v>当前处理</x:v>
      </x:c>
      <x:c r="C18" s="409" t="str">
        <x:v>触发条件</x:v>
      </x:c>
      <x:c r="D18" s="409" t="str">
        <x:v>模型动作</x:v>
      </x:c>
      <x:c r="E18" s="409" t="str">
        <x:v>不能做</x:v>
      </x:c>
      <x:c r="F18" s="409" t="str">
        <x:v>状态</x:v>
      </x:c>
      <x:c r="G18" t="str"/>
      <x:c r="H18" t="str"/>
      <x:c r="I18" t="str"/>
      <x:c r="J18" t="str"/>
      <x:c r="K18" t="str"/>
      <x:c r="L18" t="str"/>
      <x:c r="M18" t="str"/>
    </x:row>
    <x:row r="19" ht="52" customHeight="1">
      <x:c r="A19" s="19" t="str">
        <x:v>N70电池并非76kWh/NCM</x:v>
      </x:c>
      <x:c r="B19" s="19" t="str">
        <x:v>工程同源候选=0</x:v>
      </x:c>
      <x:c r="C19" s="19" t="str">
        <x:v>App/参数表确认不同整包</x:v>
      </x:c>
      <x:c r="D19" s="19" t="str">
        <x:v>重开电池整包置换成本</x:v>
      </x:c>
      <x:c r="E19" s="19" t="str">
        <x:v>把差额塞进车身残余</x:v>
      </x:c>
      <x:c r="F19" s="19" t="str">
        <x:v>HOLD_COUNTEREVIDENCE</x:v>
      </x:c>
    </x:row>
    <x:row r="20" ht="52" customHeight="1">
      <x:c r="A20" s="410" t="str">
        <x:v>N70并非同310kW AWD</x:v>
      </x:c>
      <x:c r="B20" s="410" t="str">
        <x:v>工程同源候选=0</x:v>
      </x:c>
      <x:c r="C20" s="410" t="str">
        <x:v>App确认动力不同</x:v>
      </x:c>
      <x:c r="D20" s="410" t="str">
        <x:v>重开电驱总成成本</x:v>
      </x:c>
      <x:c r="E20" s="410" t="str">
        <x:v>按峰值功率直接线性计价</x:v>
      </x:c>
      <x:c r="F20" s="410" t="str">
        <x:v>HOLD_COUNTEREVIDENCE</x:v>
      </x:c>
    </x:row>
    <x:row r="21" ht="52" customHeight="1">
      <x:c r="A21" s="19" t="str">
        <x:v>N90后向雷达不是基础标配</x:v>
      </x:c>
      <x:c r="B21" s="19" t="str">
        <x:v>条件池Mid/High计入</x:v>
      </x:c>
      <x:c r="C21" s="19" t="str">
        <x:v>配置表标为选装/不含</x:v>
      </x:c>
      <x:c r="D21" s="19" t="str">
        <x:v>将ADAS_LIDAR_1权重改0</x:v>
      </x:c>
      <x:c r="E21" s="19" t="str">
        <x:v>保留成本再叫定位</x:v>
      </x:c>
      <x:c r="F21" s="19" t="str">
        <x:v>HOLD_SCOPE</x:v>
      </x:c>
    </x:row>
    <x:row r="22" ht="52" customHeight="1">
      <x:c r="A22" s="410" t="str">
        <x:v>N70已同配冰箱/音响/舒适座椅</x:v>
      </x:c>
      <x:c r="B22" s="410" t="str">
        <x:v>条件池Low=0</x:v>
      </x:c>
      <x:c r="C22" s="410" t="str">
        <x:v>App确认同配</x:v>
      </x:c>
      <x:c r="D22" s="410" t="str">
        <x:v>对应条件项归零</x:v>
      </x:c>
      <x:c r="E22" s="410" t="str">
        <x:v>把未披露当没有</x:v>
      </x:c>
      <x:c r="F22" s="410" t="str">
        <x:v>HOLD_BASELINE</x:v>
      </x:c>
    </x:row>
    <x:row r="23" ht="52" customHeight="1">
      <x:c r="A23" s="19" t="str">
        <x:v>N90新增固定后排屏/滑动中岛等</x:v>
      </x:c>
      <x:c r="B23" s="19" t="str">
        <x:v>未进入签核BOM</x:v>
      </x:c>
      <x:c r="C23" s="19" t="str">
        <x:v>进入正式配置表且N70无</x:v>
      </x:c>
      <x:c r="D23" s="19" t="str">
        <x:v>新增独立根并防重</x:v>
      </x:c>
      <x:c r="E23" s="19" t="str">
        <x:v>从残余倒推成本</x:v>
      </x:c>
      <x:c r="F23" s="19" t="str">
        <x:v>OPEN_OMISSION</x:v>
      </x:c>
    </x:row>
    <x:row r="24" ht="52" customHeight="1">
      <x:c r="A24" s="410" t="str">
        <x:v>选装/附件公布价格</x:v>
      </x:c>
      <x:c r="B24" s="410" t="str">
        <x:v>全部基础BOM排除</x:v>
      </x:c>
      <x:c r="C24" s="410" t="str">
        <x:v>App选装表发布</x:v>
      </x:c>
      <x:c r="D24" s="410" t="str">
        <x:v>另建选装成本/价值表</x:v>
      </x:c>
      <x:c r="E24" s="410" t="str">
        <x:v>并入基础指导价</x:v>
      </x:c>
      <x:c r="F24" s="410" t="str">
        <x:v>BLOCKED_OPTION_PRICE</x:v>
      </x:c>
    </x:row>
    <x:row r="25" ht="52" customHeight="1">
      <x:c r="A25" s="19" t="str">
        <x:v>正式指导价发布</x:v>
      </x:c>
      <x:c r="B25" s="19" t="str">
        <x:v>预售价暂行解释</x:v>
      </x:c>
      <x:c r="C25" s="19" t="str">
        <x:v>两端同口径正式价锁定</x:v>
      </x:c>
      <x:c r="D25" s="19" t="str">
        <x:v>重新跑70/71表</x:v>
      </x:c>
      <x:c r="E25" s="19" t="str">
        <x:v>沿用预售残余作结论</x:v>
      </x:c>
      <x:c r="F25" s="19" t="str">
        <x:v>BLOCKED_FORMAL_PRICE</x:v>
      </x:c>
    </x:row>
  </x:sheetData>
  <x:mergeCells>
    <x:mergeCell ref="A1:M1"/>
    <x:mergeCell ref="A2:M2"/>
    <x:mergeCell ref="A3:M3"/>
    <x:mergeCell ref="A11:E11"/>
    <x:mergeCell ref="A17:M17"/>
  </x:mergeCells>
  <x:conditionalFormatting sqref="E13:E15">
    <x:cfRule type="containsText" dxfId="1384" priority="1" operator="containsText" text="PASS"/>
    <x:cfRule type="containsText" dxfId="1385" priority="2" operator="containsText" text="READY"/>
    <x:cfRule type="containsText" dxfId="1386" priority="3" operator="containsText" text="TRUE"/>
    <x:cfRule type="containsText" dxfId="1387" priority="4" operator="containsText" text="CORE"/>
    <x:cfRule type="containsText" dxfId="1388" priority="5" operator="containsText" text="LOCKED"/>
    <x:cfRule type="containsText" dxfId="1389" priority="6" operator="containsText" text="ZERO_DELTA"/>
    <x:cfRule type="containsText" dxfId="1390" priority="7" operator="containsText" text="CONDITIONAL"/>
    <x:cfRule type="containsText" dxfId="1391" priority="8" operator="containsText" text="PROVISIONAL"/>
    <x:cfRule type="containsText" dxfId="1392" priority="9" operator="containsText" text="HOLD"/>
    <x:cfRule type="containsText" dxfId="1393" priority="10" operator="containsText" text="NOT_DISCLOSED"/>
    <x:cfRule type="containsText" dxfId="1394" priority="11" operator="containsText" text="BLOCKED"/>
    <x:cfRule type="containsText" dxfId="1395" priority="12" operator="containsText" text="FAIL"/>
    <x:cfRule type="containsText" dxfId="1396" priority="13" operator="containsText" text="FALSE"/>
    <x:cfRule type="containsText" dxfId="1397" priority="14" operator="containsText" text="EXCLUDED"/>
    <x:cfRule type="containsText" dxfId="1398" priority="15" operator="containsText" text="OPTION"/>
  </x:conditionalFormatting>
  <x:conditionalFormatting sqref="B19:F25">
    <x:cfRule type="containsText" dxfId="1399" priority="16" operator="containsText" text="PASS"/>
    <x:cfRule type="containsText" dxfId="1400" priority="17" operator="containsText" text="READY"/>
    <x:cfRule type="containsText" dxfId="1401" priority="18" operator="containsText" text="TRUE"/>
    <x:cfRule type="containsText" dxfId="1402" priority="19" operator="containsText" text="CORE"/>
    <x:cfRule type="containsText" dxfId="1403" priority="20" operator="containsText" text="LOCKED"/>
    <x:cfRule type="containsText" dxfId="1404" priority="21" operator="containsText" text="ZERO_DELTA"/>
    <x:cfRule type="containsText" dxfId="1405" priority="22" operator="containsText" text="CONDITIONAL"/>
    <x:cfRule type="containsText" dxfId="1406" priority="23" operator="containsText" text="PROVISIONAL"/>
    <x:cfRule type="containsText" dxfId="1407" priority="24" operator="containsText" text="HOLD"/>
    <x:cfRule type="containsText" dxfId="1408" priority="25" operator="containsText" text="NOT_DISCLOSED"/>
    <x:cfRule type="containsText" dxfId="1409" priority="26" operator="containsText" text="BLOCKED"/>
    <x:cfRule type="containsText" dxfId="1410" priority="27" operator="containsText" text="FAIL"/>
    <x:cfRule type="containsText" dxfId="1411" priority="28" operator="containsText" text="FALSE"/>
    <x:cfRule type="containsText" dxfId="1412" priority="29" operator="containsText" text="EXCLUDED"/>
    <x:cfRule type="containsText" dxfId="1413" priority="30" operator="containsText" text="OPTION"/>
  </x:conditionalFormatting>
  <x:pageMargins left="0.7" right="0.7" top="0.75" bottom="0.75" header="0.3" footer="0.3"/>
</x:worksheet>
</file>

<file path=xl/worksheets/sheet7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6" hidden="0" customWidth="1"/>
    <x:col min="3" max="3" width="16" hidden="0" customWidth="1"/>
    <x:col min="4" max="4" width="16" hidden="0" customWidth="1"/>
    <x:col min="5" max="5" width="14" hidden="0" customWidth="1"/>
    <x:col min="6" max="6" width="38" hidden="0" customWidth="1"/>
    <x:col min="7" max="7" width="34" hidden="0" customWidth="1"/>
    <x:col min="8" max="8" width="44" hidden="0" customWidth="1"/>
    <x:col min="9" max="9" width="44" hidden="0" customWidth="1"/>
    <x:col min="10" max="10" width="42" hidden="0" customWidth="1"/>
  </x:cols>
  <x:sheetData>
    <x:row r="1" ht="30" customHeight="1">
      <x:c r="A1" s="397" t="str">
        <x:v>72｜Phase 3.2B节点签核</x:v>
      </x:c>
      <x:c r="B1" s="397"/>
      <x:c r="C1" s="397"/>
      <x:c r="D1" s="397"/>
      <x:c r="E1" s="397"/>
      <x:c r="F1" s="397"/>
      <x:c r="G1" s="397"/>
      <x:c r="H1" s="397"/>
      <x:c r="I1" s="397"/>
      <x:c r="J1" s="397"/>
    </x:row>
    <x:row r="2" ht="22" customHeight="1">
      <x:c r="A2" s="400" t="str">
        <x:v>成本桥已完成｜预售价差暂行解释可用｜正式指导价桥继续关闭</x:v>
      </x:c>
      <x:c r="B2" s="400"/>
      <x:c r="C2" s="400"/>
      <x:c r="D2" s="400"/>
      <x:c r="E2" s="400"/>
      <x:c r="F2" s="400"/>
      <x:c r="G2" s="400"/>
      <x:c r="H2" s="400"/>
      <x:c r="I2" s="400"/>
      <x:c r="J2" s="400"/>
    </x:row>
    <x:row r="3" ht="62" customHeight="1">
      <x:c r="A3" s="404" t="str">
        <x:v>签核结论：工程中值成本约1.30万元，成本驱动含税价差约1.57万元，4万元预售价差残余约2.43万元。Low/High分别约0.29/2.52万元，体现N70大量未披露造成的不确定性。</x:v>
      </x:c>
      <x:c r="B3" s="404"/>
      <x:c r="C3" s="404"/>
      <x:c r="D3" s="404"/>
      <x:c r="E3" s="404"/>
      <x:c r="F3" s="404"/>
      <x:c r="G3" s="404"/>
      <x:c r="H3" s="404"/>
      <x:c r="I3" s="404"/>
      <x:c r="J3" s="404"/>
    </x:row>
    <x:row r="5" ht="52" customHeight="1">
      <x:c r="A5" s="409" t="str">
        <x:v>签核项</x:v>
      </x:c>
      <x:c r="B5" s="409" t="str">
        <x:v>Low</x:v>
      </x:c>
      <x:c r="C5" s="409" t="str">
        <x:v>Mid</x:v>
      </x:c>
      <x:c r="D5" s="409" t="str">
        <x:v>High</x:v>
      </x:c>
      <x:c r="E5" s="409" t="str">
        <x:v>单位</x:v>
      </x:c>
      <x:c r="F5" s="409" t="str">
        <x:v>状态</x:v>
      </x:c>
      <x:c r="G5" s="409" t="str">
        <x:v>证据/公式</x:v>
      </x:c>
      <x:c r="H5" s="409" t="str">
        <x:v>可以说</x:v>
      </x:c>
      <x:c r="I5" s="409" t="str">
        <x:v>不能说</x:v>
      </x:c>
      <x:c r="J5" s="409" t="str">
        <x:v>下一动作</x:v>
      </x:c>
    </x:row>
    <x:row r="6" ht="56" customHeight="1">
      <x:c r="A6" s="19" t="str">
        <x:v>共同绝对成本增量</x:v>
      </x:c>
      <x:c r="B6" s="414" t="n">
        <x:v>0</x:v>
      </x:c>
      <x:c r="C6" s="414" t="n">
        <x:v>0</x:v>
      </x:c>
      <x:c r="D6" s="414" t="n">
        <x:v>0</x:v>
      </x:c>
      <x:c r="E6" s="19" t="str">
        <x:v>元</x:v>
      </x:c>
      <x:c r="F6" s="19" t="str">
        <x:v>BASE_ZERO_CANDIDATE</x:v>
      </x:c>
      <x:c r="G6" s="19" t="str">
        <x:v>66_共同底座</x:v>
      </x:c>
      <x:c r="H6" s="19" t="str">
        <x:v>同源候选下不重复整套成本</x:v>
      </x:c>
      <x:c r="I6" s="19" t="str">
        <x:v>商业配置已经严格同配</x:v>
      </x:c>
      <x:c r="J6" s="19" t="str">
        <x:v>App反证即重开</x:v>
      </x:c>
    </x:row>
    <x:row r="7" ht="56" customHeight="1">
      <x:c r="A7" s="410" t="str">
        <x:v>硬结构核心物理BOM</x:v>
      </x:c>
      <x:c r="B7" s="415" t="n">
        <x:f>'69_情景汇总'!C6</x:f>
        <x:v>2900</x:v>
      </x:c>
      <x:c r="C7" s="415" t="n">
        <x:f>'69_情景汇总'!D6</x:f>
        <x:v>5500</x:v>
      </x:c>
      <x:c r="D7" s="415" t="n">
        <x:f>'69_情景汇总'!E6</x:f>
        <x:v>10100</x:v>
      </x:c>
      <x:c r="E7" s="410" t="str">
        <x:v>元</x:v>
      </x:c>
      <x:c r="F7" s="410" t="str">
        <x:v>CORE_IDENTIFIED</x:v>
      </x:c>
      <x:c r="G7" s="410" t="str">
        <x:v>69_情景汇总</x:v>
      </x:c>
      <x:c r="H7" s="410" t="str">
        <x:v>车身/座位/HVAC可bottom-up</x:v>
      </x:c>
      <x:c r="I7" s="410" t="str">
        <x:v>是真实采购价</x:v>
      </x:c>
      <x:c r="J7" s="410" t="str">
        <x:v>补座椅供应链成本</x:v>
      </x:c>
    </x:row>
    <x:row r="8" ht="56" customHeight="1">
      <x:c r="A8" s="19" t="str">
        <x:v>条件池物理BOM</x:v>
      </x:c>
      <x:c r="B8" s="414" t="n">
        <x:f>'69_情景汇总'!C7</x:f>
        <x:v>0</x:v>
      </x:c>
      <x:c r="C8" s="414" t="n">
        <x:f>'69_情景汇总'!D7</x:f>
        <x:v>7030</x:v>
      </x:c>
      <x:c r="D8" s="414" t="n">
        <x:f>'69_情景汇总'!E7</x:f>
        <x:v>13470</x:v>
      </x:c>
      <x:c r="E8" s="19" t="str">
        <x:v>元</x:v>
      </x:c>
      <x:c r="F8" s="19" t="str">
        <x:v>CONDITIONAL_N70_UNDISCLOSED</x:v>
      </x:c>
      <x:c r="G8" s="19" t="str">
        <x:v>69_情景汇总</x:v>
      </x:c>
      <x:c r="H8" s="19" t="str">
        <x:v>N70未披露形成区间</x:v>
      </x:c>
      <x:c r="I8" s="19" t="str">
        <x:v>N70一定没有这些配置</x:v>
      </x:c>
      <x:c r="J8" s="19" t="str">
        <x:v>等App完整配置表</x:v>
      </x:c>
    </x:row>
    <x:row r="9" ht="56" customHeight="1">
      <x:c r="A9" s="410" t="str">
        <x:v>增量成本合计</x:v>
      </x:c>
      <x:c r="B9" s="415" t="n">
        <x:f>'69_情景汇总'!C11</x:f>
        <x:v>2944</x:v>
      </x:c>
      <x:c r="C9" s="415" t="n">
        <x:f>'69_情景汇总'!D11</x:f>
        <x:v>12969</x:v>
      </x:c>
      <x:c r="D9" s="415" t="n">
        <x:f>'69_情景汇总'!E11</x:f>
        <x:v>25220</x:v>
      </x:c>
      <x:c r="E9" s="410" t="str">
        <x:v>元</x:v>
      </x:c>
      <x:c r="F9" s="410" t="str">
        <x:v>ENGINEERING_PROVISIONAL</x:v>
      </x:c>
      <x:c r="G9" s="410" t="str">
        <x:v>69_情景汇总</x:v>
      </x:c>
      <x:c r="H9" s="410" t="str">
        <x:v>约0.29/1.30/2.52万元</x:v>
      </x:c>
      <x:c r="I9" s="410" t="str">
        <x:v>成本精确到百元</x:v>
      </x:c>
      <x:c r="J9" s="410" t="str">
        <x:v>正式配置后更新</x:v>
      </x:c>
    </x:row>
    <x:row r="10" ht="56" customHeight="1">
      <x:c r="A10" s="19" t="str">
        <x:v>成本驱动含税价差</x:v>
      </x:c>
      <x:c r="B10" s="414" t="n">
        <x:f>'69_情景汇总'!C15</x:f>
        <x:v>3411</x:v>
      </x:c>
      <x:c r="C10" s="414" t="n">
        <x:f>'69_情景汇总'!D15</x:f>
        <x:v>15673</x:v>
      </x:c>
      <x:c r="D10" s="414" t="n">
        <x:f>'69_情景汇总'!E15</x:f>
        <x:v>34787</x:v>
      </x:c>
      <x:c r="E10" s="19" t="str">
        <x:v>元</x:v>
      </x:c>
      <x:c r="F10" s="19" t="str">
        <x:v>PRESALE_RECONCILIATION</x:v>
      </x:c>
      <x:c r="G10" s="19" t="str">
        <x:v>69_情景汇总</x:v>
      </x:c>
      <x:c r="H10" s="19" t="str">
        <x:v>约0.34/1.57/3.48万元</x:v>
      </x:c>
      <x:c r="I10" s="19" t="str">
        <x:v>等于最终价差</x:v>
      </x:c>
      <x:c r="J10" s="19" t="str">
        <x:v>与正式价重算</x:v>
      </x:c>
    </x:row>
    <x:row r="11" ht="56" customHeight="1">
      <x:c r="A11" s="410" t="str">
        <x:v>含税预售价差残余</x:v>
      </x:c>
      <x:c r="B11" s="415" t="n">
        <x:f>'70_预售价差拆解'!G15</x:f>
        <x:v>36589</x:v>
      </x:c>
      <x:c r="C11" s="415" t="n">
        <x:f>'70_预售价差拆解'!G16</x:f>
        <x:v>24327</x:v>
      </x:c>
      <x:c r="D11" s="415" t="n">
        <x:f>'70_预售价差拆解'!G17</x:f>
        <x:v>5213</x:v>
      </x:c>
      <x:c r="E11" s="410" t="str">
        <x:v>元</x:v>
      </x:c>
      <x:c r="F11" s="410" t="str">
        <x:v>ROBUST_POSITIVE_IN_BASE_ENVELOPE</x:v>
      </x:c>
      <x:c r="G11" s="410" t="str">
        <x:v>70_预售价差拆解</x:v>
      </x:c>
      <x:c r="H11" s="410" t="str">
        <x:v>约3.66/2.43/0.52万元尚未解释</x:v>
      </x:c>
      <x:c r="I11" s="410" t="str">
        <x:v>残余=利润/溢价</x:v>
      </x:c>
      <x:c r="J11" s="410" t="str">
        <x:v>补未披露硬件/固定成本证据</x:v>
      </x:c>
    </x:row>
    <x:row r="12" ht="56" customHeight="1">
      <x:c r="A12" s="19" t="str">
        <x:v>N90选装/附件排除</x:v>
      </x:c>
      <x:c r="B12" s="19" t="n">
        <x:v>12</x:v>
      </x:c>
      <x:c r="C12" s="19" t="n">
        <x:v>12</x:v>
      </x:c>
      <x:c r="D12" s="19" t="n">
        <x:v>12</x:v>
      </x:c>
      <x:c r="E12" s="19" t="str">
        <x:v>项</x:v>
      </x:c>
      <x:c r="F12" s="19" t="str">
        <x:v>EXCLUDED</x:v>
      </x:c>
      <x:c r="G12" s="19" t="str">
        <x:v>60_选装另购</x:v>
      </x:c>
      <x:c r="H12" s="19" t="str">
        <x:v>基础整车BOM不含12项</x:v>
      </x:c>
      <x:c r="I12" s="19" t="str">
        <x:v>免费权益会变成永久标配</x:v>
      </x:c>
      <x:c r="J12" s="19" t="str">
        <x:v>价格表发布后另建模型</x:v>
      </x:c>
    </x:row>
    <x:row r="13" ht="56" customHeight="1">
      <x:c r="A13" s="410" t="str">
        <x:v>κ/ε互斥</x:v>
      </x:c>
      <x:c r="B13" s="410" t="n">
        <x:v>1</x:v>
      </x:c>
      <x:c r="C13" s="410" t="n">
        <x:v>1</x:v>
      </x:c>
      <x:c r="D13" s="410" t="n">
        <x:v>1</x:v>
      </x:c>
      <x:c r="E13" s="410" t="str">
        <x:v>PASS</x:v>
      </x:c>
      <x:c r="F13" s="410" t="str">
        <x:v>PASS</x:v>
      </x:c>
      <x:c r="G13" s="410" t="str">
        <x:v>35_澎程规则</x:v>
      </x:c>
      <x:c r="H13" s="410" t="str">
        <x:v>本模型只用κ包络</x:v>
      </x:c>
      <x:c r="I13" s="410" t="str">
        <x:v>再叠普通ε</x:v>
      </x:c>
      <x:c r="J13" s="410" t="str">
        <x:v>保持</x:v>
      </x:c>
    </x:row>
    <x:row r="14" ht="56" customHeight="1">
      <x:c r="A14" s="19" t="str">
        <x:v>层级/固定常数权重</x:v>
      </x:c>
      <x:c r="B14" s="19" t="n">
        <x:v>0</x:v>
      </x:c>
      <x:c r="C14" s="19" t="n">
        <x:v>0</x:v>
      </x:c>
      <x:c r="D14" s="19" t="n">
        <x:v>0</x:v>
      </x:c>
      <x:c r="E14" s="19" t="str">
        <x:v>权重</x:v>
      </x:c>
      <x:c r="F14" s="19" t="str">
        <x:v>PASS</x:v>
      </x:c>
      <x:c r="G14" s="19" t="str">
        <x:v>65_3.2B口径</x:v>
      </x:c>
      <x:c r="H14" s="19" t="str">
        <x:v>本桥无额外层级项</x:v>
      </x:c>
      <x:c r="I14" s="19" t="str">
        <x:v>加入1.14万元交互</x:v>
      </x:c>
      <x:c r="J14" s="19" t="str">
        <x:v>保持0</x:v>
      </x:c>
    </x:row>
    <x:row r="15" ht="56" customHeight="1">
      <x:c r="A15" s="410" t="str">
        <x:v>正式指导价桥</x:v>
      </x:c>
      <x:c r="B15" s="410" t="n">
        <x:v>0</x:v>
      </x:c>
      <x:c r="C15" s="410" t="n">
        <x:v>0</x:v>
      </x:c>
      <x:c r="D15" s="410" t="n">
        <x:v>0</x:v>
      </x:c>
      <x:c r="E15" s="410" t="str">
        <x:v>0/1</x:v>
      </x:c>
      <x:c r="F15" s="410" t="str">
        <x:v>BLOCKED_APP_SKU_AND_FORMAL_PRICE</x:v>
      </x:c>
      <x:c r="G15" s="410" t="str">
        <x:v>62_App售价桥闸门</x:v>
      </x:c>
      <x:c r="H15" s="410" t="str">
        <x:v>当前只做预售价暂行解释</x:v>
      </x:c>
      <x:c r="I15" s="410" t="str">
        <x:v>已经得到正式指导价预测</x:v>
      </x:c>
      <x:c r="J15" s="410" t="str">
        <x:v>发布后重开</x:v>
      </x:c>
    </x:row>
    <x:row r="16" ht="56" customHeight="1">
      <x:c r="A16" s="19" t="str">
        <x:v>Phase 3.2B</x:v>
      </x:c>
      <x:c r="B16" s="19" t="n">
        <x:v>1</x:v>
      </x:c>
      <x:c r="C16" s="19" t="n">
        <x:v>1</x:v>
      </x:c>
      <x:c r="D16" s="19" t="n">
        <x:v>1</x:v>
      </x:c>
      <x:c r="E16" s="19" t="str">
        <x:v>状态</x:v>
      </x:c>
      <x:c r="F16" s="19" t="str">
        <x:v>READY_ENGINEERING_PRESALE_RECONCILIATION</x:v>
      </x:c>
      <x:c r="G16" s="19" t="str">
        <x:v>73_3.2B校验</x:v>
      </x:c>
      <x:c r="H16" s="19" t="str">
        <x:v>B2跨车身桥可进入综合定价阶段</x:v>
      </x:c>
      <x:c r="I16" s="19" t="str">
        <x:v>全系价格结论已完成</x:v>
      </x:c>
      <x:c r="J16" s="19" t="str">
        <x:v>继续3.2C特殊版本/综合合成</x:v>
      </x:c>
    </x:row>
    <x:row r="18" ht="24" customHeight="1">
      <x:c r="A18" s="413" t="str">
        <x:v>距离最终全系售价结论</x:v>
      </x:c>
      <x:c r="B18" s="413"/>
      <x:c r="C18" s="413"/>
      <x:c r="D18" s="413"/>
      <x:c r="E18" s="413"/>
      <x:c r="F18" s="413"/>
      <x:c r="G18" s="413"/>
      <x:c r="H18" s="413"/>
      <x:c r="I18" s="413"/>
      <x:c r="J18" s="413"/>
    </x:row>
    <x:row r="19" ht="48" customHeight="1">
      <x:c r="A19" s="19" t="str">
        <x:v>已完成</x:v>
      </x:c>
      <x:c r="B19" s="19" t="str">
        <x:v>B2：N70 Max→N90 Max跨车身/座位成本桥</x:v>
      </x:c>
      <x:c r="C19" s="19" t="str">
        <x:v>100%</x:v>
      </x:c>
      <x:c r="D19" s="19" t="str">
        <x:v>READY</x:v>
      </x:c>
      <x:c r="E19" s="19" t="str"/>
      <x:c r="F19" s="19" t="str"/>
      <x:c r="G19" s="19" t="str"/>
      <x:c r="H19" s="19" t="str"/>
      <x:c r="I19" s="19" t="str"/>
      <x:c r="J19" s="19" t="str"/>
    </x:row>
    <x:row r="20" ht="48" customHeight="1">
      <x:c r="A20" s="410" t="str">
        <x:v>待完成</x:v>
      </x:c>
      <x:c r="B20" s="410" t="str">
        <x:v>B3：N90普通顶→升顶特殊机构/认证/低产量</x:v>
      </x:c>
      <x:c r="C20" s="410" t="str">
        <x:v>下一阶段</x:v>
      </x:c>
      <x:c r="D20" s="410" t="str">
        <x:v>PENDING_PHASE_3.2C</x:v>
      </x:c>
      <x:c r="E20" s="410" t="str"/>
      <x:c r="F20" s="410" t="str"/>
      <x:c r="G20" s="410" t="str"/>
      <x:c r="H20" s="410" t="str"/>
      <x:c r="I20" s="410" t="str"/>
      <x:c r="J20" s="410" t="str"/>
    </x:row>
    <x:row r="21" ht="48" customHeight="1">
      <x:c r="A21" s="19" t="str">
        <x:v>待完成</x:v>
      </x:c>
      <x:c r="B21" s="19" t="str">
        <x:v>N70低阶版：若仍无商品化信息，只能给条件式候选价</x:v>
      </x:c>
      <x:c r="C21" s="19" t="str">
        <x:v>补证或条件模型</x:v>
      </x:c>
      <x:c r="D21" s="19" t="str">
        <x:v>BLOCKED_COMMERCIAL_NODE</x:v>
      </x:c>
      <x:c r="E21" s="19" t="str"/>
      <x:c r="F21" s="19" t="str"/>
      <x:c r="G21" s="19" t="str"/>
      <x:c r="H21" s="19" t="str"/>
      <x:c r="I21" s="19" t="str"/>
      <x:c r="J21" s="19" t="str"/>
    </x:row>
    <x:row r="22" ht="48" customHeight="1">
      <x:c r="A22" s="410" t="str">
        <x:v>待完成</x:v>
      </x:c>
      <x:c r="B22" s="410" t="str">
        <x:v>把B1/B2/B3、价格心理位和正式/预售价口径合并成全系预测</x:v>
      </x:c>
      <x:c r="C22" s="410" t="str">
        <x:v>最终综合</x:v>
      </x:c>
      <x:c r="D22" s="410" t="str">
        <x:v>PENDING_SYNTHESIS</x:v>
      </x:c>
      <x:c r="E22" s="410" t="str"/>
      <x:c r="F22" s="410" t="str"/>
      <x:c r="G22" s="410" t="str"/>
      <x:c r="H22" s="410" t="str"/>
      <x:c r="I22" s="410" t="str"/>
      <x:c r="J22" s="410" t="str"/>
    </x:row>
    <x:row r="23" ht="48" customHeight="1">
      <x:c r="A23" s="19" t="str">
        <x:v>当前距离</x:v>
      </x:c>
      <x:c r="B23" s="19" t="str">
        <x:v>完成3.2C后即可进入全系售价点估计+区间+配置表</x:v>
      </x:c>
      <x:c r="C23" s="19" t="str">
        <x:v>约1个技术桥+1个综合阶段</x:v>
      </x:c>
      <x:c r="D23" s="19" t="str">
        <x:v>NEAR_FINAL</x:v>
      </x:c>
      <x:c r="E23" s="19" t="str"/>
      <x:c r="F23" s="19" t="str"/>
      <x:c r="G23" s="19" t="str"/>
      <x:c r="H23" s="19" t="str"/>
      <x:c r="I23" s="19" t="str"/>
      <x:c r="J23" s="19" t="str"/>
    </x:row>
  </x:sheetData>
  <x:mergeCells>
    <x:mergeCell ref="A1:J1"/>
    <x:mergeCell ref="A2:J2"/>
    <x:mergeCell ref="A3:J3"/>
    <x:mergeCell ref="A18:J18"/>
    <x:mergeCell ref="B19:J19"/>
    <x:mergeCell ref="B20:J20"/>
    <x:mergeCell ref="B21:J21"/>
    <x:mergeCell ref="B22:J22"/>
    <x:mergeCell ref="B23:J23"/>
  </x:mergeCells>
  <x:conditionalFormatting sqref="F6:F16">
    <x:cfRule type="containsText" dxfId="1414" priority="1" operator="containsText" text="PASS"/>
    <x:cfRule type="containsText" dxfId="1415" priority="2" operator="containsText" text="READY"/>
    <x:cfRule type="containsText" dxfId="1416" priority="3" operator="containsText" text="TRUE"/>
    <x:cfRule type="containsText" dxfId="1417" priority="4" operator="containsText" text="CORE"/>
    <x:cfRule type="containsText" dxfId="1418" priority="5" operator="containsText" text="LOCKED"/>
    <x:cfRule type="containsText" dxfId="1419" priority="6" operator="containsText" text="ZERO_DELTA"/>
    <x:cfRule type="containsText" dxfId="1420" priority="7" operator="containsText" text="CONDITIONAL"/>
    <x:cfRule type="containsText" dxfId="1421" priority="8" operator="containsText" text="PROVISIONAL"/>
    <x:cfRule type="containsText" dxfId="1422" priority="9" operator="containsText" text="HOLD"/>
    <x:cfRule type="containsText" dxfId="1423" priority="10" operator="containsText" text="NOT_DISCLOSED"/>
    <x:cfRule type="containsText" dxfId="1424" priority="11" operator="containsText" text="BLOCKED"/>
    <x:cfRule type="containsText" dxfId="1425" priority="12" operator="containsText" text="FAIL"/>
    <x:cfRule type="containsText" dxfId="1426" priority="13" operator="containsText" text="FALSE"/>
    <x:cfRule type="containsText" dxfId="1427" priority="14" operator="containsText" text="EXCLUDED"/>
    <x:cfRule type="containsText" dxfId="1428" priority="15" operator="containsText" text="OPTION"/>
  </x:conditionalFormatting>
  <x:conditionalFormatting sqref="A19:A23">
    <x:cfRule type="containsText" dxfId="1429" priority="16" operator="containsText" text="PASS"/>
    <x:cfRule type="containsText" dxfId="1430" priority="17" operator="containsText" text="READY"/>
    <x:cfRule type="containsText" dxfId="1431" priority="18" operator="containsText" text="TRUE"/>
    <x:cfRule type="containsText" dxfId="1432" priority="19" operator="containsText" text="CORE"/>
    <x:cfRule type="containsText" dxfId="1433" priority="20" operator="containsText" text="LOCKED"/>
    <x:cfRule type="containsText" dxfId="1434" priority="21" operator="containsText" text="ZERO_DELTA"/>
    <x:cfRule type="containsText" dxfId="1435" priority="22" operator="containsText" text="CONDITIONAL"/>
    <x:cfRule type="containsText" dxfId="1436" priority="23" operator="containsText" text="PROVISIONAL"/>
    <x:cfRule type="containsText" dxfId="1437" priority="24" operator="containsText" text="HOLD"/>
    <x:cfRule type="containsText" dxfId="1438" priority="25" operator="containsText" text="NOT_DISCLOSED"/>
    <x:cfRule type="containsText" dxfId="1439" priority="26" operator="containsText" text="BLOCKED"/>
    <x:cfRule type="containsText" dxfId="1440" priority="27" operator="containsText" text="FAIL"/>
    <x:cfRule type="containsText" dxfId="1441" priority="28" operator="containsText" text="FALSE"/>
    <x:cfRule type="containsText" dxfId="1442" priority="29" operator="containsText" text="EXCLUDED"/>
    <x:cfRule type="containsText" dxfId="1443" priority="30" operator="containsText" text="OPTION"/>
  </x:conditionalFormatting>
  <x:pageMargins left="0.7" right="0.7" top="0.75" bottom="0.75" header="0.3" footer="0.3"/>
</x:worksheet>
</file>

<file path=xl/worksheets/sheet7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8" hidden="0" customWidth="1"/>
    <x:col min="3" max="3" width="52" hidden="0" customWidth="1"/>
    <x:col min="4" max="4" width="18" hidden="0" customWidth="1"/>
    <x:col min="5" max="5" width="22" hidden="0" customWidth="1"/>
    <x:col min="6" max="6" width="14" hidden="0" customWidth="1"/>
    <x:col min="7" max="7" width="14" hidden="0" customWidth="1"/>
    <x:col min="8" max="8" width="48" hidden="0" customWidth="1"/>
  </x:cols>
  <x:sheetData>
    <x:row r="1" ht="30" customHeight="1">
      <x:c r="A1" s="397" t="str">
        <x:v>73｜Phase 3.2B机器校验与财务模型审计</x:v>
      </x:c>
      <x:c r="B1" s="397"/>
      <x:c r="C1" s="397"/>
      <x:c r="D1" s="397"/>
      <x:c r="E1" s="397"/>
      <x:c r="F1" s="397"/>
      <x:c r="G1" s="397"/>
      <x:c r="H1" s="397"/>
    </x:row>
    <x:row r="2" ht="22" customHeight="1">
      <x:c r="A2" s="400" t="str">
        <x:v>事实边界 + 成本防重 + 价格隔离 + 公式口径 + 阶段闸门</x:v>
      </x:c>
      <x:c r="B2" s="400"/>
      <x:c r="C2" s="400"/>
      <x:c r="D2" s="400"/>
      <x:c r="E2" s="400"/>
      <x:c r="F2" s="400"/>
      <x:c r="G2" s="400"/>
      <x:c r="H2" s="400"/>
    </x:row>
    <x:row r="3" ht="62" customHeight="1">
      <x:c r="A3" s="404" t="str">
        <x:v>验收必须同时满足：成本行不引用预售价；16个成本键不重复；Low条件池为0；κ与ε互斥；VAT只在末端；正式指导价桥保持关闭。</x:v>
      </x:c>
      <x:c r="B3" s="404"/>
      <x:c r="C3" s="404"/>
      <x:c r="D3" s="404"/>
      <x:c r="E3" s="404"/>
      <x:c r="F3" s="404"/>
      <x:c r="G3" s="404"/>
      <x:c r="H3" s="404"/>
    </x:row>
    <x:row r="5" ht="52" customHeight="1">
      <x:c r="A5" s="409" t="str">
        <x:v>check_id</x:v>
      </x:c>
      <x:c r="B5" s="409" t="str">
        <x:v>类别</x:v>
      </x:c>
      <x:c r="C5" s="409" t="str">
        <x:v>断言</x:v>
      </x:c>
      <x:c r="D5" s="409" t="str">
        <x:v>Expected</x:v>
      </x:c>
      <x:c r="E5" s="409" t="str">
        <x:v>Actual</x:v>
      </x:c>
      <x:c r="F5" s="409" t="str">
        <x:v>Result</x:v>
      </x:c>
      <x:c r="G5" s="409" t="str">
        <x:v>Severity</x:v>
      </x:c>
      <x:c r="H5" s="409" t="str">
        <x:v>说明</x:v>
      </x:c>
    </x:row>
    <x:row r="6" ht="36" customHeight="1">
      <x:c r="A6" s="19" t="str">
        <x:v>C32B-01</x:v>
      </x:c>
      <x:c r="B6" s="19" t="str">
        <x:v>IDENTITY</x:v>
      </x:c>
      <x:c r="C6" s="19" t="str">
        <x:v>共同底座8个根</x:v>
      </x:c>
      <x:c r="D6" s="19" t="n">
        <x:v>8</x:v>
      </x:c>
      <x:c r="E6" s="19" t="n">
        <x:f>COUNTA('66_共同底座'!A6:A13)</x:f>
        <x:v>8</x:v>
      </x:c>
      <x:c r="F6" s="19" t="str">
        <x:f>IF(ABS(D6-E6)&lt;0.0001,"PASS","FAIL")</x:f>
        <x:v>PASS</x:v>
      </x:c>
      <x:c r="G6" s="19" t="str">
        <x:v>ERROR</x:v>
      </x:c>
      <x:c r="H6" s="19" t="str"/>
    </x:row>
    <x:row r="7" ht="36" customHeight="1">
      <x:c r="A7" s="410" t="str">
        <x:v>C32B-02</x:v>
      </x:c>
      <x:c r="B7" s="410" t="str">
        <x:v>IDENTITY</x:v>
      </x:c>
      <x:c r="C7" s="410" t="str">
        <x:v>监管座位差为2</x:v>
      </x:c>
      <x:c r="D7" s="410" t="n">
        <x:v>2</x:v>
      </x:c>
      <x:c r="E7" s="410" t="n">
        <x:f>'66_共同底座'!F21</x:f>
        <x:v>2</x:v>
      </x:c>
      <x:c r="F7" s="410" t="str">
        <x:f>IF(ABS(D7-E7)&lt;0.0001,"PASS","FAIL")</x:f>
        <x:v>PASS</x:v>
      </x:c>
      <x:c r="G7" s="410" t="str">
        <x:v>ERROR</x:v>
      </x:c>
      <x:c r="H7" s="410" t="str"/>
    </x:row>
    <x:row r="8" ht="36" customHeight="1">
      <x:c r="A8" s="19" t="str">
        <x:v>C32B-03</x:v>
      </x:c>
      <x:c r="B8" s="19" t="str">
        <x:v>IDENTITY</x:v>
      </x:c>
      <x:c r="C8" s="19" t="str">
        <x:v>整备质量Low差190kg</x:v>
      </x:c>
      <x:c r="D8" s="19" t="n">
        <x:v>190</x:v>
      </x:c>
      <x:c r="E8" s="19" t="n">
        <x:f>'67_成本参数'!D8</x:f>
        <x:v>190</x:v>
      </x:c>
      <x:c r="F8" s="19" t="str">
        <x:f>IF(ABS(D8-E8)&lt;0.0001,"PASS","FAIL")</x:f>
        <x:v>PASS</x:v>
      </x:c>
      <x:c r="G8" s="19" t="str">
        <x:v>ERROR</x:v>
      </x:c>
      <x:c r="H8" s="19" t="str"/>
    </x:row>
    <x:row r="9" ht="36" customHeight="1">
      <x:c r="A9" s="410" t="str">
        <x:v>C32B-04</x:v>
      </x:c>
      <x:c r="B9" s="410" t="str">
        <x:v>IDENTITY</x:v>
      </x:c>
      <x:c r="C9" s="410" t="str">
        <x:v>整备质量Mid差214.5kg</x:v>
      </x:c>
      <x:c r="D9" s="410" t="n">
        <x:v>214.5</x:v>
      </x:c>
      <x:c r="E9" s="410" t="n">
        <x:f>'67_成本参数'!E8</x:f>
        <x:v>214.5</x:v>
      </x:c>
      <x:c r="F9" s="410" t="str">
        <x:f>IF(ABS(D9-E9)&lt;0.0001,"PASS","FAIL")</x:f>
        <x:v>PASS</x:v>
      </x:c>
      <x:c r="G9" s="410" t="str">
        <x:v>ERROR</x:v>
      </x:c>
      <x:c r="H9" s="410" t="str"/>
    </x:row>
    <x:row r="10" ht="36" customHeight="1">
      <x:c r="A10" s="19" t="str">
        <x:v>C32B-05</x:v>
      </x:c>
      <x:c r="B10" s="19" t="str">
        <x:v>IDENTITY</x:v>
      </x:c>
      <x:c r="C10" s="19" t="str">
        <x:v>整备质量High差239kg</x:v>
      </x:c>
      <x:c r="D10" s="19" t="n">
        <x:v>239</x:v>
      </x:c>
      <x:c r="E10" s="19" t="n">
        <x:f>'67_成本参数'!F8</x:f>
        <x:v>239</x:v>
      </x:c>
      <x:c r="F10" s="19" t="str">
        <x:f>IF(ABS(D10-E10)&lt;0.0001,"PASS","FAIL")</x:f>
        <x:v>PASS</x:v>
      </x:c>
      <x:c r="G10" s="19" t="str">
        <x:v>ERROR</x:v>
      </x:c>
      <x:c r="H10" s="19" t="str"/>
    </x:row>
    <x:row r="11" ht="36" customHeight="1">
      <x:c r="A11" s="410" t="str">
        <x:v>C32B-06</x:v>
      </x:c>
      <x:c r="B11" s="410" t="str">
        <x:v>BOM</x:v>
      </x:c>
      <x:c r="C11" s="410" t="str">
        <x:v>成本行16条</x:v>
      </x:c>
      <x:c r="D11" s="410" t="n">
        <x:v>16</x:v>
      </x:c>
      <x:c r="E11" s="410" t="n">
        <x:f>COUNTA('68_增量BOM'!A6:A21)</x:f>
        <x:v>16</x:v>
      </x:c>
      <x:c r="F11" s="410" t="str">
        <x:f>IF(ABS(D11-E11)&lt;0.0001,"PASS","FAIL")</x:f>
        <x:v>PASS</x:v>
      </x:c>
      <x:c r="G11" s="410" t="str">
        <x:v>ERROR</x:v>
      </x:c>
      <x:c r="H11" s="410" t="str"/>
    </x:row>
    <x:row r="12" ht="36" customHeight="1">
      <x:c r="A12" s="19" t="str">
        <x:v>C32B-07</x:v>
      </x:c>
      <x:c r="B12" s="19" t="str">
        <x:v>BOM</x:v>
      </x:c>
      <x:c r="C12" s="19" t="str">
        <x:v>硬结构核心3条</x:v>
      </x:c>
      <x:c r="D12" s="19" t="n">
        <x:v>3</x:v>
      </x:c>
      <x:c r="E12" s="19" t="n">
        <x:f>COUNTIF('68_增量BOM'!B6:B21,"CORE_HARD_STRUCTURE")</x:f>
        <x:v>3</x:v>
      </x:c>
      <x:c r="F12" s="19" t="str">
        <x:f>IF(ABS(D12-E12)&lt;0.0001,"PASS","FAIL")</x:f>
        <x:v>PASS</x:v>
      </x:c>
      <x:c r="G12" s="19" t="str">
        <x:v>ERROR</x:v>
      </x:c>
      <x:c r="H12" s="19" t="str"/>
    </x:row>
    <x:row r="13" ht="36" customHeight="1">
      <x:c r="A13" s="410" t="str">
        <x:v>C32B-08</x:v>
      </x:c>
      <x:c r="B13" s="410" t="str">
        <x:v>BOM</x:v>
      </x:c>
      <x:c r="C13" s="410" t="str">
        <x:v>条件项13条</x:v>
      </x:c>
      <x:c r="D13" s="410" t="n">
        <x:v>13</x:v>
      </x:c>
      <x:c r="E13" s="410" t="n">
        <x:f>COUNTIF('68_增量BOM'!B6:B21,"CONDITIONAL_N70_UNDISCLOSED")</x:f>
        <x:v>13</x:v>
      </x:c>
      <x:c r="F13" s="410" t="str">
        <x:f>IF(ABS(D13-E13)&lt;0.0001,"PASS","FAIL")</x:f>
        <x:v>PASS</x:v>
      </x:c>
      <x:c r="G13" s="410" t="str">
        <x:v>ERROR</x:v>
      </x:c>
      <x:c r="H13" s="410" t="str"/>
    </x:row>
    <x:row r="14" ht="36" customHeight="1">
      <x:c r="A14" s="19" t="str">
        <x:v>C32B-09</x:v>
      </x:c>
      <x:c r="B14" s="19" t="str">
        <x:v>BOM</x:v>
      </x:c>
      <x:c r="C14" s="19" t="str">
        <x:v>price_derived_flag为YES的行0</x:v>
      </x:c>
      <x:c r="D14" s="19" t="n">
        <x:v>0</x:v>
      </x:c>
      <x:c r="E14" s="19" t="n">
        <x:f>COUNTIF('68_增量BOM'!H6:H21,"YES")</x:f>
        <x:v>0</x:v>
      </x:c>
      <x:c r="F14" s="19" t="str">
        <x:f>IF(ABS(D14-E14)&lt;0.0001,"PASS","FAIL")</x:f>
        <x:v>PASS</x:v>
      </x:c>
      <x:c r="G14" s="19" t="str">
        <x:v>ERROR</x:v>
      </x:c>
      <x:c r="H14" s="19" t="str"/>
    </x:row>
    <x:row r="15" ht="36" customHeight="1">
      <x:c r="A15" s="410" t="str">
        <x:v>C32B-10</x:v>
      </x:c>
      <x:c r="B15" s="410" t="str">
        <x:v>BOM</x:v>
      </x:c>
      <x:c r="C15" s="410" t="str">
        <x:v>double_count_key重复0</x:v>
      </x:c>
      <x:c r="D15" s="410" t="n">
        <x:v>1</x:v>
      </x:c>
      <x:c r="E15" s="410" t="n">
        <x:f>MAX('68_增量BOM'!U6:U21)</x:f>
        <x:v>1</x:v>
      </x:c>
      <x:c r="F15" s="410" t="str">
        <x:f>IF(ABS(D15-E15)&lt;0.0001,"PASS","FAIL")</x:f>
        <x:v>PASS</x:v>
      </x:c>
      <x:c r="G15" s="410" t="str">
        <x:v>ERROR</x:v>
      </x:c>
      <x:c r="H15" s="410" t="str"/>
    </x:row>
    <x:row r="16" ht="36" customHeight="1">
      <x:c r="A16" s="19" t="str">
        <x:v>C32B-11</x:v>
      </x:c>
      <x:c r="B16" s="19" t="str">
        <x:v>BOM</x:v>
      </x:c>
      <x:c r="C16" s="19" t="str">
        <x:v>成本区间顺序错误0</x:v>
      </x:c>
      <x:c r="D16" s="19" t="n">
        <x:v>0</x:v>
      </x:c>
      <x:c r="E16" s="19" t="n">
        <x:f>SUM('68_增量BOM'!V6:V21)</x:f>
        <x:v>0</x:v>
      </x:c>
      <x:c r="F16" s="19" t="str">
        <x:f>IF(ABS(D16-E16)&lt;0.0001,"PASS","FAIL")</x:f>
        <x:v>PASS</x:v>
      </x:c>
      <x:c r="G16" s="19" t="str">
        <x:v>ERROR</x:v>
      </x:c>
      <x:c r="H16" s="19" t="str"/>
    </x:row>
    <x:row r="17" ht="36" customHeight="1">
      <x:c r="A17" s="410" t="str">
        <x:v>C32B-12</x:v>
      </x:c>
      <x:c r="B17" s="410" t="str">
        <x:v>BOM</x:v>
      </x:c>
      <x:c r="C17" s="410" t="str">
        <x:v>Low条件池成本0</x:v>
      </x:c>
      <x:c r="D17" s="410" t="n">
        <x:v>0</x:v>
      </x:c>
      <x:c r="E17" s="410" t="n">
        <x:f>SUMIFS('68_增量BOM'!P6:P21,'68_增量BOM'!B6:B21,"CONDITIONAL_N70_UNDISCLOSED")</x:f>
        <x:v>0</x:v>
      </x:c>
      <x:c r="F17" s="410" t="str">
        <x:f>IF(ABS(D17-E17)&lt;0.0001,"PASS","FAIL")</x:f>
        <x:v>PASS</x:v>
      </x:c>
      <x:c r="G17" s="410" t="str">
        <x:v>ERROR</x:v>
      </x:c>
      <x:c r="H17" s="410" t="str"/>
    </x:row>
    <x:row r="18" ht="36" customHeight="1">
      <x:c r="A18" s="19" t="str">
        <x:v>C32B-13</x:v>
      </x:c>
      <x:c r="B18" s="19" t="str">
        <x:v>BOM</x:v>
      </x:c>
      <x:c r="C18" s="19" t="str">
        <x:v>车身代理Low取整1300</x:v>
      </x:c>
      <x:c r="D18" s="19" t="n">
        <x:v>1300</x:v>
      </x:c>
      <x:c r="E18" s="19" t="n">
        <x:f>'68_增量BOM'!P6</x:f>
        <x:v>1300</x:v>
      </x:c>
      <x:c r="F18" s="19" t="str">
        <x:f>IF(ABS(D18-E18)&lt;0.0001,"PASS","FAIL")</x:f>
        <x:v>PASS</x:v>
      </x:c>
      <x:c r="G18" s="19" t="str">
        <x:v>ERROR</x:v>
      </x:c>
      <x:c r="H18" s="19" t="str"/>
    </x:row>
    <x:row r="19" ht="36" customHeight="1">
      <x:c r="A19" s="410" t="str">
        <x:v>C32B-14</x:v>
      </x:c>
      <x:c r="B19" s="410" t="str">
        <x:v>BOM</x:v>
      </x:c>
      <x:c r="C19" s="410" t="str">
        <x:v>车身代理Mid取整2600</x:v>
      </x:c>
      <x:c r="D19" s="410" t="n">
        <x:v>2600</x:v>
      </x:c>
      <x:c r="E19" s="410" t="n">
        <x:f>'68_增量BOM'!Q6</x:f>
        <x:v>2600</x:v>
      </x:c>
      <x:c r="F19" s="410" t="str">
        <x:f>IF(ABS(D19-E19)&lt;0.0001,"PASS","FAIL")</x:f>
        <x:v>PASS</x:v>
      </x:c>
      <x:c r="G19" s="410" t="str">
        <x:v>ERROR</x:v>
      </x:c>
      <x:c r="H19" s="410" t="str"/>
    </x:row>
    <x:row r="20" ht="36" customHeight="1">
      <x:c r="A20" s="19" t="str">
        <x:v>C32B-15</x:v>
      </x:c>
      <x:c r="B20" s="19" t="str">
        <x:v>BOM</x:v>
      </x:c>
      <x:c r="C20" s="19" t="str">
        <x:v>车身代理High取整5400</x:v>
      </x:c>
      <x:c r="D20" s="19" t="n">
        <x:v>5400</x:v>
      </x:c>
      <x:c r="E20" s="19" t="n">
        <x:f>'68_增量BOM'!R6</x:f>
        <x:v>5400</x:v>
      </x:c>
      <x:c r="F20" s="19" t="str">
        <x:f>IF(ABS(D20-E20)&lt;0.0001,"PASS","FAIL")</x:f>
        <x:v>PASS</x:v>
      </x:c>
      <x:c r="G20" s="19" t="str">
        <x:v>ERROR</x:v>
      </x:c>
      <x:c r="H20" s="19" t="str"/>
    </x:row>
    <x:row r="21" ht="36" customHeight="1">
      <x:c r="A21" s="410" t="str">
        <x:v>C32B-16</x:v>
      </x:c>
      <x:c r="B21" s="410" t="str">
        <x:v>BOM</x:v>
      </x:c>
      <x:c r="C21" s="410" t="str">
        <x:v>核心物理BOM Low 2900</x:v>
      </x:c>
      <x:c r="D21" s="410" t="n">
        <x:v>2900</x:v>
      </x:c>
      <x:c r="E21" s="410" t="n">
        <x:f>'69_情景汇总'!C6</x:f>
        <x:v>2900</x:v>
      </x:c>
      <x:c r="F21" s="410" t="str">
        <x:f>IF(ABS(D21-E21)&lt;0.0001,"PASS","FAIL")</x:f>
        <x:v>PASS</x:v>
      </x:c>
      <x:c r="G21" s="410" t="str">
        <x:v>ERROR</x:v>
      </x:c>
      <x:c r="H21" s="410" t="str"/>
    </x:row>
    <x:row r="22" ht="36" customHeight="1">
      <x:c r="A22" s="19" t="str">
        <x:v>C32B-17</x:v>
      </x:c>
      <x:c r="B22" s="19" t="str">
        <x:v>BOM</x:v>
      </x:c>
      <x:c r="C22" s="19" t="str">
        <x:v>核心物理BOM Mid 5500</x:v>
      </x:c>
      <x:c r="D22" s="19" t="n">
        <x:v>5500</x:v>
      </x:c>
      <x:c r="E22" s="19" t="n">
        <x:f>'69_情景汇总'!D6</x:f>
        <x:v>5500</x:v>
      </x:c>
      <x:c r="F22" s="19" t="str">
        <x:f>IF(ABS(D22-E22)&lt;0.0001,"PASS","FAIL")</x:f>
        <x:v>PASS</x:v>
      </x:c>
      <x:c r="G22" s="19" t="str">
        <x:v>ERROR</x:v>
      </x:c>
      <x:c r="H22" s="19" t="str"/>
    </x:row>
    <x:row r="23" ht="36" customHeight="1">
      <x:c r="A23" s="410" t="str">
        <x:v>C32B-18</x:v>
      </x:c>
      <x:c r="B23" s="410" t="str">
        <x:v>BOM</x:v>
      </x:c>
      <x:c r="C23" s="410" t="str">
        <x:v>核心物理BOM High 10100</x:v>
      </x:c>
      <x:c r="D23" s="410" t="n">
        <x:v>10100</x:v>
      </x:c>
      <x:c r="E23" s="410" t="n">
        <x:f>'69_情景汇总'!E6</x:f>
        <x:v>10100</x:v>
      </x:c>
      <x:c r="F23" s="410" t="str">
        <x:f>IF(ABS(D23-E23)&lt;0.0001,"PASS","FAIL")</x:f>
        <x:v>PASS</x:v>
      </x:c>
      <x:c r="G23" s="410" t="str">
        <x:v>ERROR</x:v>
      </x:c>
      <x:c r="H23" s="410" t="str"/>
    </x:row>
    <x:row r="24" ht="36" customHeight="1">
      <x:c r="A24" s="19" t="str">
        <x:v>C32B-19</x:v>
      </x:c>
      <x:c r="B24" s="19" t="str">
        <x:v>BOM</x:v>
      </x:c>
      <x:c r="C24" s="19" t="str">
        <x:v>条件物理BOM Mid 7030</x:v>
      </x:c>
      <x:c r="D24" s="19" t="n">
        <x:v>7030</x:v>
      </x:c>
      <x:c r="E24" s="19" t="n">
        <x:f>'69_情景汇总'!D7</x:f>
        <x:v>7030</x:v>
      </x:c>
      <x:c r="F24" s="19" t="str">
        <x:f>IF(ABS(D24-E24)&lt;0.0001,"PASS","FAIL")</x:f>
        <x:v>PASS</x:v>
      </x:c>
      <x:c r="G24" s="19" t="str">
        <x:v>ERROR</x:v>
      </x:c>
      <x:c r="H24" s="19" t="str"/>
    </x:row>
    <x:row r="25" ht="36" customHeight="1">
      <x:c r="A25" s="410" t="str">
        <x:v>C32B-20</x:v>
      </x:c>
      <x:c r="B25" s="410" t="str">
        <x:v>BOM</x:v>
      </x:c>
      <x:c r="C25" s="410" t="str">
        <x:v>条件物理BOM High 13470</x:v>
      </x:c>
      <x:c r="D25" s="410" t="n">
        <x:v>13470</x:v>
      </x:c>
      <x:c r="E25" s="410" t="n">
        <x:f>'69_情景汇总'!E7</x:f>
        <x:v>13470</x:v>
      </x:c>
      <x:c r="F25" s="410" t="str">
        <x:f>IF(ABS(D25-E25)&lt;0.0001,"PASS","FAIL")</x:f>
        <x:v>PASS</x:v>
      </x:c>
      <x:c r="G25" s="410" t="str">
        <x:v>ERROR</x:v>
      </x:c>
      <x:c r="H25" s="410" t="str"/>
    </x:row>
    <x:row r="26" ht="36" customHeight="1">
      <x:c r="A26" s="19" t="str">
        <x:v>C32B-21</x:v>
      </x:c>
      <x:c r="B26" s="19" t="str">
        <x:v>OVERLAY</x:v>
      </x:c>
      <x:c r="C26" s="19" t="str">
        <x:v>制造率Low 1%</x:v>
      </x:c>
      <x:c r="D26" s="19" t="n">
        <x:v>0.01</x:v>
      </x:c>
      <x:c r="E26" s="19" t="n">
        <x:f>'67_成本参数'!D19</x:f>
        <x:v>0.01</x:v>
      </x:c>
      <x:c r="F26" s="19" t="str">
        <x:f>IF(ABS(D26-E26)&lt;0.0001,"PASS","FAIL")</x:f>
        <x:v>PASS</x:v>
      </x:c>
      <x:c r="G26" s="19" t="str">
        <x:v>ERROR</x:v>
      </x:c>
      <x:c r="H26" s="19" t="str"/>
    </x:row>
    <x:row r="27" ht="36" customHeight="1">
      <x:c r="A27" s="410" t="str">
        <x:v>C32B-22</x:v>
      </x:c>
      <x:c r="B27" s="410" t="str">
        <x:v>OVERLAY</x:v>
      </x:c>
      <x:c r="C27" s="410" t="str">
        <x:v>质保率Mid 1.5%</x:v>
      </x:c>
      <x:c r="D27" s="410" t="n">
        <x:v>0.015</x:v>
      </x:c>
      <x:c r="E27" s="410" t="n">
        <x:f>'67_成本参数'!E20</x:f>
        <x:v>0.015</x:v>
      </x:c>
      <x:c r="F27" s="410" t="str">
        <x:f>IF(ABS(D27-E27)&lt;0.0001,"PASS","FAIL")</x:f>
        <x:v>PASS</x:v>
      </x:c>
      <x:c r="G27" s="410" t="str">
        <x:v>ERROR</x:v>
      </x:c>
      <x:c r="H27" s="410" t="str"/>
    </x:row>
    <x:row r="28" ht="36" customHeight="1">
      <x:c r="A28" s="19" t="str">
        <x:v>C32B-23</x:v>
      </x:c>
      <x:c r="B28" s="19" t="str">
        <x:v>OVERLAY</x:v>
      </x:c>
      <x:c r="C28" s="19" t="str">
        <x:v>制造+质保High 7%</x:v>
      </x:c>
      <x:c r="D28" s="19" t="n">
        <x:v>0.07</x:v>
      </x:c>
      <x:c r="E28" s="19" t="n">
        <x:f>'67_成本参数'!F19+'67_成本参数'!F20</x:f>
        <x:v>0.07</x:v>
      </x:c>
      <x:c r="F28" s="19" t="str">
        <x:f>IF(ABS(D28-E28)&lt;0.0001,"PASS","FAIL")</x:f>
        <x:v>PASS</x:v>
      </x:c>
      <x:c r="G28" s="19" t="str">
        <x:v>ERROR</x:v>
      </x:c>
      <x:c r="H28" s="19" t="str"/>
    </x:row>
    <x:row r="29" ht="36" customHeight="1">
      <x:c r="A29" s="410" t="str">
        <x:v>C32B-24</x:v>
      </x:c>
      <x:c r="B29" s="410" t="str">
        <x:v>PRICING</x:v>
      </x:c>
      <x:c r="C29" s="410" t="str">
        <x:v>κ Low匹配Phase2.3C</x:v>
      </x:c>
      <x:c r="D29" s="410" t="n">
        <x:v>1.0254431631664882</x:v>
      </x:c>
      <x:c r="E29" s="410" t="n">
        <x:f>'67_成本参数'!D21</x:f>
        <x:v>1.0254431631664882</x:v>
      </x:c>
      <x:c r="F29" s="410" t="str">
        <x:f>IF(ABS(D29-E29)&lt;0.0001,"PASS","FAIL")</x:f>
        <x:v>PASS</x:v>
      </x:c>
      <x:c r="G29" s="410" t="str">
        <x:v>ERROR</x:v>
      </x:c>
      <x:c r="H29" s="410" t="str"/>
    </x:row>
    <x:row r="30" ht="36" customHeight="1">
      <x:c r="A30" s="19" t="str">
        <x:v>C32B-25</x:v>
      </x:c>
      <x:c r="B30" s="19" t="str">
        <x:v>PRICING</x:v>
      </x:c>
      <x:c r="C30" s="19" t="str">
        <x:v>κ Mid匹配Phase2.3C</x:v>
      </x:c>
      <x:c r="D30" s="19" t="n">
        <x:v>1.0694836789414475</x:v>
      </x:c>
      <x:c r="E30" s="19" t="n">
        <x:f>'67_成本参数'!E21</x:f>
        <x:v>1.0694836789414475</x:v>
      </x:c>
      <x:c r="F30" s="19" t="str">
        <x:f>IF(ABS(D30-E30)&lt;0.0001,"PASS","FAIL")</x:f>
        <x:v>PASS</x:v>
      </x:c>
      <x:c r="G30" s="19" t="str">
        <x:v>ERROR</x:v>
      </x:c>
      <x:c r="H30" s="19" t="str"/>
    </x:row>
    <x:row r="31" ht="36" customHeight="1">
      <x:c r="A31" s="410" t="str">
        <x:v>C32B-26</x:v>
      </x:c>
      <x:c r="B31" s="410" t="str">
        <x:v>PRICING</x:v>
      </x:c>
      <x:c r="C31" s="410" t="str">
        <x:v>κ High匹配Phase2.3C</x:v>
      </x:c>
      <x:c r="D31" s="410" t="n">
        <x:v>1.2206571280521978</x:v>
      </x:c>
      <x:c r="E31" s="410" t="n">
        <x:f>'67_成本参数'!F21</x:f>
        <x:v>1.2206571280521978</x:v>
      </x:c>
      <x:c r="F31" s="410" t="str">
        <x:f>IF(ABS(D31-E31)&lt;0.0001,"PASS","FAIL")</x:f>
        <x:v>PASS</x:v>
      </x:c>
      <x:c r="G31" s="410" t="str">
        <x:v>ERROR</x:v>
      </x:c>
      <x:c r="H31" s="410" t="str"/>
    </x:row>
    <x:row r="32" ht="36" customHeight="1">
      <x:c r="A32" s="19" t="str">
        <x:v>C32B-27</x:v>
      </x:c>
      <x:c r="B32" s="19" t="str">
        <x:v>PRICING</x:v>
      </x:c>
      <x:c r="C32" s="19" t="str">
        <x:v>VAT 13%</x:v>
      </x:c>
      <x:c r="D32" s="19" t="n">
        <x:v>0.13</x:v>
      </x:c>
      <x:c r="E32" s="19" t="n">
        <x:f>'67_成本参数'!E22</x:f>
        <x:v>0.13</x:v>
      </x:c>
      <x:c r="F32" s="19" t="str">
        <x:f>IF(ABS(D32-E32)&lt;0.0001,"PASS","FAIL")</x:f>
        <x:v>PASS</x:v>
      </x:c>
      <x:c r="G32" s="19" t="str">
        <x:v>ERROR</x:v>
      </x:c>
      <x:c r="H32" s="19" t="str"/>
    </x:row>
    <x:row r="33" ht="36" customHeight="1">
      <x:c r="A33" s="410" t="str">
        <x:v>C32B-28</x:v>
      </x:c>
      <x:c r="B33" s="410" t="str">
        <x:v>PRICING</x:v>
      </x:c>
      <x:c r="C33" s="410" t="str">
        <x:v>含税预售价差40000</x:v>
      </x:c>
      <x:c r="D33" s="410" t="n">
        <x:v>40000</x:v>
      </x:c>
      <x:c r="E33" s="410" t="n">
        <x:f>'70_预售价差拆解'!C9</x:f>
        <x:v>40000</x:v>
      </x:c>
      <x:c r="F33" s="410" t="str">
        <x:f>IF(ABS(D33-E33)&lt;0.0001,"PASS","FAIL")</x:f>
        <x:v>PASS</x:v>
      </x:c>
      <x:c r="G33" s="410" t="str">
        <x:v>ERROR</x:v>
      </x:c>
      <x:c r="H33" s="410" t="str"/>
    </x:row>
    <x:row r="34" ht="36" customHeight="1">
      <x:c r="A34" s="19" t="str">
        <x:v>C32B-29</x:v>
      </x:c>
      <x:c r="B34" s="19" t="str">
        <x:v>PRICING</x:v>
      </x:c>
      <x:c r="C34" s="19" t="str">
        <x:v>正式指导价桥关闭</x:v>
      </x:c>
      <x:c r="D34" s="19" t="n">
        <x:v>0</x:v>
      </x:c>
      <x:c r="E34" s="19" t="n">
        <x:f>'70_预售价差拆解'!C11</x:f>
        <x:v>0</x:v>
      </x:c>
      <x:c r="F34" s="19" t="str">
        <x:f>IF(ABS(D34-E34)&lt;0.0001,"PASS","FAIL")</x:f>
        <x:v>PASS</x:v>
      </x:c>
      <x:c r="G34" s="19" t="str">
        <x:v>ERROR</x:v>
      </x:c>
      <x:c r="H34" s="19" t="str"/>
    </x:row>
    <x:row r="35" ht="36" customHeight="1">
      <x:c r="A35" s="410" t="str">
        <x:v>C32B-30</x:v>
      </x:c>
      <x:c r="B35" s="410" t="str">
        <x:v>RULES</x:v>
      </x:c>
      <x:c r="C35" s="410" t="str">
        <x:v>普通ε权重0</x:v>
      </x:c>
      <x:c r="D35" s="410" t="n">
        <x:v>0</x:v>
      </x:c>
      <x:c r="E35" s="410" t="n">
        <x:f>'65_3.2B口径'!C18</x:f>
        <x:v>0</x:v>
      </x:c>
      <x:c r="F35" s="410" t="str">
        <x:f>IF(ABS(D35-E35)&lt;0.0001,"PASS","FAIL")</x:f>
        <x:v>PASS</x:v>
      </x:c>
      <x:c r="G35" s="410" t="str">
        <x:v>ERROR</x:v>
      </x:c>
      <x:c r="H35" s="410" t="str"/>
    </x:row>
    <x:row r="36" ht="36" customHeight="1">
      <x:c r="A36" s="19" t="str">
        <x:v>C32B-31</x:v>
      </x:c>
      <x:c r="B36" s="19" t="str">
        <x:v>RULES</x:v>
      </x:c>
      <x:c r="C36" s="19" t="str">
        <x:v>Pro门槛权重0</x:v>
      </x:c>
      <x:c r="D36" s="19" t="n">
        <x:v>0</x:v>
      </x:c>
      <x:c r="E36" s="19" t="n">
        <x:f>'65_3.2B口径'!C19</x:f>
        <x:v>0</x:v>
      </x:c>
      <x:c r="F36" s="19" t="str">
        <x:f>IF(ABS(D36-E36)&lt;0.0001,"PASS","FAIL")</x:f>
        <x:v>PASS</x:v>
      </x:c>
      <x:c r="G36" s="19" t="str">
        <x:v>ERROR</x:v>
      </x:c>
      <x:c r="H36" s="19" t="str"/>
    </x:row>
    <x:row r="37" ht="36" customHeight="1">
      <x:c r="A37" s="410" t="str">
        <x:v>C32B-32</x:v>
      </x:c>
      <x:c r="B37" s="410" t="str">
        <x:v>RULES</x:v>
      </x:c>
      <x:c r="C37" s="410" t="str">
        <x:v>Max通用项权重0</x:v>
      </x:c>
      <x:c r="D37" s="410" t="n">
        <x:v>0</x:v>
      </x:c>
      <x:c r="E37" s="410" t="n">
        <x:f>'65_3.2B口径'!C20</x:f>
        <x:v>0</x:v>
      </x:c>
      <x:c r="F37" s="410" t="str">
        <x:f>IF(ABS(D37-E37)&lt;0.0001,"PASS","FAIL")</x:f>
        <x:v>PASS</x:v>
      </x:c>
      <x:c r="G37" s="410" t="str">
        <x:v>ERROR</x:v>
      </x:c>
      <x:c r="H37" s="410" t="str"/>
    </x:row>
    <x:row r="38" ht="36" customHeight="1">
      <x:c r="A38" s="19" t="str">
        <x:v>C32B-33</x:v>
      </x:c>
      <x:c r="B38" s="19" t="str">
        <x:v>RULES</x:v>
      </x:c>
      <x:c r="C38" s="19" t="str">
        <x:v>Max交互权重0</x:v>
      </x:c>
      <x:c r="D38" s="19" t="n">
        <x:v>0</x:v>
      </x:c>
      <x:c r="E38" s="19" t="n">
        <x:f>'65_3.2B口径'!C21</x:f>
        <x:v>0</x:v>
      </x:c>
      <x:c r="F38" s="19" t="str">
        <x:f>IF(ABS(D38-E38)&lt;0.0001,"PASS","FAIL")</x:f>
        <x:v>PASS</x:v>
      </x:c>
      <x:c r="G38" s="19" t="str">
        <x:v>ERROR</x:v>
      </x:c>
      <x:c r="H38" s="19" t="str"/>
    </x:row>
    <x:row r="39" ht="36" customHeight="1">
      <x:c r="A39" s="410" t="str">
        <x:v>C32B-34</x:v>
      </x:c>
      <x:c r="B39" s="410" t="str">
        <x:v>RULES</x:v>
      </x:c>
      <x:c r="C39" s="410" t="str">
        <x:v>固定跨系常数权重0</x:v>
      </x:c>
      <x:c r="D39" s="410" t="n">
        <x:v>0</x:v>
      </x:c>
      <x:c r="E39" s="410" t="n">
        <x:f>'65_3.2B口径'!C22</x:f>
        <x:v>0</x:v>
      </x:c>
      <x:c r="F39" s="410" t="str">
        <x:f>IF(ABS(D39-E39)&lt;0.0001,"PASS","FAIL")</x:f>
        <x:v>PASS</x:v>
      </x:c>
      <x:c r="G39" s="410" t="str">
        <x:v>ERROR</x:v>
      </x:c>
      <x:c r="H39" s="410" t="str"/>
    </x:row>
    <x:row r="40" ht="36" customHeight="1">
      <x:c r="A40" s="19" t="str">
        <x:v>C32B-35</x:v>
      </x:c>
      <x:c r="B40" s="19" t="str">
        <x:v>EXCLUSION</x:v>
      </x:c>
      <x:c r="C40" s="19" t="str">
        <x:v>选装池6项</x:v>
      </x:c>
      <x:c r="D40" s="19" t="n">
        <x:v>6</x:v>
      </x:c>
      <x:c r="E40" s="19" t="n">
        <x:f>'65_3.2B口径'!F23</x:f>
        <x:v>6</x:v>
      </x:c>
      <x:c r="F40" s="19" t="str">
        <x:f>IF(ABS(D40-E40)&lt;0.0001,"PASS","FAIL")</x:f>
        <x:v>PASS</x:v>
      </x:c>
      <x:c r="G40" s="19" t="str">
        <x:v>ERROR</x:v>
      </x:c>
      <x:c r="H40" s="19" t="str"/>
    </x:row>
    <x:row r="41" ht="36" customHeight="1">
      <x:c r="A41" s="410" t="str">
        <x:v>C32B-36</x:v>
      </x:c>
      <x:c r="B41" s="410" t="str">
        <x:v>EXCLUSION</x:v>
      </x:c>
      <x:c r="C41" s="410" t="str">
        <x:v>附件池6项</x:v>
      </x:c>
      <x:c r="D41" s="410" t="n">
        <x:v>6</x:v>
      </x:c>
      <x:c r="E41" s="410" t="n">
        <x:f>'65_3.2B口径'!F24</x:f>
        <x:v>6</x:v>
      </x:c>
      <x:c r="F41" s="410" t="str">
        <x:f>IF(ABS(D41-E41)&lt;0.0001,"PASS","FAIL")</x:f>
        <x:v>PASS</x:v>
      </x:c>
      <x:c r="G41" s="410" t="str">
        <x:v>ERROR</x:v>
      </x:c>
      <x:c r="H41" s="410" t="str"/>
    </x:row>
    <x:row r="42" ht="36" customHeight="1">
      <x:c r="A42" s="19" t="str">
        <x:v>C32B-37</x:v>
      </x:c>
      <x:c r="B42" s="19" t="str">
        <x:v>BOUNDARY</x:v>
      </x:c>
      <x:c r="C42" s="19" t="str">
        <x:v>共同绝对成本三情景均0</x:v>
      </x:c>
      <x:c r="D42" s="19" t="n">
        <x:v>0</x:v>
      </x:c>
      <x:c r="E42" s="19" t="n">
        <x:f>SUM('66_共同底座'!I6:K13)</x:f>
        <x:v>0</x:v>
      </x:c>
      <x:c r="F42" s="19" t="str">
        <x:f>IF(ABS(D42-E42)&lt;0.0001,"PASS","FAIL")</x:f>
        <x:v>PASS</x:v>
      </x:c>
      <x:c r="G42" s="19" t="str">
        <x:v>ERROR</x:v>
      </x:c>
      <x:c r="H42" s="19" t="str"/>
    </x:row>
    <x:row r="43" ht="36" customHeight="1">
      <x:c r="A43" s="410" t="str">
        <x:v>C32B-38</x:v>
      </x:c>
      <x:c r="B43" s="410" t="str">
        <x:v>BOUNDARY</x:v>
      </x:c>
      <x:c r="C43" s="410" t="str">
        <x:v>九宫格High-High残余保持正</x:v>
      </x:c>
      <x:c r="D43" s="410" t="n">
        <x:v>1</x:v>
      </x:c>
      <x:c r="E43" s="410" t="n">
        <x:f>IF('71_九情景敏感性'!D15&gt;0,1,0)</x:f>
        <x:v>1</x:v>
      </x:c>
      <x:c r="F43" s="410" t="str">
        <x:f>IF(ABS(D43-E43)&lt;0.0001,"PASS","FAIL")</x:f>
        <x:v>PASS</x:v>
      </x:c>
      <x:c r="G43" s="410" t="str">
        <x:v>ERROR</x:v>
      </x:c>
      <x:c r="H43" s="410" t="str"/>
    </x:row>
    <x:row r="44" ht="36" customHeight="1">
      <x:c r="A44" s="19" t="str">
        <x:v>C32B-39</x:v>
      </x:c>
      <x:c r="B44" s="19" t="str">
        <x:v>BOUNDARY</x:v>
      </x:c>
      <x:c r="C44" s="19" t="str">
        <x:v>N70商业电池同配未锁</x:v>
      </x:c>
      <x:c r="D44" s="19" t="n">
        <x:v>0</x:v>
      </x:c>
      <x:c r="E44" s="19" t="n">
        <x:f>COUNTIF('66_共同底座'!G6,"TRUE")</x:f>
        <x:v>0</x:v>
      </x:c>
      <x:c r="F44" s="19" t="str">
        <x:f>IF(ABS(D44-E44)&lt;0.0001,"PASS","FAIL")</x:f>
        <x:v>PASS</x:v>
      </x:c>
      <x:c r="G44" s="19" t="str">
        <x:v>ERROR</x:v>
      </x:c>
      <x:c r="H44" s="19" t="str"/>
    </x:row>
    <x:row r="45" ht="36" customHeight="1">
      <x:c r="A45" s="410" t="str">
        <x:v>C32B-40</x:v>
      </x:c>
      <x:c r="B45" s="410" t="str">
        <x:v>SIGNOFF</x:v>
      </x:c>
      <x:c r="C45" s="410" t="str">
        <x:v>Phase3.2B工程签核1</x:v>
      </x:c>
      <x:c r="D45" s="410" t="n">
        <x:v>1</x:v>
      </x:c>
      <x:c r="E45" s="410" t="n">
        <x:f>COUNTIF('72_3.2B签核'!F6:F16,"READY_ENGINEERING_PRESALE_RECONCILIATION")</x:f>
        <x:v>1</x:v>
      </x:c>
      <x:c r="F45" s="410" t="str">
        <x:f>IF(ABS(D45-E45)&lt;0.0001,"PASS","FAIL")</x:f>
        <x:v>PASS</x:v>
      </x:c>
      <x:c r="G45" s="410" t="str">
        <x:v>ERROR</x:v>
      </x:c>
      <x:c r="H45" s="410" t="str"/>
    </x:row>
    <x:row r="47" ht="24" customHeight="1">
      <x:c r="A47" s="413" t="str">
        <x:v>审计汇总</x:v>
      </x:c>
      <x:c r="B47" s="413"/>
      <x:c r="C47" s="413"/>
      <x:c r="D47" s="413"/>
      <x:c r="E47" s="413"/>
      <x:c r="F47" s="413"/>
      <x:c r="G47" s="413"/>
      <x:c r="H47" s="413"/>
    </x:row>
    <x:row r="48" ht="44" customHeight="1">
      <x:c r="A48" s="19" t="str">
        <x:v>检查总数</x:v>
      </x:c>
      <x:c r="B48" s="19" t="n">
        <x:f>COUNTA(A6:A45)</x:f>
        <x:v>40</x:v>
      </x:c>
      <x:c r="C48" s="19" t="str"/>
      <x:c r="D48" s="19" t="str"/>
      <x:c r="E48" s="19" t="str"/>
      <x:c r="F48" s="19" t="str"/>
      <x:c r="G48" s="19" t="str"/>
      <x:c r="H48" s="19" t="str"/>
    </x:row>
    <x:row r="49" ht="44" customHeight="1">
      <x:c r="A49" s="410" t="str">
        <x:v>失败检查</x:v>
      </x:c>
      <x:c r="B49" s="410" t="n">
        <x:f>COUNTIF(F6:F45,"FAIL")</x:f>
        <x:v>0</x:v>
      </x:c>
      <x:c r="C49" s="410" t="str"/>
      <x:c r="D49" s="410" t="str"/>
      <x:c r="E49" s="410" t="str"/>
      <x:c r="F49" s="410" t="str"/>
      <x:c r="G49" s="410" t="str"/>
      <x:c r="H49" s="410" t="str"/>
    </x:row>
    <x:row r="50" ht="44" customHeight="1">
      <x:c r="A50" s="19" t="str">
        <x:v>成本公式倒推标记</x:v>
      </x:c>
      <x:c r="B50" s="19" t="n">
        <x:f>COUNTIF('68_增量BOM'!H6:H21,"YES")</x:f>
        <x:v>0</x:v>
      </x:c>
      <x:c r="C50" s="19" t="str"/>
      <x:c r="D50" s="19" t="str"/>
      <x:c r="E50" s="19" t="str"/>
      <x:c r="F50" s="19" t="str"/>
      <x:c r="G50" s="19" t="str"/>
      <x:c r="H50" s="19" t="str"/>
    </x:row>
    <x:row r="51" ht="44" customHeight="1">
      <x:c r="A51" s="410" t="str">
        <x:v>公式错误</x:v>
      </x:c>
      <x:c r="B51" s="410" t="n">
        <x:v>0</x:v>
      </x:c>
      <x:c r="C51" s="410" t="str"/>
      <x:c r="D51" s="410" t="str"/>
      <x:c r="E51" s="410" t="str"/>
      <x:c r="F51" s="410" t="str"/>
      <x:c r="G51" s="410" t="str"/>
      <x:c r="H51" s="410" t="str"/>
    </x:row>
    <x:row r="52" ht="44" customHeight="1">
      <x:c r="A52" s="19" t="str">
        <x:v>正式价格桥</x:v>
      </x:c>
      <x:c r="B52" s="19" t="str">
        <x:f>IF('70_预售价差拆解'!C11=0,"BLOCKED","READY")</x:f>
        <x:v>BLOCKED</x:v>
      </x:c>
      <x:c r="C52" s="19" t="str"/>
      <x:c r="D52" s="19" t="str"/>
      <x:c r="E52" s="19" t="str"/>
      <x:c r="F52" s="19" t="str"/>
      <x:c r="G52" s="19" t="str"/>
      <x:c r="H52" s="19" t="str"/>
    </x:row>
    <x:row r="53" ht="44" customHeight="1">
      <x:c r="A53" s="410" t="str">
        <x:v>阶段状态</x:v>
      </x:c>
      <x:c r="B53" s="410" t="str">
        <x:f>IF(AND(B49=0,B50=0,B51=0),"READY_ENGINEERING_PRESALE_RECONCILIATION","REVIEW_REQUIRED")</x:f>
        <x:v>READY_ENGINEERING_PRESALE_RECONCILIATION</x:v>
      </x:c>
      <x:c r="C53" s="410" t="str"/>
      <x:c r="D53" s="410" t="str"/>
      <x:c r="E53" s="410" t="str"/>
      <x:c r="F53" s="410" t="str"/>
      <x:c r="G53" s="410" t="str"/>
      <x:c r="H53" s="410" t="str"/>
    </x:row>
  </x:sheetData>
  <x:mergeCells>
    <x:mergeCell ref="A1:H1"/>
    <x:mergeCell ref="A2:H2"/>
    <x:mergeCell ref="A3:H3"/>
    <x:mergeCell ref="A47:H47"/>
  </x:mergeCells>
  <x:conditionalFormatting sqref="F6:G45">
    <x:cfRule type="containsText" dxfId="1444" priority="1" operator="containsText" text="PASS"/>
    <x:cfRule type="containsText" dxfId="1445" priority="2" operator="containsText" text="READY"/>
    <x:cfRule type="containsText" dxfId="1446" priority="3" operator="containsText" text="TRUE"/>
    <x:cfRule type="containsText" dxfId="1447" priority="4" operator="containsText" text="CORE"/>
    <x:cfRule type="containsText" dxfId="1448" priority="5" operator="containsText" text="LOCKED"/>
    <x:cfRule type="containsText" dxfId="1449" priority="6" operator="containsText" text="ZERO_DELTA"/>
    <x:cfRule type="containsText" dxfId="1450" priority="7" operator="containsText" text="CONDITIONAL"/>
    <x:cfRule type="containsText" dxfId="1451" priority="8" operator="containsText" text="PROVISIONAL"/>
    <x:cfRule type="containsText" dxfId="1452" priority="9" operator="containsText" text="HOLD"/>
    <x:cfRule type="containsText" dxfId="1453" priority="10" operator="containsText" text="NOT_DISCLOSED"/>
    <x:cfRule type="containsText" dxfId="1454" priority="11" operator="containsText" text="BLOCKED"/>
    <x:cfRule type="containsText" dxfId="1455" priority="12" operator="containsText" text="FAIL"/>
    <x:cfRule type="containsText" dxfId="1456" priority="13" operator="containsText" text="FALSE"/>
    <x:cfRule type="containsText" dxfId="1457" priority="14" operator="containsText" text="EXCLUDED"/>
    <x:cfRule type="containsText" dxfId="1458" priority="15" operator="containsText" text="OPTION"/>
  </x:conditionalFormatting>
  <x:conditionalFormatting sqref="B48:B53">
    <x:cfRule type="containsText" dxfId="1459" priority="16" operator="containsText" text="PASS"/>
    <x:cfRule type="containsText" dxfId="1460" priority="17" operator="containsText" text="READY"/>
    <x:cfRule type="containsText" dxfId="1461" priority="18" operator="containsText" text="TRUE"/>
    <x:cfRule type="containsText" dxfId="1462" priority="19" operator="containsText" text="CORE"/>
    <x:cfRule type="containsText" dxfId="1463" priority="20" operator="containsText" text="LOCKED"/>
    <x:cfRule type="containsText" dxfId="1464" priority="21" operator="containsText" text="ZERO_DELTA"/>
    <x:cfRule type="containsText" dxfId="1465" priority="22" operator="containsText" text="CONDITIONAL"/>
    <x:cfRule type="containsText" dxfId="1466" priority="23" operator="containsText" text="PROVISIONAL"/>
    <x:cfRule type="containsText" dxfId="1467" priority="24" operator="containsText" text="HOLD"/>
    <x:cfRule type="containsText" dxfId="1468" priority="25" operator="containsText" text="NOT_DISCLOSED"/>
    <x:cfRule type="containsText" dxfId="1469" priority="26" operator="containsText" text="BLOCKED"/>
    <x:cfRule type="containsText" dxfId="1470" priority="27" operator="containsText" text="FAIL"/>
    <x:cfRule type="containsText" dxfId="1471" priority="28" operator="containsText" text="FALSE"/>
    <x:cfRule type="containsText" dxfId="1472" priority="29" operator="containsText" text="EXCLUDED"/>
    <x:cfRule type="containsText" dxfId="1473" priority="30" operator="containsText" text="OPTION"/>
  </x:conditionalFormatting>
  <x:pageMargins left="0.7" right="0.7" top="0.75" bottom="0.75" header="0.3" footer="0.3"/>
</x:worksheet>
</file>

<file path=xl/worksheets/sheet7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4" hidden="0" customWidth="1"/>
    <x:col min="3" max="3" width="48" hidden="0" customWidth="1"/>
    <x:col min="4" max="4" width="22" hidden="0" customWidth="1"/>
    <x:col min="5" max="5" width="22" hidden="0" customWidth="1"/>
    <x:col min="6" max="6" width="25" hidden="0" customWidth="1"/>
    <x:col min="7" max="7" width="15" hidden="0" customWidth="1"/>
    <x:col min="8" max="8" width="15" hidden="0" customWidth="1"/>
    <x:col min="9" max="9" width="24" hidden="0" customWidth="1"/>
    <x:col min="10" max="10" width="28" hidden="0" customWidth="1"/>
    <x:col min="11" max="11" width="46" hidden="0" customWidth="1"/>
  </x:cols>
  <x:sheetData>
    <x:row r="1" ht="30" customHeight="1">
      <x:c r="A1" s="432" t="str">
        <x:v>74｜Phase 3.2C N90普通五座→升顶特殊五座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</x:row>
    <x:row r="2" ht="22" customHeight="1">
      <x:c r="A2" s="435" t="str">
        <x:v>同座位技术桥 × 特殊机构bottom-up × 固定成本/销量摊销 × 七座商业口径回接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</x:row>
    <x:row r="3" ht="68" customHeight="1">
      <x:c r="A3" s="439" t="str">
        <x:v>先用V-N90-5对V-ROOF-5，隔离升顶技术增量；再把已发布七座N90 Max的第三排座椅成本单列扣回。升顶候选仍未商品化，因此本阶段输出的是工程成本与算术价格口径，不是正式售价。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</x:row>
    <x:row r="5" ht="54" customHeight="1">
      <x:c r="A5" s="444" t="str">
        <x:v>规则ID</x:v>
      </x:c>
      <x:c r="B5" s="444" t="str">
        <x:v>步骤</x:v>
      </x:c>
      <x:c r="C5" s="444" t="str">
        <x:v>模型动作</x:v>
      </x:c>
      <x:c r="D5" s="444" t="str">
        <x:v>Low</x:v>
      </x:c>
      <x:c r="E5" s="444" t="str">
        <x:v>Mid</x:v>
      </x:c>
      <x:c r="F5" s="444" t="str">
        <x:v>High</x:v>
      </x:c>
      <x:c r="G5" s="444" t="str">
        <x:v>是否乘κ</x:v>
      </x:c>
      <x:c r="H5" s="444" t="str">
        <x:v>VAT</x:v>
      </x:c>
      <x:c r="I5" s="444" t="str">
        <x:v>防重键</x:v>
      </x:c>
      <x:c r="J5" s="444" t="str">
        <x:v>状态</x:v>
      </x:c>
      <x:c r="K5" s="444" t="str">
        <x:v>边界</x:v>
      </x:c>
    </x:row>
    <x:row r="6" ht="58" customHeight="1">
      <x:c r="A6" s="19" t="str">
        <x:v>R32C-01</x:v>
      </x:c>
      <x:c r="B6" s="19" t="str">
        <x:v>技术基线</x:v>
      </x:c>
      <x:c r="C6" s="19" t="str">
        <x:v>普通N90五座准入变体对升顶五座准入变体</x:v>
      </x:c>
      <x:c r="D6" s="19" t="str">
        <x:v>同座位</x:v>
      </x:c>
      <x:c r="E6" s="19" t="str">
        <x:v>同座位</x:v>
      </x:c>
      <x:c r="F6" s="19" t="str">
        <x:v>同座位</x:v>
      </x:c>
      <x:c r="G6" s="19" t="str">
        <x:v>按项目</x:v>
      </x:c>
      <x:c r="H6" s="19" t="str">
        <x:v>末端一次</x:v>
      </x:c>
      <x:c r="I6" s="19" t="str">
        <x:v>SEAT_NEUTRAL_TECH</x:v>
      </x:c>
      <x:c r="J6" s="19" t="str">
        <x:v>LOCKED_REGULATORY</x:v>
      </x:c>
      <x:c r="K6" s="19" t="str">
        <x:v>V-N90-5不是独立商业SKU</x:v>
      </x:c>
    </x:row>
    <x:row r="7" ht="58" customHeight="1">
      <x:c r="A7" s="445" t="str">
        <x:v>R32C-02</x:v>
      </x:c>
      <x:c r="B7" s="445" t="str">
        <x:v>共用系统</x:v>
      </x:c>
      <x:c r="C7" s="445" t="str">
        <x:v>长宽轴距/电池/电驱/增程器/轮胎绝对成本归零</x:v>
      </x:c>
      <x:c r="D7" s="445" t="str">
        <x:v>0</x:v>
      </x:c>
      <x:c r="E7" s="445" t="str">
        <x:v>0</x:v>
      </x:c>
      <x:c r="F7" s="445" t="str">
        <x:v>0</x:v>
      </x:c>
      <x:c r="G7" s="445" t="str">
        <x:v>NO</x:v>
      </x:c>
      <x:c r="H7" s="445" t="str">
        <x:v>NO</x:v>
      </x:c>
      <x:c r="I7" s="445" t="str">
        <x:v>COMMON_ROOT_ONCE</x:v>
      </x:c>
      <x:c r="J7" s="445" t="str">
        <x:v>PASS</x:v>
      </x:c>
      <x:c r="K7" s="445" t="str">
        <x:v>性能/续航差不是独立成本项</x:v>
      </x:c>
    </x:row>
    <x:row r="8" ht="58" customHeight="1">
      <x:c r="A8" s="19" t="str">
        <x:v>R32C-03</x:v>
      </x:c>
      <x:c r="B8" s="19" t="str">
        <x:v>特殊升顶</x:v>
      </x:c>
      <x:c r="C8" s="19" t="str">
        <x:v>结构加强、顶壳、机构、执行、软围、密封、饰件bottom-up</x:v>
      </x:c>
      <x:c r="D8" s="19" t="str">
        <x:v>供应链成熟</x:v>
      </x:c>
      <x:c r="E8" s="19" t="str">
        <x:v>中性采购</x:v>
      </x:c>
      <x:c r="F8" s="19" t="str">
        <x:v>低量复杂</x:v>
      </x:c>
      <x:c r="G8" s="19" t="str">
        <x:v>NO</x:v>
      </x:c>
      <x:c r="H8" s="19" t="str">
        <x:v>末端一次</x:v>
      </x:c>
      <x:c r="I8" s="19" t="str">
        <x:v>SPECIAL_ROOF_ROOT</x:v>
      </x:c>
      <x:c r="J8" s="19" t="str">
        <x:v>SPECIAL_BOTTOM_UP</x:v>
      </x:c>
      <x:c r="K8" s="19" t="str">
        <x:v>特殊项不得套普通κ</x:v>
      </x:c>
    </x:row>
    <x:row r="9" ht="58" customHeight="1">
      <x:c r="A9" s="445" t="str">
        <x:v>R32C-04</x:v>
      </x:c>
      <x:c r="B9" s="445" t="str">
        <x:v>普通生活设施</x:v>
      </x:c>
      <x:c r="C9" s="445" t="str">
        <x:v>床板、边柜、侧帐接口作为普通硬件净增</x:v>
      </x:c>
      <x:c r="D9" s="445" t="str">
        <x:v>保守</x:v>
      </x:c>
      <x:c r="E9" s="445" t="str">
        <x:v>中性</x:v>
      </x:c>
      <x:c r="F9" s="445" t="str">
        <x:v>高配</x:v>
      </x:c>
      <x:c r="G9" s="445" t="str">
        <x:v>YES</x:v>
      </x:c>
      <x:c r="H9" s="445" t="str">
        <x:v>末端一次</x:v>
      </x:c>
      <x:c r="I9" s="445" t="str">
        <x:v>LIFESTYLE_ORDINARY</x:v>
      </x:c>
      <x:c r="J9" s="445" t="str">
        <x:v>ORDINARY_KAPPA</x:v>
      </x:c>
      <x:c r="K9" s="445" t="str">
        <x:v>接口不等于完整车边帐</x:v>
      </x:c>
    </x:row>
    <x:row r="10" ht="58" customHeight="1">
      <x:c r="A10" s="19" t="str">
        <x:v>R32C-05</x:v>
      </x:c>
      <x:c r="B10" s="19" t="str">
        <x:v>制造覆盖</x:v>
      </x:c>
      <x:c r="C10" s="19" t="str">
        <x:v>继承1%/2%/4%，只对物理BOM计一次</x:v>
      </x:c>
      <x:c r="D10" s="19" t="str">
        <x:v>1%</x:v>
      </x:c>
      <x:c r="E10" s="19" t="str">
        <x:v>2%</x:v>
      </x:c>
      <x:c r="F10" s="19" t="str">
        <x:v>4%</x:v>
      </x:c>
      <x:c r="G10" s="19" t="str">
        <x:v>NO</x:v>
      </x:c>
      <x:c r="H10" s="19" t="str">
        <x:v>末端一次</x:v>
      </x:c>
      <x:c r="I10" s="19" t="str">
        <x:v>MFG_ONCE</x:v>
      </x:c>
      <x:c r="J10" s="19" t="str">
        <x:v>PASS</x:v>
      </x:c>
      <x:c r="K10" s="19" t="str">
        <x:v>供应商件价不含整车厂专用工位覆盖</x:v>
      </x:c>
    </x:row>
    <x:row r="11" ht="58" customHeight="1">
      <x:c r="A11" s="445" t="str">
        <x:v>R32C-06</x:v>
      </x:c>
      <x:c r="B11" s="445" t="str">
        <x:v>质保覆盖</x:v>
      </x:c>
      <x:c r="C11" s="445" t="str">
        <x:v>普通M10覆盖+升顶运动/密封超额风险</x:v>
      </x:c>
      <x:c r="D11" s="445" t="str">
        <x:v>3%总目标</x:v>
      </x:c>
      <x:c r="E11" s="445" t="str">
        <x:v>7%总目标</x:v>
      </x:c>
      <x:c r="F11" s="445" t="str">
        <x:v>15%总目标</x:v>
      </x:c>
      <x:c r="G11" s="445" t="str">
        <x:v>NO</x:v>
      </x:c>
      <x:c r="H11" s="445" t="str">
        <x:v>末端一次</x:v>
      </x:c>
      <x:c r="I11" s="445" t="str">
        <x:v>WARRANTY_SPLIT</x:v>
      </x:c>
      <x:c r="J11" s="445" t="str">
        <x:v>SCENARIO</x:v>
      </x:c>
      <x:c r="K11" s="445" t="str">
        <x:v>超额只作用风险基数，不作用NRE</x:v>
      </x:c>
    </x:row>
    <x:row r="12" ht="58" customHeight="1">
      <x:c r="A12" s="19" t="str">
        <x:v>R32C-07</x:v>
      </x:c>
      <x:c r="B12" s="19" t="str">
        <x:v>直接工序</x:v>
      </x:c>
      <x:c r="C12" s="19" t="str">
        <x:v>低量总装、功能检查、淋雨/EOL逐车测试</x:v>
      </x:c>
      <x:c r="D12" s="19" t="str">
        <x:v>300</x:v>
      </x:c>
      <x:c r="E12" s="19" t="str">
        <x:v>1000</x:v>
      </x:c>
      <x:c r="F12" s="19" t="str">
        <x:v>2500</x:v>
      </x:c>
      <x:c r="G12" s="19" t="str">
        <x:v>NO</x:v>
      </x:c>
      <x:c r="H12" s="19" t="str">
        <x:v>末端一次</x:v>
      </x:c>
      <x:c r="I12" s="19" t="str">
        <x:v>SPECIAL_EOL</x:v>
      </x:c>
      <x:c r="J12" s="19" t="str">
        <x:v>SCENARIO</x:v>
      </x:c>
      <x:c r="K12" s="19" t="str">
        <x:v>不再另加MOQ百分比</x:v>
      </x:c>
    </x:row>
    <x:row r="13" ht="58" customHeight="1">
      <x:c r="A13" s="445" t="str">
        <x:v>R32C-08</x:v>
      </x:c>
      <x:c r="B13" s="445" t="str">
        <x:v>NRE摊销</x:v>
      </x:c>
      <x:c r="C13" s="445" t="str">
        <x:v>研发/验证/认证/工装总额÷生命周期销量</x:v>
      </x:c>
      <x:c r="D13" s="445" t="str">
        <x:v>4000万/2万台</x:v>
      </x:c>
      <x:c r="E13" s="445" t="str">
        <x:v>8500万/8000台</x:v>
      </x:c>
      <x:c r="F13" s="445" t="str">
        <x:v>1.5亿/3000台</x:v>
      </x:c>
      <x:c r="G13" s="445" t="str">
        <x:v>NO</x:v>
      </x:c>
      <x:c r="H13" s="445" t="str">
        <x:v>末端一次</x:v>
      </x:c>
      <x:c r="I13" s="445" t="str">
        <x:v>NRE_AMORT_ONCE</x:v>
      </x:c>
      <x:c r="J13" s="445" t="str">
        <x:v>SCENARIO</x:v>
      </x:c>
      <x:c r="K13" s="445" t="str">
        <x:v>高情景是小批量压力尾部</x:v>
      </x:c>
    </x:row>
    <x:row r="14" ht="58" customHeight="1">
      <x:c r="A14" s="19" t="str">
        <x:v>R32C-09</x:v>
      </x:c>
      <x:c r="B14" s="19" t="str">
        <x:v>商业回接</x:v>
      </x:c>
      <x:c r="C14" s="19" t="str">
        <x:v>相对七座预售Max扣除第三排普通硬件成本传导</x:v>
      </x:c>
      <x:c r="D14" s="19" t="str">
        <x:v>单列</x:v>
      </x:c>
      <x:c r="E14" s="19" t="str">
        <x:v>单列</x:v>
      </x:c>
      <x:c r="F14" s="19" t="str">
        <x:v>单列</x:v>
      </x:c>
      <x:c r="G14" s="19" t="str">
        <x:v>YES</x:v>
      </x:c>
      <x:c r="H14" s="19" t="str">
        <x:v>末端一次</x:v>
      </x:c>
      <x:c r="I14" s="19" t="str">
        <x:v>SEAT_CREDIT_ONCE</x:v>
      </x:c>
      <x:c r="J14" s="19" t="str">
        <x:v>PROVISIONAL_ARITHMETIC</x:v>
      </x:c>
      <x:c r="K14" s="19" t="str">
        <x:v>不证明升顶正式售价</x:v>
      </x:c>
    </x:row>
    <x:row r="15" ht="58" customHeight="1">
      <x:c r="A15" s="445" t="str">
        <x:v>R32C-10</x:v>
      </x:c>
      <x:c r="B15" s="445" t="str">
        <x:v>正式价格桥</x:v>
      </x:c>
      <x:c r="C15" s="445" t="str">
        <x:v>App车辆SKU、正式指导价与配置修订未锁，继续关闭</x:v>
      </x:c>
      <x:c r="D15" s="445" t="str">
        <x:v>0</x:v>
      </x:c>
      <x:c r="E15" s="445" t="str">
        <x:v>0</x:v>
      </x:c>
      <x:c r="F15" s="445" t="str">
        <x:v>0</x:v>
      </x:c>
      <x:c r="G15" s="445" t="str">
        <x:v>NO</x:v>
      </x:c>
      <x:c r="H15" s="445" t="str">
        <x:v>NO</x:v>
      </x:c>
      <x:c r="I15" s="445" t="str">
        <x:v>FORMAL_PRICE_GATE</x:v>
      </x:c>
      <x:c r="J15" s="445" t="str">
        <x:v>BLOCKED</x:v>
      </x:c>
      <x:c r="K15" s="445" t="str">
        <x:v>299900仅作预售算术锚点</x:v>
      </x:c>
    </x:row>
    <x:row r="17" ht="24" customHeight="1">
      <x:c r="A17" s="448" t="str">
        <x:v>明确排除与不得推导</x:v>
      </x:c>
      <x:c r="B17" s="448"/>
      <x:c r="C17" s="448"/>
      <x:c r="D17" s="448"/>
      <x:c r="E17" s="448"/>
      <x:c r="F17" s="448"/>
      <x:c r="G17" s="448"/>
      <x:c r="H17" s="448"/>
      <x:c r="I17" s="448"/>
      <x:c r="J17" s="448"/>
      <x:c r="K17" s="448"/>
    </x:row>
    <x:row r="18" ht="46" customHeight="1">
      <x:c r="A18" s="444" t="str">
        <x:v>项目</x:v>
      </x:c>
      <x:c r="B18" s="444" t="str">
        <x:v>监管状态</x:v>
      </x:c>
      <x:c r="C18" s="444" t="str">
        <x:v>基础BOM</x:v>
      </x:c>
      <x:c r="D18" s="444" t="str">
        <x:v>本阶段处理</x:v>
      </x:c>
      <x:c r="E18" s="444" t="str">
        <x:v>原因</x:v>
      </x:c>
      <x:c r="F18" s="444" t="str">
        <x:v>后续触发</x:v>
      </x:c>
      <x:c r="G18" t="str"/>
      <x:c r="H18" t="str"/>
      <x:c r="I18" t="str"/>
      <x:c r="J18" t="str"/>
      <x:c r="K18" t="str"/>
    </x:row>
    <x:row r="19" ht="50" customHeight="1">
      <x:c r="A19" s="19" t="str">
        <x:v>投影设备</x:v>
      </x:c>
      <x:c r="B19" s="19" t="str">
        <x:v>准入选装</x:v>
      </x:c>
      <x:c r="C19" s="19" t="str">
        <x:v>EXCLUDED</x:v>
      </x:c>
      <x:c r="D19" s="19" t="str">
        <x:v>0</x:v>
      </x:c>
      <x:c r="E19" s="19" t="str">
        <x:v>allowed≠standard</x:v>
      </x:c>
      <x:c r="F19" s="19" t="str">
        <x:v>App版本卡明确标配</x:v>
      </x:c>
    </x:row>
    <x:row r="20" ht="50" customHeight="1">
      <x:c r="A20" s="445" t="str">
        <x:v>车载桌板</x:v>
      </x:c>
      <x:c r="B20" s="445" t="str">
        <x:v>准入选装/普通N90另购</x:v>
      </x:c>
      <x:c r="C20" s="445" t="str">
        <x:v>EXCLUDED</x:v>
      </x:c>
      <x:c r="D20" s="445" t="str">
        <x:v>0</x:v>
      </x:c>
      <x:c r="E20" s="445" t="str">
        <x:v>商品属性未锁且可能为附件</x:v>
      </x:c>
      <x:c r="F20" s="445" t="str">
        <x:v>App版本卡与价格表</x:v>
      </x:c>
    </x:row>
    <x:row r="21" ht="50" customHeight="1">
      <x:c r="A21" s="19" t="str">
        <x:v>专用床垫</x:v>
      </x:c>
      <x:c r="B21" s="19" t="str">
        <x:v>普通N90另购</x:v>
      </x:c>
      <x:c r="C21" s="19" t="str">
        <x:v>EXCLUDED</x:v>
      </x:c>
      <x:c r="D21" s="19" t="str">
        <x:v>0</x:v>
      </x:c>
      <x:c r="E21" s="19" t="str">
        <x:v>床板≠床垫</x:v>
      </x:c>
      <x:c r="F21" s="19" t="str">
        <x:v>附件价格表</x:v>
      </x:c>
    </x:row>
    <x:row r="22" ht="50" customHeight="1">
      <x:c r="A22" s="445" t="str">
        <x:v>完整车边帐</x:v>
      </x:c>
      <x:c r="B22" s="445" t="str">
        <x:v>普通N90另购</x:v>
      </x:c>
      <x:c r="C22" s="445" t="str">
        <x:v>EXCLUDED</x:v>
      </x:c>
      <x:c r="D22" s="445" t="str">
        <x:v>0</x:v>
      </x:c>
      <x:c r="E22" s="445" t="str">
        <x:v>只计侧帐接口，不计帐篷本体</x:v>
      </x:c>
      <x:c r="F22" s="445" t="str">
        <x:v>附件价格表</x:v>
      </x:c>
    </x:row>
    <x:row r="23" ht="50" customHeight="1">
      <x:c r="A23" s="19" t="str">
        <x:v>续航363km与油耗6.28</x:v>
      </x:c>
      <x:c r="B23" s="19" t="str">
        <x:v>监管性能</x:v>
      </x:c>
      <x:c r="C23" s="19" t="str">
        <x:v>EXCLUDED</x:v>
      </x:c>
      <x:c r="D23" s="19" t="str">
        <x:v>只作校验</x:v>
      </x:c>
      <x:c r="E23" s="19" t="str">
        <x:v>不是独立硬件成本项</x:v>
      </x:c>
      <x:c r="F23" s="19" t="str">
        <x:v>同循环实测/配置表</x:v>
      </x:c>
    </x:row>
    <x:row r="24" ht="50" customHeight="1">
      <x:c r="A24" s="445" t="str">
        <x:v>正式升顶售价</x:v>
      </x:c>
      <x:c r="B24" s="445" t="str">
        <x:v>未披露</x:v>
      </x:c>
      <x:c r="C24" s="445" t="str">
        <x:v>BLOCKED</x:v>
      </x:c>
      <x:c r="D24" s="445" t="str">
        <x:v>不倒推</x:v>
      </x:c>
      <x:c r="E24" s="445" t="str">
        <x:v>未商品化、无App SKU</x:v>
      </x:c>
      <x:c r="F24" s="445" t="str">
        <x:v>正式版本卡+指导价</x:v>
      </x:c>
    </x:row>
  </x:sheetData>
  <x:mergeCells>
    <x:mergeCell ref="A1:K1"/>
    <x:mergeCell ref="A2:K2"/>
    <x:mergeCell ref="A3:K3"/>
    <x:mergeCell ref="A17:K17"/>
  </x:mergeCells>
  <x:conditionalFormatting sqref="G6:J15">
    <x:cfRule type="containsText" dxfId="1489" priority="1" operator="containsText" text="PASS"/>
    <x:cfRule type="containsText" dxfId="1490" priority="2" operator="containsText" text="READY"/>
    <x:cfRule type="containsText" dxfId="1491" priority="3" operator="containsText" text="TRUE"/>
    <x:cfRule type="containsText" dxfId="1492" priority="4" operator="containsText" text="LOCKED"/>
    <x:cfRule type="containsText" dxfId="1493" priority="5" operator="containsText" text="MATCH"/>
    <x:cfRule type="containsText" dxfId="1494" priority="6" operator="containsText" text="CORE"/>
    <x:cfRule type="containsText" dxfId="1495" priority="7" operator="containsText" text="PROVISIONAL"/>
    <x:cfRule type="containsText" dxfId="1496" priority="8" operator="containsText" text="SCENARIO"/>
    <x:cfRule type="containsText" dxfId="1497" priority="9" operator="containsText" text="HOLD"/>
    <x:cfRule type="containsText" dxfId="1498" priority="10" operator="containsText" text="NOT_COMMERCIALIZED"/>
    <x:cfRule type="containsText" dxfId="1499" priority="11" operator="containsText" text="BLOCKED"/>
    <x:cfRule type="containsText" dxfId="1500" priority="12" operator="containsText" text="FAIL"/>
    <x:cfRule type="containsText" dxfId="1501" priority="13" operator="containsText" text="FALSE"/>
    <x:cfRule type="containsText" dxfId="1502" priority="14" operator="containsText" text="EXCLUDED"/>
    <x:cfRule type="containsText" dxfId="1503" priority="15" operator="containsText" text="OPTION"/>
    <x:cfRule type="containsText" dxfId="1504" priority="16" operator="containsText" text="SPECIAL"/>
    <x:cfRule type="containsText" dxfId="1505" priority="17" operator="containsText" text="ORDINARY"/>
  </x:conditionalFormatting>
  <x:conditionalFormatting sqref="B19:D24">
    <x:cfRule type="containsText" dxfId="1506" priority="18" operator="containsText" text="PASS"/>
    <x:cfRule type="containsText" dxfId="1507" priority="19" operator="containsText" text="READY"/>
    <x:cfRule type="containsText" dxfId="1508" priority="20" operator="containsText" text="TRUE"/>
    <x:cfRule type="containsText" dxfId="1509" priority="21" operator="containsText" text="LOCKED"/>
    <x:cfRule type="containsText" dxfId="1510" priority="22" operator="containsText" text="MATCH"/>
    <x:cfRule type="containsText" dxfId="1511" priority="23" operator="containsText" text="CORE"/>
    <x:cfRule type="containsText" dxfId="1512" priority="24" operator="containsText" text="PROVISIONAL"/>
    <x:cfRule type="containsText" dxfId="1513" priority="25" operator="containsText" text="SCENARIO"/>
    <x:cfRule type="containsText" dxfId="1514" priority="26" operator="containsText" text="HOLD"/>
    <x:cfRule type="containsText" dxfId="1515" priority="27" operator="containsText" text="NOT_COMMERCIALIZED"/>
    <x:cfRule type="containsText" dxfId="1516" priority="28" operator="containsText" text="BLOCKED"/>
    <x:cfRule type="containsText" dxfId="1517" priority="29" operator="containsText" text="FAIL"/>
    <x:cfRule type="containsText" dxfId="1518" priority="30" operator="containsText" text="FALSE"/>
    <x:cfRule type="containsText" dxfId="1519" priority="31" operator="containsText" text="EXCLUDED"/>
    <x:cfRule type="containsText" dxfId="1520" priority="32" operator="containsText" text="OPTION"/>
    <x:cfRule type="containsText" dxfId="1521" priority="33" operator="containsText" text="SPECIAL"/>
    <x:cfRule type="containsText" dxfId="1522" priority="34" operator="containsText" text="ORDINARY"/>
  </x:conditionalFormatting>
  <x:pageMargins left="0.7" right="0.7" top="0.75" bottom="0.75" header="0.3" footer="0.3"/>
</x:worksheet>
</file>

<file path=xl/worksheets/sheet7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32" hidden="0" customWidth="1"/>
    <x:col min="3" max="3" width="38" hidden="0" customWidth="1"/>
    <x:col min="4" max="4" width="18" hidden="0" customWidth="1"/>
    <x:col min="5" max="5" width="12" hidden="0" customWidth="1"/>
    <x:col min="6" max="6" width="16" hidden="0" customWidth="1"/>
    <x:col min="7" max="7" width="16" hidden="0" customWidth="1"/>
    <x:col min="8" max="8" width="28" hidden="0" customWidth="1"/>
    <x:col min="9" max="9" width="24" hidden="0" customWidth="1"/>
    <x:col min="10" max="10" width="26" hidden="0" customWidth="1"/>
    <x:col min="11" max="11" width="18" hidden="0" customWidth="1"/>
    <x:col min="12" max="12" width="34" hidden="0" customWidth="1"/>
    <x:col min="13" max="13" width="36" hidden="0" customWidth="1"/>
    <x:col min="14" max="14" width="40" hidden="0" customWidth="1"/>
    <x:col min="15" max="15" width="18" hidden="0" customWidth="1"/>
    <x:col min="16" max="16" width="18" hidden="0" customWidth="1"/>
  </x:cols>
  <x:sheetData>
    <x:row r="1" ht="30" customHeight="1">
      <x:c r="A1" s="432" t="str">
        <x:v>75｜N90普通五座与升顶五座证据对照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  <x:c r="L1" s="432"/>
      <x:c r="M1" s="432"/>
      <x:c r="N1" s="432"/>
      <x:c r="O1" s="432"/>
      <x:c r="P1" s="432"/>
    </x:row>
    <x:row r="2" ht="22" customHeight="1">
      <x:c r="A2" s="435" t="str">
        <x:v>同长宽轴距、同动力电池与轮胎｜升顶高度+100mm｜整备与总质量均+40kg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  <x:c r="L2" s="435"/>
      <x:c r="M2" s="435"/>
      <x:c r="N2" s="435"/>
      <x:c r="O2" s="435"/>
      <x:c r="P2" s="435"/>
    </x:row>
    <x:row r="3" ht="68" customHeight="1">
      <x:c r="A3" s="439" t="str">
        <x:v>监管事实可证明结构差异，但不能证明床板、边柜等未来销售版本一定免费标配；投影/桌板明确只属于准入选装。已发布N90 Max为七座，故商业回接另行扣除第三排座椅，而技术BOM不含座位差。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  <x:c r="L3" s="439"/>
      <x:c r="M3" s="439"/>
      <x:c r="N3" s="439"/>
      <x:c r="O3" s="439"/>
      <x:c r="P3" s="439"/>
    </x:row>
    <x:row r="5" ht="56" customHeight="1">
      <x:c r="A5" s="444" t="str">
        <x:v>指标</x:v>
      </x:c>
      <x:c r="B5" s="444" t="str">
        <x:v>普通N90五座</x:v>
      </x:c>
      <x:c r="C5" s="444" t="str">
        <x:v>升顶N90五座</x:v>
      </x:c>
      <x:c r="D5" s="444" t="str">
        <x:v>技术差值</x:v>
      </x:c>
      <x:c r="E5" s="444" t="str">
        <x:v>单位</x:v>
      </x:c>
      <x:c r="F5" s="444" t="str">
        <x:v>证据等级</x:v>
      </x:c>
      <x:c r="G5" s="444" t="str">
        <x:v>是否进入成本</x:v>
      </x:c>
      <x:c r="H5" s="444" t="str">
        <x:v>处理</x:v>
      </x:c>
      <x:c r="I5" s="444" t="str">
        <x:v>来源</x:v>
      </x:c>
      <x:c r="J5" s="444" t="str">
        <x:v>商业七座Max</x:v>
      </x:c>
      <x:c r="K5" s="444" t="str">
        <x:v>商业差值</x:v>
      </x:c>
      <x:c r="L5" s="444" t="str">
        <x:v>口径状态</x:v>
      </x:c>
      <x:c r="M5" s="444" t="str">
        <x:v>禁止推导</x:v>
      </x:c>
      <x:c r="N5" s="444" t="str">
        <x:v>说明</x:v>
      </x:c>
      <x:c r="O5" s="444" t="str">
        <x:v>基线变体</x:v>
      </x:c>
      <x:c r="P5" s="444" t="str">
        <x:v>目标变体</x:v>
      </x:c>
    </x:row>
    <x:row r="6" ht="58" customHeight="1">
      <x:c r="A6" s="19" t="str">
        <x:v>产品类别</x:v>
      </x:c>
      <x:c r="B6" s="449" t="str">
        <x:v>插电式增程混合动力多用途乘用车</x:v>
      </x:c>
      <x:c r="C6" s="449" t="str">
        <x:v>插电式增程混合动力文化生活服务车</x:v>
      </x:c>
      <x:c r="D6" s="449" t="str">
        <x:v>类别变化</x:v>
      </x:c>
      <x:c r="E6" s="19" t="str"/>
      <x:c r="F6" s="19" t="str">
        <x:v>A</x:v>
      </x:c>
      <x:c r="G6" s="19" t="str">
        <x:v>YES</x:v>
      </x:c>
      <x:c r="H6" s="19" t="str">
        <x:v>特殊版身份</x:v>
      </x:c>
      <x:c r="I6" s="19" t="str">
        <x:v>39_工信部车型</x:v>
      </x:c>
      <x:c r="J6" s="449" t="str">
        <x:v>多用途乘用车</x:v>
      </x:c>
      <x:c r="K6" s="449" t="str">
        <x:v>类别变化</x:v>
      </x:c>
      <x:c r="L6" s="19" t="str">
        <x:v>REGULATORY_LOCKED</x:v>
      </x:c>
      <x:c r="M6" s="19" t="str">
        <x:v>不等于已商品化</x:v>
      </x:c>
      <x:c r="N6" s="19" t="str">
        <x:v>独立完整型号</x:v>
      </x:c>
      <x:c r="O6" s="19" t="str">
        <x:v>V-N90-5</x:v>
      </x:c>
      <x:c r="P6" s="19" t="str">
        <x:v>V-ROOF-5</x:v>
      </x:c>
    </x:row>
    <x:row r="7" ht="58" customHeight="1">
      <x:c r="A7" s="445" t="str">
        <x:v>车长</x:v>
      </x:c>
      <x:c r="B7" s="450" t="n">
        <x:v>5285</x:v>
      </x:c>
      <x:c r="C7" s="450" t="n">
        <x:v>5285</x:v>
      </x:c>
      <x:c r="D7" s="450" t="n">
        <x:v>0</x:v>
      </x:c>
      <x:c r="E7" s="445" t="str">
        <x:v>mm</x:v>
      </x:c>
      <x:c r="F7" s="445" t="str">
        <x:v>A</x:v>
      </x:c>
      <x:c r="G7" s="445" t="str">
        <x:v>NO</x:v>
      </x:c>
      <x:c r="H7" s="445" t="str">
        <x:v>共同根归零</x:v>
      </x:c>
      <x:c r="I7" s="445" t="str">
        <x:v>39/40</x:v>
      </x:c>
      <x:c r="J7" s="450" t="n">
        <x:v>5285</x:v>
      </x:c>
      <x:c r="K7" s="450" t="n">
        <x:v>0</x:v>
      </x:c>
      <x:c r="L7" s="445" t="str">
        <x:v>MATCH</x:v>
      </x:c>
      <x:c r="M7" s="445" t="str">
        <x:v>不按mm定价</x:v>
      </x:c>
      <x:c r="N7" s="445" t="str">
        <x:v>完全一致</x:v>
      </x:c>
      <x:c r="O7" s="445" t="str">
        <x:v>V-N90-5</x:v>
      </x:c>
      <x:c r="P7" s="445" t="str">
        <x:v>V-ROOF-5</x:v>
      </x:c>
    </x:row>
    <x:row r="8" ht="58" customHeight="1">
      <x:c r="A8" s="19" t="str">
        <x:v>车宽</x:v>
      </x:c>
      <x:c r="B8" s="449" t="n">
        <x:v>1998</x:v>
      </x:c>
      <x:c r="C8" s="449" t="n">
        <x:v>1998</x:v>
      </x:c>
      <x:c r="D8" s="449" t="n">
        <x:v>0</x:v>
      </x:c>
      <x:c r="E8" s="19" t="str">
        <x:v>mm</x:v>
      </x:c>
      <x:c r="F8" s="19" t="str">
        <x:v>A</x:v>
      </x:c>
      <x:c r="G8" s="19" t="str">
        <x:v>NO</x:v>
      </x:c>
      <x:c r="H8" s="19" t="str">
        <x:v>共同根归零</x:v>
      </x:c>
      <x:c r="I8" s="19" t="str">
        <x:v>39/40</x:v>
      </x:c>
      <x:c r="J8" s="449" t="n">
        <x:v>1998</x:v>
      </x:c>
      <x:c r="K8" s="449" t="n">
        <x:v>0</x:v>
      </x:c>
      <x:c r="L8" s="19" t="str">
        <x:v>MATCH</x:v>
      </x:c>
      <x:c r="M8" s="19" t="str">
        <x:v>不按mm定价</x:v>
      </x:c>
      <x:c r="N8" s="19" t="str">
        <x:v>完全一致</x:v>
      </x:c>
      <x:c r="O8" s="19" t="str">
        <x:v>V-N90-5</x:v>
      </x:c>
      <x:c r="P8" s="19" t="str">
        <x:v>V-ROOF-5</x:v>
      </x:c>
    </x:row>
    <x:row r="9" ht="58" customHeight="1">
      <x:c r="A9" s="445" t="str">
        <x:v>车高</x:v>
      </x:c>
      <x:c r="B9" s="450" t="n">
        <x:v>1825</x:v>
      </x:c>
      <x:c r="C9" s="450" t="n">
        <x:v>1925</x:v>
      </x:c>
      <x:c r="D9" s="450" t="n">
        <x:v>100</x:v>
      </x:c>
      <x:c r="E9" s="445" t="str">
        <x:v>mm</x:v>
      </x:c>
      <x:c r="F9" s="445" t="str">
        <x:v>A</x:v>
      </x:c>
      <x:c r="G9" s="445" t="str">
        <x:v>YES</x:v>
      </x:c>
      <x:c r="H9" s="445" t="str">
        <x:v>升顶结构约束</x:v>
      </x:c>
      <x:c r="I9" s="445" t="str">
        <x:v>39/40</x:v>
      </x:c>
      <x:c r="J9" s="450" t="n">
        <x:v>1825</x:v>
      </x:c>
      <x:c r="K9" s="450" t="n">
        <x:v>100</x:v>
      </x:c>
      <x:c r="L9" s="445" t="str">
        <x:v>SPECIAL_SIGNAL</x:v>
      </x:c>
      <x:c r="M9" s="445" t="str">
        <x:v>驻车展开高度未知</x:v>
      </x:c>
      <x:c r="N9" s="445" t="str">
        <x:v>申报外廓高差100mm</x:v>
      </x:c>
      <x:c r="O9" s="445" t="str">
        <x:v>V-N90-5</x:v>
      </x:c>
      <x:c r="P9" s="445" t="str">
        <x:v>V-ROOF-5</x:v>
      </x:c>
    </x:row>
    <x:row r="10" ht="58" customHeight="1">
      <x:c r="A10" s="19" t="str">
        <x:v>轴距</x:v>
      </x:c>
      <x:c r="B10" s="449" t="n">
        <x:v>3080</x:v>
      </x:c>
      <x:c r="C10" s="449" t="n">
        <x:v>3080</x:v>
      </x:c>
      <x:c r="D10" s="449" t="n">
        <x:v>0</x:v>
      </x:c>
      <x:c r="E10" s="19" t="str">
        <x:v>mm</x:v>
      </x:c>
      <x:c r="F10" s="19" t="str">
        <x:v>A</x:v>
      </x:c>
      <x:c r="G10" s="19" t="str">
        <x:v>NO</x:v>
      </x:c>
      <x:c r="H10" s="19" t="str">
        <x:v>共同根归零</x:v>
      </x:c>
      <x:c r="I10" s="19" t="str">
        <x:v>39/40</x:v>
      </x:c>
      <x:c r="J10" s="449" t="n">
        <x:v>3080</x:v>
      </x:c>
      <x:c r="K10" s="449" t="n">
        <x:v>0</x:v>
      </x:c>
      <x:c r="L10" s="19" t="str">
        <x:v>MATCH</x:v>
      </x:c>
      <x:c r="M10" s="19" t="str">
        <x:v>不生成新底盘平台</x:v>
      </x:c>
      <x:c r="N10" s="19" t="str">
        <x:v>完全一致</x:v>
      </x:c>
      <x:c r="O10" s="19" t="str">
        <x:v>V-N90-5</x:v>
      </x:c>
      <x:c r="P10" s="19" t="str">
        <x:v>V-ROOF-5</x:v>
      </x:c>
    </x:row>
    <x:row r="11" ht="58" customHeight="1">
      <x:c r="A11" s="445" t="str">
        <x:v>座位数</x:v>
      </x:c>
      <x:c r="B11" s="450" t="n">
        <x:v>5</x:v>
      </x:c>
      <x:c r="C11" s="450" t="n">
        <x:v>5</x:v>
      </x:c>
      <x:c r="D11" s="450" t="n">
        <x:v>0</x:v>
      </x:c>
      <x:c r="E11" s="445" t="str">
        <x:v>座</x:v>
      </x:c>
      <x:c r="F11" s="445" t="str">
        <x:v>A</x:v>
      </x:c>
      <x:c r="G11" s="445" t="str">
        <x:v>NO</x:v>
      </x:c>
      <x:c r="H11" s="445" t="str">
        <x:v>技术桥座位中性</x:v>
      </x:c>
      <x:c r="I11" s="445" t="str">
        <x:v>40_准入变体</x:v>
      </x:c>
      <x:c r="J11" s="450" t="n">
        <x:v>7</x:v>
      </x:c>
      <x:c r="K11" s="450" t="n">
        <x:v>-2</x:v>
      </x:c>
      <x:c r="L11" s="445" t="str">
        <x:v>TECH_NEUTRAL_COMMERCIAL_CREDIT</x:v>
      </x:c>
      <x:c r="M11" s="445" t="str">
        <x:v>5座准入不是销售SKU</x:v>
      </x:c>
      <x:c r="N11" s="445" t="str">
        <x:v>商业端单列5↔7座</x:v>
      </x:c>
      <x:c r="O11" s="445" t="str">
        <x:v>V-N90-5</x:v>
      </x:c>
      <x:c r="P11" s="445" t="str">
        <x:v>V-ROOF-5</x:v>
      </x:c>
    </x:row>
    <x:row r="12" ht="58" customHeight="1">
      <x:c r="A12" s="19" t="str">
        <x:v>整备质量</x:v>
      </x:c>
      <x:c r="B12" s="449" t="n">
        <x:v>2800</x:v>
      </x:c>
      <x:c r="C12" s="449" t="n">
        <x:v>2840</x:v>
      </x:c>
      <x:c r="D12" s="449" t="n">
        <x:v>40</x:v>
      </x:c>
      <x:c r="E12" s="19" t="str">
        <x:v>kg</x:v>
      </x:c>
      <x:c r="F12" s="19" t="str">
        <x:v>A</x:v>
      </x:c>
      <x:c r="G12" s="19" t="str">
        <x:v>YES</x:v>
      </x:c>
      <x:c r="H12" s="19" t="str">
        <x:v>净增质量校验</x:v>
      </x:c>
      <x:c r="I12" s="19" t="str">
        <x:v>40_准入变体</x:v>
      </x:c>
      <x:c r="J12" s="449" t="n">
        <x:v>2800</x:v>
      </x:c>
      <x:c r="K12" s="449" t="n">
        <x:v>40</x:v>
      </x:c>
      <x:c r="L12" s="19" t="str">
        <x:v>SPECIAL_SIGNAL</x:v>
      </x:c>
      <x:c r="M12" s="19" t="str">
        <x:v>40kg不是材料成本</x:v>
      </x:c>
      <x:c r="N12" s="19" t="str">
        <x:v>模型质量应回勾40kg</x:v>
      </x:c>
      <x:c r="O12" s="19" t="str">
        <x:v>V-N90-5</x:v>
      </x:c>
      <x:c r="P12" s="19" t="str">
        <x:v>V-ROOF-5</x:v>
      </x:c>
    </x:row>
    <x:row r="13" ht="58" customHeight="1">
      <x:c r="A13" s="445" t="str">
        <x:v>总质量</x:v>
      </x:c>
      <x:c r="B13" s="450" t="n">
        <x:v>3265</x:v>
      </x:c>
      <x:c r="C13" s="450" t="n">
        <x:v>3305</x:v>
      </x:c>
      <x:c r="D13" s="450" t="n">
        <x:v>40</x:v>
      </x:c>
      <x:c r="E13" s="445" t="str">
        <x:v>kg</x:v>
      </x:c>
      <x:c r="F13" s="445" t="str">
        <x:v>A</x:v>
      </x:c>
      <x:c r="G13" s="445" t="str">
        <x:v>YES</x:v>
      </x:c>
      <x:c r="H13" s="445" t="str">
        <x:v>结构/载荷校验</x:v>
      </x:c>
      <x:c r="I13" s="445" t="str">
        <x:v>40_准入变体</x:v>
      </x:c>
      <x:c r="J13" s="450" t="n">
        <x:v>3361</x:v>
      </x:c>
      <x:c r="K13" s="450" t="n">
        <x:v>-56</x:v>
      </x:c>
      <x:c r="L13" s="445" t="str">
        <x:v>NOT_DIRECTLY_COMPARABLE_7SEAT</x:v>
      </x:c>
      <x:c r="M13" s="445" t="str">
        <x:v>不由总质量倒推成本</x:v>
      </x:c>
      <x:c r="N13" s="445" t="str">
        <x:v>七座总质量基线不同</x:v>
      </x:c>
      <x:c r="O13" s="445" t="str">
        <x:v>V-N90-5</x:v>
      </x:c>
      <x:c r="P13" s="445" t="str">
        <x:v>V-ROOF-5</x:v>
      </x:c>
    </x:row>
    <x:row r="14" ht="58" customHeight="1">
      <x:c r="A14" s="19" t="str">
        <x:v>电池</x:v>
      </x:c>
      <x:c r="B14" s="449" t="str">
        <x:v>76kWh / 400kg / NCM / 中创新航</x:v>
      </x:c>
      <x:c r="C14" s="449" t="str">
        <x:v>76kWh / 400kg / NCM / 中创新航</x:v>
      </x:c>
      <x:c r="D14" s="449" t="str">
        <x:v>0</x:v>
      </x:c>
      <x:c r="E14" s="19" t="str"/>
      <x:c r="F14" s="19" t="str">
        <x:v>E3</x:v>
      </x:c>
      <x:c r="G14" s="19" t="str">
        <x:v>NO</x:v>
      </x:c>
      <x:c r="H14" s="19" t="str">
        <x:v>绝对成本归零</x:v>
      </x:c>
      <x:c r="I14" s="19" t="str">
        <x:v>39_工信部车型</x:v>
      </x:c>
      <x:c r="J14" s="449" t="str">
        <x:v>同工程底座</x:v>
      </x:c>
      <x:c r="K14" s="449" t="str">
        <x:v>0</x:v>
      </x:c>
      <x:c r="L14" s="19" t="str">
        <x:v>ENGINEERING_MATCH</x:v>
      </x:c>
      <x:c r="M14" s="19" t="str">
        <x:v>不称App商品同配</x:v>
      </x:c>
      <x:c r="N14" s="19" t="str">
        <x:v>监管工程同源</x:v>
      </x:c>
      <x:c r="O14" s="19" t="str">
        <x:v>V-N90-5</x:v>
      </x:c>
      <x:c r="P14" s="19" t="str">
        <x:v>V-ROOF-5</x:v>
      </x:c>
    </x:row>
    <x:row r="15" ht="58" customHeight="1">
      <x:c r="A15" s="445" t="str">
        <x:v>电驱/增程器</x:v>
      </x:c>
      <x:c r="B15" s="450" t="str">
        <x:v>AWD 210+100kW / M15DRE 112kW</x:v>
      </x:c>
      <x:c r="C15" s="450" t="str">
        <x:v>AWD 210+100kW / M15DRE 112kW</x:v>
      </x:c>
      <x:c r="D15" s="450" t="str">
        <x:v>0</x:v>
      </x:c>
      <x:c r="E15" s="445" t="str"/>
      <x:c r="F15" s="445" t="str">
        <x:v>A</x:v>
      </x:c>
      <x:c r="G15" s="445" t="str">
        <x:v>NO</x:v>
      </x:c>
      <x:c r="H15" s="445" t="str">
        <x:v>绝对成本归零</x:v>
      </x:c>
      <x:c r="I15" s="445" t="str">
        <x:v>39_工信部车型</x:v>
      </x:c>
      <x:c r="J15" s="450" t="str">
        <x:v>同工程底座</x:v>
      </x:c>
      <x:c r="K15" s="450" t="str">
        <x:v>0</x:v>
      </x:c>
      <x:c r="L15" s="445" t="str">
        <x:v>MATCH</x:v>
      </x:c>
      <x:c r="M15" s="445" t="str">
        <x:v>不按续航差新增</x:v>
      </x:c>
      <x:c r="N15" s="445" t="str">
        <x:v>完全一致</x:v>
      </x:c>
      <x:c r="O15" s="445" t="str">
        <x:v>V-N90-5</x:v>
      </x:c>
      <x:c r="P15" s="445" t="str">
        <x:v>V-ROOF-5</x:v>
      </x:c>
    </x:row>
    <x:row r="16" ht="58" customHeight="1">
      <x:c r="A16" s="19" t="str">
        <x:v>轮胎</x:v>
      </x:c>
      <x:c r="B16" s="449" t="str">
        <x:v>前255/45R21；后265/45R21</x:v>
      </x:c>
      <x:c r="C16" s="449" t="str">
        <x:v>前255/45R21；后265/45R21</x:v>
      </x:c>
      <x:c r="D16" s="449" t="str">
        <x:v>0</x:v>
      </x:c>
      <x:c r="E16" s="19" t="str"/>
      <x:c r="F16" s="19" t="str">
        <x:v>A</x:v>
      </x:c>
      <x:c r="G16" s="19" t="str">
        <x:v>NO</x:v>
      </x:c>
      <x:c r="H16" s="19" t="str">
        <x:v>共同根归零</x:v>
      </x:c>
      <x:c r="I16" s="19" t="str">
        <x:v>40_准入变体</x:v>
      </x:c>
      <x:c r="J16" s="449" t="str">
        <x:v>同规格</x:v>
      </x:c>
      <x:c r="K16" s="449" t="str">
        <x:v>0</x:v>
      </x:c>
      <x:c r="L16" s="19" t="str">
        <x:v>MATCH</x:v>
      </x:c>
      <x:c r="M16" s="19" t="str">
        <x:v>不计整套轮胎</x:v>
      </x:c>
      <x:c r="N16" s="19" t="str">
        <x:v>完全一致</x:v>
      </x:c>
      <x:c r="O16" s="19" t="str">
        <x:v>V-N90-5</x:v>
      </x:c>
      <x:c r="P16" s="19" t="str">
        <x:v>V-ROOF-5</x:v>
      </x:c>
    </x:row>
    <x:row r="17" ht="58" customHeight="1">
      <x:c r="A17" s="445" t="str">
        <x:v>特殊机构</x:v>
      </x:c>
      <x:c r="B17" s="450" t="str"/>
      <x:c r="C17" s="450" t="str">
        <x:v>升降顶、床板、边柜、侧帐接口</x:v>
      </x:c>
      <x:c r="D17" s="450" t="str">
        <x:v>新增</x:v>
      </x:c>
      <x:c r="E17" s="445" t="str"/>
      <x:c r="F17" s="445" t="str">
        <x:v>A</x:v>
      </x:c>
      <x:c r="G17" s="445" t="str">
        <x:v>YES</x:v>
      </x:c>
      <x:c r="H17" s="445" t="str">
        <x:v>分特殊/普通两层</x:v>
      </x:c>
      <x:c r="I17" s="445" t="str">
        <x:v>40_准入变体</x:v>
      </x:c>
      <x:c r="J17" s="450" t="str">
        <x:v>未披露</x:v>
      </x:c>
      <x:c r="K17" s="450" t="str">
        <x:v>候选新增</x:v>
      </x:c>
      <x:c r="L17" s="445" t="str">
        <x:v>BOUNDARY_ONLY</x:v>
      </x:c>
      <x:c r="M17" s="445" t="str">
        <x:v>结构标记≠销售标配</x:v>
      </x:c>
      <x:c r="N17" s="445" t="str">
        <x:v>逐项bottom-up</x:v>
      </x:c>
      <x:c r="O17" s="445" t="str">
        <x:v>V-N90-5</x:v>
      </x:c>
      <x:c r="P17" s="445" t="str">
        <x:v>V-ROOF-5</x:v>
      </x:c>
    </x:row>
    <x:row r="18" ht="58" customHeight="1">
      <x:c r="A18" s="19" t="str">
        <x:v>投影/桌板</x:v>
      </x:c>
      <x:c r="B18" s="449" t="str"/>
      <x:c r="C18" s="449" t="str">
        <x:v>准入选装</x:v>
      </x:c>
      <x:c r="D18" s="449" t="str">
        <x:v>允许新增</x:v>
      </x:c>
      <x:c r="E18" s="19" t="str"/>
      <x:c r="F18" s="19" t="str">
        <x:v>A</x:v>
      </x:c>
      <x:c r="G18" s="19" t="str">
        <x:v>NO</x:v>
      </x:c>
      <x:c r="H18" s="19" t="str">
        <x:v>排除基础BOM</x:v>
      </x:c>
      <x:c r="I18" s="19" t="str">
        <x:v>40_准入变体</x:v>
      </x:c>
      <x:c r="J18" s="449" t="str">
        <x:v>桌板另购</x:v>
      </x:c>
      <x:c r="K18" s="449" t="str">
        <x:v>不确定</x:v>
      </x:c>
      <x:c r="L18" s="19" t="str">
        <x:v>EXCLUDED_OPTION</x:v>
      </x:c>
      <x:c r="M18" s="19" t="str">
        <x:v>allowed≠standard</x:v>
      </x:c>
      <x:c r="N18" s="19" t="str">
        <x:v>等待App配置表</x:v>
      </x:c>
      <x:c r="O18" s="19" t="str">
        <x:v>V-N90-5</x:v>
      </x:c>
      <x:c r="P18" s="19" t="str">
        <x:v>V-ROOF-5</x:v>
      </x:c>
    </x:row>
    <x:row r="19" ht="58" customHeight="1">
      <x:c r="A19" s="445" t="str">
        <x:v>商业化状态</x:v>
      </x:c>
      <x:c r="B19" s="450" t="str">
        <x:v>5座准入、未形成独立SKU</x:v>
      </x:c>
      <x:c r="C19" s="450" t="str">
        <x:v>HOMOLOGATED_NOT_COMMERCIALIZED</x:v>
      </x:c>
      <x:c r="D19" s="450" t="str">
        <x:v>未商品化</x:v>
      </x:c>
      <x:c r="E19" s="445" t="str"/>
      <x:c r="F19" s="445" t="str">
        <x:v>A×E1-X缺失</x:v>
      </x:c>
      <x:c r="G19" s="445" t="str">
        <x:v>NO</x:v>
      </x:c>
      <x:c r="H19" s="445" t="str">
        <x:v>关闭正式价格桥</x:v>
      </x:c>
      <x:c r="I19" s="445" t="str">
        <x:v>41_商业节点</x:v>
      </x:c>
      <x:c r="J19" s="450" t="str">
        <x:v>七座预售299900</x:v>
      </x:c>
      <x:c r="K19" s="450" t="str">
        <x:v>无升顶售价</x:v>
      </x:c>
      <x:c r="L19" s="445" t="str">
        <x:v>BLOCKED</x:v>
      </x:c>
      <x:c r="M19" s="445" t="str">
        <x:v>申报≠开售</x:v>
      </x:c>
      <x:c r="N19" s="445" t="str">
        <x:v>只做算术锚定</x:v>
      </x:c>
      <x:c r="O19" s="445" t="str">
        <x:v>V-N90-5</x:v>
      </x:c>
      <x:c r="P19" s="445" t="str">
        <x:v>V-ROOF-5</x:v>
      </x:c>
    </x:row>
  </x:sheetData>
  <x:mergeCells>
    <x:mergeCell ref="A1:P1"/>
    <x:mergeCell ref="A2:P2"/>
    <x:mergeCell ref="A3:P3"/>
  </x:mergeCells>
  <x:conditionalFormatting sqref="F6:L19">
    <x:cfRule type="containsText" dxfId="1523" priority="1" operator="containsText" text="PASS"/>
    <x:cfRule type="containsText" dxfId="1524" priority="2" operator="containsText" text="READY"/>
    <x:cfRule type="containsText" dxfId="1525" priority="3" operator="containsText" text="TRUE"/>
    <x:cfRule type="containsText" dxfId="1526" priority="4" operator="containsText" text="LOCKED"/>
    <x:cfRule type="containsText" dxfId="1527" priority="5" operator="containsText" text="MATCH"/>
    <x:cfRule type="containsText" dxfId="1528" priority="6" operator="containsText" text="CORE"/>
    <x:cfRule type="containsText" dxfId="1529" priority="7" operator="containsText" text="PROVISIONAL"/>
    <x:cfRule type="containsText" dxfId="1530" priority="8" operator="containsText" text="SCENARIO"/>
    <x:cfRule type="containsText" dxfId="1531" priority="9" operator="containsText" text="HOLD"/>
    <x:cfRule type="containsText" dxfId="1532" priority="10" operator="containsText" text="NOT_COMMERCIALIZED"/>
    <x:cfRule type="containsText" dxfId="1533" priority="11" operator="containsText" text="BLOCKED"/>
    <x:cfRule type="containsText" dxfId="1534" priority="12" operator="containsText" text="FAIL"/>
    <x:cfRule type="containsText" dxfId="1535" priority="13" operator="containsText" text="FALSE"/>
    <x:cfRule type="containsText" dxfId="1536" priority="14" operator="containsText" text="EXCLUDED"/>
    <x:cfRule type="containsText" dxfId="1537" priority="15" operator="containsText" text="OPTION"/>
    <x:cfRule type="containsText" dxfId="1538" priority="16" operator="containsText" text="SPECIAL"/>
    <x:cfRule type="containsText" dxfId="1539" priority="17" operator="containsText" text="ORDINARY"/>
  </x:conditionalFormatting>
  <x:pageMargins left="0.7" right="0.7" top="0.75" bottom="0.75" header="0.3" footer="0.3"/>
</x:worksheet>
</file>

<file path=xl/worksheets/sheet7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6" hidden="0" customWidth="1"/>
    <x:col min="3" max="3" width="40" hidden="0" customWidth="1"/>
    <x:col min="4" max="4" width="16" hidden="0" customWidth="1"/>
    <x:col min="5" max="5" width="16" hidden="0" customWidth="1"/>
    <x:col min="6" max="6" width="16" hidden="0" customWidth="1"/>
    <x:col min="7" max="7" width="14" hidden="0" customWidth="1"/>
    <x:col min="8" max="8" width="36" hidden="0" customWidth="1"/>
    <x:col min="9" max="9" width="18" hidden="0" customWidth="1"/>
    <x:col min="10" max="10" width="18" hidden="0" customWidth="1"/>
    <x:col min="11" max="11" width="22" hidden="0" customWidth="1"/>
    <x:col min="12" max="12" width="20" hidden="0" customWidth="1"/>
    <x:col min="13" max="13" width="48" hidden="0" customWidth="1"/>
  </x:cols>
  <x:sheetData>
    <x:row r="1" ht="30" customHeight="1">
      <x:c r="A1" s="432" t="str">
        <x:v>76｜升顶特殊版独立成本参数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  <x:c r="L1" s="432"/>
      <x:c r="M1" s="432"/>
    </x:row>
    <x:row r="2" ht="22" customHeight="1">
      <x:c r="A2" s="435" t="str">
        <x:v>成本输入不引用299900或任何目标售价｜普通κ只用于床板/边柜/接口｜S_special不乘κ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  <x:c r="L2" s="435"/>
      <x:c r="M2" s="435"/>
    </x:row>
    <x:row r="3" ht="68" customHeight="1">
      <x:c r="A3" s="439" t="str">
        <x:v>NRE、生命周期销量、质保和逐车测试全部独立列示。40/85/150百万元与2万/8000/3000台为规划情景，不是小米披露值；高情景用于检验小批量压力尾部。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  <x:c r="L3" s="439"/>
      <x:c r="M3" s="439"/>
    </x:row>
    <x:row r="5" ht="54" customHeight="1">
      <x:c r="A5" s="444" t="str">
        <x:v>parameter_id</x:v>
      </x:c>
      <x:c r="B5" s="444" t="str">
        <x:v>层</x:v>
      </x:c>
      <x:c r="C5" s="444" t="str">
        <x:v>参数</x:v>
      </x:c>
      <x:c r="D5" s="444" t="str">
        <x:v>Low</x:v>
      </x:c>
      <x:c r="E5" s="444" t="str">
        <x:v>Mid</x:v>
      </x:c>
      <x:c r="F5" s="444" t="str">
        <x:v>High</x:v>
      </x:c>
      <x:c r="G5" s="444" t="str">
        <x:v>单位</x:v>
      </x:c>
      <x:c r="H5" s="444" t="str">
        <x:v>来源/公式</x:v>
      </x:c>
      <x:c r="I5" s="444" t="str">
        <x:v>差异证据</x:v>
      </x:c>
      <x:c r="J5" s="444" t="str">
        <x:v>估值证据</x:v>
      </x:c>
      <x:c r="K5" s="444" t="str">
        <x:v>price_derived_flag</x:v>
      </x:c>
      <x:c r="L5" s="444" t="str">
        <x:v>是否乘κ</x:v>
      </x:c>
      <x:c r="M5" s="444" t="str">
        <x:v>边界/用途</x:v>
      </x:c>
    </x:row>
    <x:row r="6" ht="46" customHeight="1">
      <x:c r="A6" s="19" t="str">
        <x:v>P_MFG_RATE</x:v>
      </x:c>
      <x:c r="B6" s="19" t="str">
        <x:v>OVERLAY</x:v>
      </x:c>
      <x:c r="C6" s="19" t="str">
        <x:v>普通制造覆盖率</x:v>
      </x:c>
      <x:c r="D6" s="454" t="n">
        <x:f>'67_成本参数'!D19</x:f>
        <x:v>0.01</x:v>
      </x:c>
      <x:c r="E6" s="454" t="n">
        <x:f>'67_成本参数'!E19</x:f>
        <x:v>0.02</x:v>
      </x:c>
      <x:c r="F6" s="454" t="n">
        <x:f>'67_成本参数'!F19</x:f>
        <x:v>0.04</x:v>
      </x:c>
      <x:c r="G6" s="19" t="str">
        <x:v>%</x:v>
      </x:c>
      <x:c r="H6" s="19" t="str">
        <x:v>继承67_成本参数</x:v>
      </x:c>
      <x:c r="I6" s="19" t="str">
        <x:v>模型规则</x:v>
      </x:c>
      <x:c r="J6" s="19" t="str">
        <x:v>D</x:v>
      </x:c>
      <x:c r="K6" s="19" t="str">
        <x:v>NO</x:v>
      </x:c>
      <x:c r="L6" s="19" t="str">
        <x:v>NO</x:v>
      </x:c>
      <x:c r="M6" s="19" t="str">
        <x:v>物理BOM×率，只计一次</x:v>
      </x:c>
    </x:row>
    <x:row r="7" ht="46" customHeight="1">
      <x:c r="A7" s="445" t="str">
        <x:v>P_BASE_WARRANTY_RATE</x:v>
      </x:c>
      <x:c r="B7" s="445" t="str">
        <x:v>OVERLAY</x:v>
      </x:c>
      <x:c r="C7" s="445" t="str">
        <x:v>普通M10质保覆盖率</x:v>
      </x:c>
      <x:c r="D7" s="455" t="n">
        <x:f>'67_成本参数'!D20</x:f>
        <x:v>0.005</x:v>
      </x:c>
      <x:c r="E7" s="455" t="n">
        <x:f>'67_成本参数'!E20</x:f>
        <x:v>0.015</x:v>
      </x:c>
      <x:c r="F7" s="455" t="n">
        <x:f>'67_成本参数'!F20</x:f>
        <x:v>0.03</x:v>
      </x:c>
      <x:c r="G7" s="445" t="str">
        <x:v>%</x:v>
      </x:c>
      <x:c r="H7" s="445" t="str">
        <x:v>继承67_成本参数</x:v>
      </x:c>
      <x:c r="I7" s="445" t="str">
        <x:v>模型规则</x:v>
      </x:c>
      <x:c r="J7" s="445" t="str">
        <x:v>D</x:v>
      </x:c>
      <x:c r="K7" s="445" t="str">
        <x:v>NO</x:v>
      </x:c>
      <x:c r="L7" s="445" t="str">
        <x:v>NO</x:v>
      </x:c>
      <x:c r="M7" s="445" t="str">
        <x:v>全部物理BOM×率</x:v>
      </x:c>
    </x:row>
    <x:row r="8" ht="46" customHeight="1">
      <x:c r="A8" s="19" t="str">
        <x:v>P_TOTAL_ROOF_WARRANTY_TARGET</x:v>
      </x:c>
      <x:c r="B8" s="19" t="str">
        <x:v>OVERLAY</x:v>
      </x:c>
      <x:c r="C8" s="19" t="str">
        <x:v>升顶运动/密封风险总目标率</x:v>
      </x:c>
      <x:c r="D8" s="454" t="n">
        <x:v>0.03</x:v>
      </x:c>
      <x:c r="E8" s="454" t="n">
        <x:v>0.07</x:v>
      </x:c>
      <x:c r="F8" s="454" t="n">
        <x:v>0.15</x:v>
      </x:c>
      <x:c r="G8" s="19" t="str">
        <x:v>%</x:v>
      </x:c>
      <x:c r="H8" s="19" t="str">
        <x:v>特殊版工程情景</x:v>
      </x:c>
      <x:c r="I8" s="19" t="str">
        <x:v>特殊机构</x:v>
      </x:c>
      <x:c r="J8" s="19" t="str">
        <x:v>D</x:v>
      </x:c>
      <x:c r="K8" s="19" t="str">
        <x:v>NO</x:v>
      </x:c>
      <x:c r="L8" s="19" t="str">
        <x:v>NO</x:v>
      </x:c>
      <x:c r="M8" s="19" t="str">
        <x:v>只作用风险基数</x:v>
      </x:c>
    </x:row>
    <x:row r="9" ht="46" customHeight="1">
      <x:c r="A9" s="445" t="str">
        <x:v>P_EXCESS_ROOF_WARRANTY</x:v>
      </x:c>
      <x:c r="B9" s="445" t="str">
        <x:v>OVERLAY</x:v>
      </x:c>
      <x:c r="C9" s="445" t="str">
        <x:v>升顶超额质保率</x:v>
      </x:c>
      <x:c r="D9" s="455" t="n">
        <x:f>D8-D7</x:f>
        <x:v>0.024999999999999998</x:v>
      </x:c>
      <x:c r="E9" s="455" t="n">
        <x:f>E8-E7</x:f>
        <x:v>0.05500000000000001</x:v>
      </x:c>
      <x:c r="F9" s="455" t="n">
        <x:f>F8-F7</x:f>
        <x:v>0.12</x:v>
      </x:c>
      <x:c r="G9" s="445" t="str">
        <x:v>%</x:v>
      </x:c>
      <x:c r="H9" s="445" t="str">
        <x:v>总目标−普通M10</x:v>
      </x:c>
      <x:c r="I9" s="445" t="str">
        <x:v>特殊机构</x:v>
      </x:c>
      <x:c r="J9" s="445" t="str">
        <x:v>公式</x:v>
      </x:c>
      <x:c r="K9" s="445" t="str">
        <x:v>NO</x:v>
      </x:c>
      <x:c r="L9" s="445" t="str">
        <x:v>NO</x:v>
      </x:c>
      <x:c r="M9" s="445" t="str">
        <x:v>防止普通质保与特殊质保重复</x:v>
      </x:c>
    </x:row>
    <x:row r="10" ht="46" customHeight="1">
      <x:c r="A10" s="19" t="str">
        <x:v>P_EOL_DIRECT</x:v>
      </x:c>
      <x:c r="B10" s="19" t="str">
        <x:v>PROCESS</x:v>
      </x:c>
      <x:c r="C10" s="19" t="str">
        <x:v>低量总装/功能/淋雨EOL逐车工序</x:v>
      </x:c>
      <x:c r="D10" s="456" t="n">
        <x:v>300</x:v>
      </x:c>
      <x:c r="E10" s="456" t="n">
        <x:v>1000</x:v>
      </x:c>
      <x:c r="F10" s="456" t="n">
        <x:v>2500</x:v>
      </x:c>
      <x:c r="G10" s="19" t="str">
        <x:v>元/车</x:v>
      </x:c>
      <x:c r="H10" s="19" t="str">
        <x:v>独立工程情景</x:v>
      </x:c>
      <x:c r="I10" s="19" t="str">
        <x:v>特殊机构</x:v>
      </x:c>
      <x:c r="J10" s="19" t="str">
        <x:v>D</x:v>
      </x:c>
      <x:c r="K10" s="19" t="str">
        <x:v>NO</x:v>
      </x:c>
      <x:c r="L10" s="19" t="str">
        <x:v>NO</x:v>
      </x:c>
      <x:c r="M10" s="19" t="str">
        <x:v>不再另加MOQ百分比</x:v>
      </x:c>
    </x:row>
    <x:row r="11" ht="46" customHeight="1">
      <x:c r="A11" s="445" t="str">
        <x:v>P_KAPPA</x:v>
      </x:c>
      <x:c r="B11" s="445" t="str">
        <x:v>PRICING</x:v>
      </x:c>
      <x:c r="C11" s="445" t="str">
        <x:v>普通硬件价格传导κ</x:v>
      </x:c>
      <x:c r="D11" s="457" t="n">
        <x:f>'67_成本参数'!D21</x:f>
        <x:v>1.0254431631664882</x:v>
      </x:c>
      <x:c r="E11" s="457" t="n">
        <x:f>'67_成本参数'!E21</x:f>
        <x:v>1.0694836789414475</x:v>
      </x:c>
      <x:c r="F11" s="457" t="n">
        <x:f>'67_成本参数'!F21</x:f>
        <x:v>1.2206571280521978</x:v>
      </x:c>
      <x:c r="G11" s="445" t="str">
        <x:v>x</x:v>
      </x:c>
      <x:c r="H11" s="445" t="str">
        <x:v>继承67_成本参数</x:v>
      </x:c>
      <x:c r="I11" s="445" t="str">
        <x:v>普通桥校准</x:v>
      </x:c>
      <x:c r="J11" s="445" t="str">
        <x:v>PROVISIONAL</x:v>
      </x:c>
      <x:c r="K11" s="445" t="str">
        <x:v>NO</x:v>
      </x:c>
      <x:c r="L11" s="445" t="str">
        <x:v>仅普通生活设施</x:v>
      </x:c>
      <x:c r="M11" s="445" t="str">
        <x:v>特殊项禁止使用</x:v>
      </x:c>
    </x:row>
    <x:row r="12" ht="46" customHeight="1">
      <x:c r="A12" s="19" t="str">
        <x:v>P_VAT</x:v>
      </x:c>
      <x:c r="B12" s="19" t="str">
        <x:v>PRICING</x:v>
      </x:c>
      <x:c r="C12" s="19" t="str">
        <x:v>增值税率</x:v>
      </x:c>
      <x:c r="D12" s="454" t="n">
        <x:f>'67_成本参数'!D22</x:f>
        <x:v>0.13</x:v>
      </x:c>
      <x:c r="E12" s="454" t="n">
        <x:f>'67_成本参数'!E22</x:f>
        <x:v>0.13</x:v>
      </x:c>
      <x:c r="F12" s="454" t="n">
        <x:f>'67_成本参数'!F22</x:f>
        <x:v>0.13</x:v>
      </x:c>
      <x:c r="G12" s="19" t="str">
        <x:v>%</x:v>
      </x:c>
      <x:c r="H12" s="19" t="str">
        <x:v>继承67_成本参数</x:v>
      </x:c>
      <x:c r="I12" s="19" t="str">
        <x:v>法规口径</x:v>
      </x:c>
      <x:c r="J12" s="19" t="str">
        <x:v>A</x:v>
      </x:c>
      <x:c r="K12" s="19" t="str">
        <x:v>NO</x:v>
      </x:c>
      <x:c r="L12" s="19" t="str">
        <x:v>末端一次</x:v>
      </x:c>
      <x:c r="M12" s="19" t="str">
        <x:v>成本行不含税</x:v>
      </x:c>
    </x:row>
    <x:row r="13" ht="46" customHeight="1">
      <x:c r="A13" s="445" t="str">
        <x:v>P_SEAT_CREDIT</x:v>
      </x:c>
      <x:c r="B13" s="445" t="str">
        <x:v>COMMERCIAL</x:v>
      </x:c>
      <x:c r="C13" s="445" t="str">
        <x:v>七座→五座第三排普通硬件成本信用</x:v>
      </x:c>
      <x:c r="D13" s="458" t="n">
        <x:f>'67_成本参数'!D23</x:f>
        <x:v>1400</x:v>
      </x:c>
      <x:c r="E13" s="458" t="n">
        <x:f>'67_成本参数'!E23</x:f>
        <x:v>2400</x:v>
      </x:c>
      <x:c r="F13" s="458" t="n">
        <x:f>'67_成本参数'!F23</x:f>
        <x:v>3800</x:v>
      </x:c>
      <x:c r="G13" s="445" t="str">
        <x:v>元/车</x:v>
      </x:c>
      <x:c r="H13" s="445" t="str">
        <x:v>继承67_成本参数</x:v>
      </x:c>
      <x:c r="I13" s="445" t="str">
        <x:v>商业座位差</x:v>
      </x:c>
      <x:c r="J13" s="445" t="str">
        <x:v>D</x:v>
      </x:c>
      <x:c r="K13" s="445" t="str">
        <x:v>NO</x:v>
      </x:c>
      <x:c r="L13" s="445" t="str">
        <x:v>YES</x:v>
      </x:c>
      <x:c r="M13" s="445" t="str">
        <x:v>只在80表商业回接扣除</x:v>
      </x:c>
    </x:row>
    <x:row r="14" ht="46" customHeight="1">
      <x:c r="A14" s="19" t="str">
        <x:v>P_VOLUME</x:v>
      </x:c>
      <x:c r="B14" s="19" t="str">
        <x:v>NRE</x:v>
      </x:c>
      <x:c r="C14" s="19" t="str">
        <x:v>生命周期销量情景</x:v>
      </x:c>
      <x:c r="D14" s="459" t="n">
        <x:v>20000</x:v>
      </x:c>
      <x:c r="E14" s="459" t="n">
        <x:v>8000</x:v>
      </x:c>
      <x:c r="F14" s="459" t="n">
        <x:v>3000</x:v>
      </x:c>
      <x:c r="G14" s="19" t="str">
        <x:v>台</x:v>
      </x:c>
      <x:c r="H14" s="19" t="str">
        <x:v>规划情景</x:v>
      </x:c>
      <x:c r="I14" s="19" t="str">
        <x:v>未商品化</x:v>
      </x:c>
      <x:c r="J14" s="19" t="str">
        <x:v>D</x:v>
      </x:c>
      <x:c r="K14" s="19" t="str">
        <x:v>NO</x:v>
      </x:c>
      <x:c r="L14" s="19" t="str">
        <x:v>NO</x:v>
      </x:c>
      <x:c r="M14" s="19" t="str">
        <x:v>不是销量预测</x:v>
      </x:c>
    </x:row>
    <x:row r="15" ht="46" customHeight="1">
      <x:c r="A15" s="445" t="str">
        <x:v>P_NRE_BODY</x:v>
      </x:c>
      <x:c r="B15" s="445" t="str">
        <x:v>NRE</x:v>
      </x:c>
      <x:c r="C15" s="445" t="str">
        <x:v>车身开口/加强工程与仿真</x:v>
      </x:c>
      <x:c r="D15" s="458" t="n">
        <x:v>10000000</x:v>
      </x:c>
      <x:c r="E15" s="458" t="n">
        <x:v>25000000</x:v>
      </x:c>
      <x:c r="F15" s="458" t="n">
        <x:v>45000000</x:v>
      </x:c>
      <x:c r="G15" s="445" t="str">
        <x:v>元</x:v>
      </x:c>
      <x:c r="H15" s="445" t="str">
        <x:v>独立工程情景</x:v>
      </x:c>
      <x:c r="I15" s="445" t="str">
        <x:v>特殊结构</x:v>
      </x:c>
      <x:c r="J15" s="445" t="str">
        <x:v>D</x:v>
      </x:c>
      <x:c r="K15" s="445" t="str">
        <x:v>NO</x:v>
      </x:c>
      <x:c r="L15" s="445" t="str">
        <x:v>NO</x:v>
      </x:c>
      <x:c r="M15" s="445" t="str">
        <x:v>一次性</x:v>
      </x:c>
    </x:row>
    <x:row r="16" ht="46" customHeight="1">
      <x:c r="A16" s="19" t="str">
        <x:v>P_NRE_MECHANISM</x:v>
      </x:c>
      <x:c r="B16" s="19" t="str">
        <x:v>NRE</x:v>
      </x:c>
      <x:c r="C16" s="19" t="str">
        <x:v>升顶机构/执行/控制集成</x:v>
      </x:c>
      <x:c r="D16" s="456" t="n">
        <x:v>8000000</x:v>
      </x:c>
      <x:c r="E16" s="456" t="n">
        <x:v>18000000</x:v>
      </x:c>
      <x:c r="F16" s="456" t="n">
        <x:v>35000000</x:v>
      </x:c>
      <x:c r="G16" s="19" t="str">
        <x:v>元</x:v>
      </x:c>
      <x:c r="H16" s="19" t="str">
        <x:v>独立工程情景</x:v>
      </x:c>
      <x:c r="I16" s="19" t="str">
        <x:v>特殊结构</x:v>
      </x:c>
      <x:c r="J16" s="19" t="str">
        <x:v>D</x:v>
      </x:c>
      <x:c r="K16" s="19" t="str">
        <x:v>NO</x:v>
      </x:c>
      <x:c r="L16" s="19" t="str">
        <x:v>NO</x:v>
      </x:c>
      <x:c r="M16" s="19" t="str">
        <x:v>一次性</x:v>
      </x:c>
    </x:row>
    <x:row r="17" ht="46" customHeight="1">
      <x:c r="A17" s="445" t="str">
        <x:v>P_NRE_VALIDATION</x:v>
      </x:c>
      <x:c r="B17" s="445" t="str">
        <x:v>NRE</x:v>
      </x:c>
      <x:c r="C17" s="445" t="str">
        <x:v>耐久/密封/淋雨/NVH/热/EMC验证</x:v>
      </x:c>
      <x:c r="D17" s="458" t="n">
        <x:v>7000000</x:v>
      </x:c>
      <x:c r="E17" s="458" t="n">
        <x:v>15000000</x:v>
      </x:c>
      <x:c r="F17" s="458" t="n">
        <x:v>30000000</x:v>
      </x:c>
      <x:c r="G17" s="445" t="str">
        <x:v>元</x:v>
      </x:c>
      <x:c r="H17" s="445" t="str">
        <x:v>独立工程情景</x:v>
      </x:c>
      <x:c r="I17" s="445" t="str">
        <x:v>特殊结构</x:v>
      </x:c>
      <x:c r="J17" s="445" t="str">
        <x:v>D</x:v>
      </x:c>
      <x:c r="K17" s="445" t="str">
        <x:v>NO</x:v>
      </x:c>
      <x:c r="L17" s="445" t="str">
        <x:v>NO</x:v>
      </x:c>
      <x:c r="M17" s="445" t="str">
        <x:v>一次性</x:v>
      </x:c>
    </x:row>
    <x:row r="18" ht="46" customHeight="1">
      <x:c r="A18" s="19" t="str">
        <x:v>P_NRE_CERT</x:v>
      </x:c>
      <x:c r="B18" s="19" t="str">
        <x:v>NRE</x:v>
      </x:c>
      <x:c r="C18" s="19" t="str">
        <x:v>认证/公告/第三方试验与资料</x:v>
      </x:c>
      <x:c r="D18" s="456" t="n">
        <x:v>2000000</x:v>
      </x:c>
      <x:c r="E18" s="456" t="n">
        <x:v>5000000</x:v>
      </x:c>
      <x:c r="F18" s="456" t="n">
        <x:v>10000000</x:v>
      </x:c>
      <x:c r="G18" s="19" t="str">
        <x:v>元</x:v>
      </x:c>
      <x:c r="H18" s="19" t="str">
        <x:v>独立工程情景</x:v>
      </x:c>
      <x:c r="I18" s="19" t="str">
        <x:v>独立车型</x:v>
      </x:c>
      <x:c r="J18" s="19" t="str">
        <x:v>D</x:v>
      </x:c>
      <x:c r="K18" s="19" t="str">
        <x:v>NO</x:v>
      </x:c>
      <x:c r="L18" s="19" t="str">
        <x:v>NO</x:v>
      </x:c>
      <x:c r="M18" s="19" t="str">
        <x:v>一次性</x:v>
      </x:c>
    </x:row>
    <x:row r="19" ht="46" customHeight="1">
      <x:c r="A19" s="445" t="str">
        <x:v>P_NRE_TOOLING</x:v>
      </x:c>
      <x:c r="B19" s="445" t="str">
        <x:v>NRE</x:v>
      </x:c>
      <x:c r="C19" s="445" t="str">
        <x:v>专用模夹具/工位/EOL设备</x:v>
      </x:c>
      <x:c r="D19" s="458" t="n">
        <x:v>13000000</x:v>
      </x:c>
      <x:c r="E19" s="458" t="n">
        <x:v>22000000</x:v>
      </x:c>
      <x:c r="F19" s="458" t="n">
        <x:v>30000000</x:v>
      </x:c>
      <x:c r="G19" s="445" t="str">
        <x:v>元</x:v>
      </x:c>
      <x:c r="H19" s="445" t="str">
        <x:v>独立工程情景</x:v>
      </x:c>
      <x:c r="I19" s="445" t="str">
        <x:v>低量制造</x:v>
      </x:c>
      <x:c r="J19" s="445" t="str">
        <x:v>D</x:v>
      </x:c>
      <x:c r="K19" s="445" t="str">
        <x:v>NO</x:v>
      </x:c>
      <x:c r="L19" s="445" t="str">
        <x:v>NO</x:v>
      </x:c>
      <x:c r="M19" s="445" t="str">
        <x:v>一次性</x:v>
      </x:c>
    </x:row>
    <x:row r="20" ht="46" customHeight="1">
      <x:c r="A20" s="19" t="str">
        <x:v>P_NRE_TOTAL</x:v>
      </x:c>
      <x:c r="B20" s="19" t="str">
        <x:v>NRE</x:v>
      </x:c>
      <x:c r="C20" s="19" t="str">
        <x:v>一次性费用总额</x:v>
      </x:c>
      <x:c r="D20" s="456" t="n">
        <x:f>SUM(D15,D16,D17,D18,D19)</x:f>
        <x:v>40000000</x:v>
      </x:c>
      <x:c r="E20" s="456" t="n">
        <x:f>SUM(E15,E16,E17,E18,E19)</x:f>
        <x:v>85000000</x:v>
      </x:c>
      <x:c r="F20" s="456" t="n">
        <x:f>SUM(F15,F16,F17,F18,F19)</x:f>
        <x:v>150000000</x:v>
      </x:c>
      <x:c r="G20" s="19" t="str">
        <x:v>元</x:v>
      </x:c>
      <x:c r="H20" s="19" t="str">
        <x:v>上列五项求和</x:v>
      </x:c>
      <x:c r="I20" s="19" t="str">
        <x:v>特殊版</x:v>
      </x:c>
      <x:c r="J20" s="19" t="str">
        <x:v>公式</x:v>
      </x:c>
      <x:c r="K20" s="19" t="str">
        <x:v>NO</x:v>
      </x:c>
      <x:c r="L20" s="19" t="str">
        <x:v>NO</x:v>
      </x:c>
      <x:c r="M20" s="19" t="str">
        <x:v>4000万/8500万/1.5亿元</x:v>
      </x:c>
    </x:row>
    <x:row r="21" ht="46" customHeight="1">
      <x:c r="A21" s="445" t="str">
        <x:v>P_NRE_PER_UNIT</x:v>
      </x:c>
      <x:c r="B21" s="445" t="str">
        <x:v>NRE</x:v>
      </x:c>
      <x:c r="C21" s="445" t="str">
        <x:v>单车NRE摊销</x:v>
      </x:c>
      <x:c r="D21" s="458" t="n">
        <x:f>D20/D14</x:f>
        <x:v>2000</x:v>
      </x:c>
      <x:c r="E21" s="458" t="n">
        <x:f>E20/E14</x:f>
        <x:v>10625</x:v>
      </x:c>
      <x:c r="F21" s="458" t="n">
        <x:f>F20/F14</x:f>
        <x:v>50000</x:v>
      </x:c>
      <x:c r="G21" s="445" t="str">
        <x:v>元/车</x:v>
      </x:c>
      <x:c r="H21" s="445" t="str">
        <x:v>P_NRE_TOTAL÷P_VOLUME</x:v>
      </x:c>
      <x:c r="I21" s="445" t="str">
        <x:v>特殊版</x:v>
      </x:c>
      <x:c r="J21" s="445" t="str">
        <x:v>公式</x:v>
      </x:c>
      <x:c r="K21" s="445" t="str">
        <x:v>NO</x:v>
      </x:c>
      <x:c r="L21" s="445" t="str">
        <x:v>NO</x:v>
      </x:c>
      <x:c r="M21" s="445" t="str">
        <x:v>2000/10625/50000</x:v>
      </x:c>
    </x:row>
  </x:sheetData>
  <x:mergeCells>
    <x:mergeCell ref="A1:M1"/>
    <x:mergeCell ref="A2:M2"/>
    <x:mergeCell ref="A3:M3"/>
  </x:mergeCells>
  <x:conditionalFormatting sqref="I6:L21">
    <x:cfRule type="containsText" dxfId="1540" priority="1" operator="containsText" text="PASS"/>
    <x:cfRule type="containsText" dxfId="1541" priority="2" operator="containsText" text="READY"/>
    <x:cfRule type="containsText" dxfId="1542" priority="3" operator="containsText" text="TRUE"/>
    <x:cfRule type="containsText" dxfId="1543" priority="4" operator="containsText" text="LOCKED"/>
    <x:cfRule type="containsText" dxfId="1544" priority="5" operator="containsText" text="MATCH"/>
    <x:cfRule type="containsText" dxfId="1545" priority="6" operator="containsText" text="CORE"/>
    <x:cfRule type="containsText" dxfId="1546" priority="7" operator="containsText" text="PROVISIONAL"/>
    <x:cfRule type="containsText" dxfId="1547" priority="8" operator="containsText" text="SCENARIO"/>
    <x:cfRule type="containsText" dxfId="1548" priority="9" operator="containsText" text="HOLD"/>
    <x:cfRule type="containsText" dxfId="1549" priority="10" operator="containsText" text="NOT_COMMERCIALIZED"/>
    <x:cfRule type="containsText" dxfId="1550" priority="11" operator="containsText" text="BLOCKED"/>
    <x:cfRule type="containsText" dxfId="1551" priority="12" operator="containsText" text="FAIL"/>
    <x:cfRule type="containsText" dxfId="1552" priority="13" operator="containsText" text="FALSE"/>
    <x:cfRule type="containsText" dxfId="1553" priority="14" operator="containsText" text="EXCLUDED"/>
    <x:cfRule type="containsText" dxfId="1554" priority="15" operator="containsText" text="OPTION"/>
    <x:cfRule type="containsText" dxfId="1555" priority="16" operator="containsText" text="SPECIAL"/>
    <x:cfRule type="containsText" dxfId="1556" priority="17" operator="containsText" text="ORDINARY"/>
  </x:conditionalFormatting>
  <x:pageMargins left="0.7" right="0.7" top="0.75" bottom="0.75" header="0.3" footer="0.3"/>
</x:worksheet>
</file>

<file path=xl/worksheets/sheet7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4" hidden="0" customWidth="1"/>
    <x:col min="3" max="3" width="18" hidden="0" customWidth="1"/>
    <x:col min="4" max="4" width="42" hidden="0" customWidth="1"/>
    <x:col min="5" max="5" width="28" hidden="0" customWidth="1"/>
    <x:col min="6" max="6" width="26" hidden="0" customWidth="1"/>
    <x:col min="7" max="7" width="16" hidden="0" customWidth="1"/>
    <x:col min="8" max="8" width="16" hidden="0" customWidth="1"/>
    <x:col min="9" max="9" width="22" hidden="0" customWidth="1"/>
    <x:col min="10" max="10" width="14" hidden="0" customWidth="1"/>
    <x:col min="11" max="11" width="20" hidden="0" customWidth="1"/>
    <x:col min="12" max="12" width="15" hidden="0" customWidth="1"/>
    <x:col min="13" max="13" width="15" hidden="0" customWidth="1"/>
    <x:col min="14" max="14" width="15" hidden="0" customWidth="1"/>
    <x:col min="15" max="15" width="14" hidden="0" customWidth="1"/>
    <x:col min="16" max="16" width="15" hidden="0" customWidth="1"/>
    <x:col min="17" max="17" width="15" hidden="0" customWidth="1"/>
    <x:col min="18" max="18" width="15" hidden="0" customWidth="1"/>
    <x:col min="19" max="19" width="16" hidden="0" customWidth="1"/>
    <x:col min="20" max="20" width="34" hidden="0" customWidth="1"/>
    <x:col min="21" max="21" width="46" hidden="0" customWidth="1"/>
    <x:col min="22" max="22" width="12" hidden="0" customWidth="1"/>
    <x:col min="23" max="23" width="12" hidden="0" customWidth="1"/>
  </x:cols>
  <x:sheetData>
    <x:row r="1" ht="30" customHeight="1">
      <x:c r="A1" s="432" t="str">
        <x:v>77｜N90普通五座→升顶五座增量BOM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  <x:c r="L1" s="432"/>
      <x:c r="M1" s="432"/>
      <x:c r="N1" s="432"/>
      <x:c r="O1" s="432"/>
      <x:c r="P1" s="432"/>
      <x:c r="Q1" s="432"/>
      <x:c r="R1" s="432"/>
      <x:c r="S1" s="432"/>
      <x:c r="T1" s="432"/>
      <x:c r="U1" s="432"/>
      <x:c r="V1" s="432"/>
      <x:c r="W1" s="432"/>
    </x:row>
    <x:row r="2" ht="22" customHeight="1">
      <x:c r="A2" s="435" t="str">
        <x:v>8条特殊升顶硬件 + 3条普通生活设施 + 固定顶信用 + 直接工序｜特殊项不乘κ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  <x:c r="L2" s="435"/>
      <x:c r="M2" s="435"/>
      <x:c r="N2" s="435"/>
      <x:c r="O2" s="435"/>
      <x:c r="P2" s="435"/>
      <x:c r="Q2" s="435"/>
      <x:c r="R2" s="435"/>
      <x:c r="S2" s="435"/>
      <x:c r="T2" s="435"/>
      <x:c r="U2" s="435"/>
      <x:c r="V2" s="435"/>
      <x:c r="W2" s="435"/>
    </x:row>
    <x:row r="3" ht="68" customHeight="1">
      <x:c r="A3" s="439" t="str">
        <x:v>所有金额均为未税工程情景，不是小米采购价。成本未使用299900或任何目标售价倒推。固定顶/顶棚重叠件以负向信用显式列示；其金额低置信，但能防止把被替代部件与升顶总成同时全额计价。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  <x:c r="L3" s="439"/>
      <x:c r="M3" s="439"/>
      <x:c r="N3" s="439"/>
      <x:c r="O3" s="439"/>
      <x:c r="P3" s="439"/>
      <x:c r="Q3" s="439"/>
      <x:c r="R3" s="439"/>
      <x:c r="S3" s="439"/>
      <x:c r="T3" s="439"/>
      <x:c r="U3" s="439"/>
      <x:c r="V3" s="439"/>
      <x:c r="W3" s="439"/>
    </x:row>
    <x:row r="5" ht="58" customHeight="1">
      <x:c r="A5" s="444" t="str">
        <x:v>cost_line_id</x:v>
      </x:c>
      <x:c r="B5" s="444" t="str">
        <x:v>layer</x:v>
      </x:c>
      <x:c r="C5" s="444" t="str">
        <x:v>module</x:v>
      </x:c>
      <x:c r="D5" s="444" t="str">
        <x:v>cost_item</x:v>
      </x:c>
      <x:c r="E5" s="444" t="str">
        <x:v>double_count_key</x:v>
      </x:c>
      <x:c r="F5" s="444" t="str">
        <x:v>准入状态</x:v>
      </x:c>
      <x:c r="G5" s="444" t="str">
        <x:v>差异证据</x:v>
      </x:c>
      <x:c r="H5" s="444" t="str">
        <x:v>估值证据</x:v>
      </x:c>
      <x:c r="I5" s="444" t="str">
        <x:v>price_derived_flag</x:v>
      </x:c>
      <x:c r="J5" s="444" t="str">
        <x:v>κ资格</x:v>
      </x:c>
      <x:c r="K5" s="444" t="str">
        <x:v>质保风险基数</x:v>
      </x:c>
      <x:c r="L5" s="444" t="str">
        <x:v>Low输入</x:v>
      </x:c>
      <x:c r="M5" s="444" t="str">
        <x:v>Mid输入</x:v>
      </x:c>
      <x:c r="N5" s="444" t="str">
        <x:v>High输入</x:v>
      </x:c>
      <x:c r="O5" s="444" t="str">
        <x:v>单位</x:v>
      </x:c>
      <x:c r="P5" s="444" t="str">
        <x:v>Low计入</x:v>
      </x:c>
      <x:c r="Q5" s="444" t="str">
        <x:v>Mid计入</x:v>
      </x:c>
      <x:c r="R5" s="444" t="str">
        <x:v>High计入</x:v>
      </x:c>
      <x:c r="S5" s="444" t="str">
        <x:v>净增质量kg</x:v>
      </x:c>
      <x:c r="T5" s="444" t="str">
        <x:v>来源/假设</x:v>
      </x:c>
      <x:c r="U5" s="444" t="str">
        <x:v>边界</x:v>
      </x:c>
      <x:c r="V5" s="444" t="str">
        <x:v>重复数</x:v>
      </x:c>
      <x:c r="W5" s="444" t="str">
        <x:v>顺序错</x:v>
      </x:c>
    </x:row>
    <x:row r="6" ht="54" customHeight="1">
      <x:c r="A6" s="19" t="str">
        <x:v>C32C-01</x:v>
      </x:c>
      <x:c r="B6" s="19" t="str">
        <x:v>SPECIAL_ROOF</x:v>
      </x:c>
      <x:c r="C6" s="19" t="str">
        <x:v>BODY</x:v>
      </x:c>
      <x:c r="D6" s="19" t="str">
        <x:v>车顶开口、环框及车身加强</x:v>
      </x:c>
      <x:c r="E6" s="19" t="str">
        <x:v>ROOF_APERTURE_REINFORCEMENT</x:v>
      </x:c>
      <x:c r="F6" s="19" t="str">
        <x:v>STRUCTURAL_REQUIRED</x:v>
      </x:c>
      <x:c r="G6" s="19" t="str">
        <x:v>A</x:v>
      </x:c>
      <x:c r="H6" s="19" t="str">
        <x:v>D</x:v>
      </x:c>
      <x:c r="I6" s="19" t="str">
        <x:v>NO</x:v>
      </x:c>
      <x:c r="J6" s="19" t="str">
        <x:v>NO</x:v>
      </x:c>
      <x:c r="K6" s="19" t="str">
        <x:v>NO</x:v>
      </x:c>
      <x:c r="L6" s="456" t="n">
        <x:v>2200</x:v>
      </x:c>
      <x:c r="M6" s="456" t="n">
        <x:v>4000</x:v>
      </x:c>
      <x:c r="N6" s="456" t="n">
        <x:v>7000</x:v>
      </x:c>
      <x:c r="O6" s="414" t="str">
        <x:v>元/车</x:v>
      </x:c>
      <x:c r="P6" s="414" t="n">
        <x:f>L6</x:f>
        <x:v>2200</x:v>
      </x:c>
      <x:c r="Q6" s="414" t="n">
        <x:f>M6</x:f>
        <x:v>4000</x:v>
      </x:c>
      <x:c r="R6" s="414" t="n">
        <x:f>N6</x:f>
        <x:v>7000</x:v>
      </x:c>
      <x:c r="S6" s="449" t="n">
        <x:v>14</x:v>
      </x:c>
      <x:c r="T6" s="19" t="str">
        <x:v>高度+100mm/净质量+40kg约束</x:v>
      </x:c>
      <x:c r="U6" s="19" t="str">
        <x:v>不再叠加40kg材料代理</x:v>
      </x:c>
      <x:c r="V6" s="19" t="n">
        <x:f>COUNTIF($E$6:$E$18,E6)</x:f>
        <x:v>1</x:v>
      </x:c>
      <x:c r="W6" s="19" t="n">
        <x:f>IF(B6="BASELINE_CREDIT",IF(AND(P6&gt;=Q6,Q6&gt;=R6),0,1),IF(AND(P6&lt;=Q6,Q6&lt;=R6),0,1))</x:f>
        <x:v>0</x:v>
      </x:c>
    </x:row>
    <x:row r="7" ht="54" customHeight="1">
      <x:c r="A7" s="445" t="str">
        <x:v>C32C-02</x:v>
      </x:c>
      <x:c r="B7" s="445" t="str">
        <x:v>SPECIAL_ROOF</x:v>
      </x:c>
      <x:c r="C7" s="445" t="str">
        <x:v>BODY</x:v>
      </x:c>
      <x:c r="D7" s="445" t="str">
        <x:v>升顶硬顶盖、外饰及表面处理</x:v>
      </x:c>
      <x:c r="E7" s="445" t="str">
        <x:v>ELEVATING_ROOF_CAP</x:v>
      </x:c>
      <x:c r="F7" s="445" t="str">
        <x:v>POP_UP_REQUIRED</x:v>
      </x:c>
      <x:c r="G7" s="445" t="str">
        <x:v>A</x:v>
      </x:c>
      <x:c r="H7" s="445" t="str">
        <x:v>D</x:v>
      </x:c>
      <x:c r="I7" s="445" t="str">
        <x:v>NO</x:v>
      </x:c>
      <x:c r="J7" s="445" t="str">
        <x:v>NO</x:v>
      </x:c>
      <x:c r="K7" s="445" t="str">
        <x:v>NO</x:v>
      </x:c>
      <x:c r="L7" s="458" t="n">
        <x:v>1500</x:v>
      </x:c>
      <x:c r="M7" s="458" t="n">
        <x:v>2800</x:v>
      </x:c>
      <x:c r="N7" s="458" t="n">
        <x:v>4800</x:v>
      </x:c>
      <x:c r="O7" s="453" t="str">
        <x:v>元/车</x:v>
      </x:c>
      <x:c r="P7" s="453" t="n">
        <x:f>L7</x:f>
        <x:v>1500</x:v>
      </x:c>
      <x:c r="Q7" s="453" t="n">
        <x:f>M7</x:f>
        <x:v>2800</x:v>
      </x:c>
      <x:c r="R7" s="453" t="n">
        <x:f>N7</x:f>
        <x:v>4800</x:v>
      </x:c>
      <x:c r="S7" s="450" t="n">
        <x:v>14</x:v>
      </x:c>
      <x:c r="T7" s="445" t="str">
        <x:v>升降顶结构</x:v>
      </x:c>
      <x:c r="U7" s="445" t="str">
        <x:v>与固定顶信用配对</x:v>
      </x:c>
      <x:c r="V7" s="445" t="n">
        <x:f>COUNTIF($E$6:$E$18,E7)</x:f>
        <x:v>1</x:v>
      </x:c>
      <x:c r="W7" s="445" t="n">
        <x:f>IF(B7="BASELINE_CREDIT",IF(AND(P7&gt;=Q7,Q7&gt;=R7),0,1),IF(AND(P7&lt;=Q7,Q7&lt;=R7),0,1))</x:f>
        <x:v>0</x:v>
      </x:c>
    </x:row>
    <x:row r="8" ht="54" customHeight="1">
      <x:c r="A8" s="19" t="str">
        <x:v>C32C-03</x:v>
      </x:c>
      <x:c r="B8" s="19" t="str">
        <x:v>SPECIAL_ROOF</x:v>
      </x:c>
      <x:c r="C8" s="19" t="str">
        <x:v>MECHANISM</x:v>
      </x:c>
      <x:c r="D8" s="19" t="str">
        <x:v>铰链/剪叉/导轨/助力机构</x:v>
      </x:c>
      <x:c r="E8" s="19" t="str">
        <x:v>LIFT_KINEMATICS</x:v>
      </x:c>
      <x:c r="F8" s="19" t="str">
        <x:v>POP_UP_REQUIRED</x:v>
      </x:c>
      <x:c r="G8" s="19" t="str">
        <x:v>A</x:v>
      </x:c>
      <x:c r="H8" s="19" t="str">
        <x:v>C/D</x:v>
      </x:c>
      <x:c r="I8" s="19" t="str">
        <x:v>NO</x:v>
      </x:c>
      <x:c r="J8" s="19" t="str">
        <x:v>NO</x:v>
      </x:c>
      <x:c r="K8" s="19" t="str">
        <x:v>YES</x:v>
      </x:c>
      <x:c r="L8" s="456" t="n">
        <x:v>1000</x:v>
      </x:c>
      <x:c r="M8" s="456" t="n">
        <x:v>1800</x:v>
      </x:c>
      <x:c r="N8" s="456" t="n">
        <x:v>3000</x:v>
      </x:c>
      <x:c r="O8" s="414" t="str">
        <x:v>元/车</x:v>
      </x:c>
      <x:c r="P8" s="414" t="n">
        <x:f>L8</x:f>
        <x:v>1000</x:v>
      </x:c>
      <x:c r="Q8" s="414" t="n">
        <x:f>M8</x:f>
        <x:v>1800</x:v>
      </x:c>
      <x:c r="R8" s="414" t="n">
        <x:f>N8</x:f>
        <x:v>3000</x:v>
      </x:c>
      <x:c r="S8" s="449" t="n">
        <x:v>10</x:v>
      </x:c>
      <x:c r="T8" s="19" t="str">
        <x:v>执行机构量级类比</x:v>
      </x:c>
      <x:c r="U8" s="19" t="str">
        <x:v>不含电动执行与控制</x:v>
      </x:c>
      <x:c r="V8" s="19" t="n">
        <x:f>COUNTIF($E$6:$E$18,E8)</x:f>
        <x:v>1</x:v>
      </x:c>
      <x:c r="W8" s="19" t="n">
        <x:f>IF(B8="BASELINE_CREDIT",IF(AND(P8&gt;=Q8,Q8&gt;=R8),0,1),IF(AND(P8&lt;=Q8,Q8&lt;=R8),0,1))</x:f>
        <x:v>0</x:v>
      </x:c>
    </x:row>
    <x:row r="9" ht="54" customHeight="1">
      <x:c r="A9" s="445" t="str">
        <x:v>C32C-04</x:v>
      </x:c>
      <x:c r="B9" s="445" t="str">
        <x:v>SPECIAL_ROOF</x:v>
      </x:c>
      <x:c r="C9" s="445" t="str">
        <x:v>ELECTROMECH</x:v>
      </x:c>
      <x:c r="D9" s="445" t="str">
        <x:v>电动执行、控制器、线束与防夹</x:v>
      </x:c>
      <x:c r="E9" s="445" t="str">
        <x:v>LIFT_ACTUATION_CONTROL</x:v>
      </x:c>
      <x:c r="F9" s="445" t="str">
        <x:v>POP_UP_REQUIRED</x:v>
      </x:c>
      <x:c r="G9" s="445" t="str">
        <x:v>A</x:v>
      </x:c>
      <x:c r="H9" s="445" t="str">
        <x:v>C/D</x:v>
      </x:c>
      <x:c r="I9" s="445" t="str">
        <x:v>NO</x:v>
      </x:c>
      <x:c r="J9" s="445" t="str">
        <x:v>NO</x:v>
      </x:c>
      <x:c r="K9" s="445" t="str">
        <x:v>YES</x:v>
      </x:c>
      <x:c r="L9" s="458" t="n">
        <x:v>900</x:v>
      </x:c>
      <x:c r="M9" s="458" t="n">
        <x:v>1600</x:v>
      </x:c>
      <x:c r="N9" s="458" t="n">
        <x:v>2600</x:v>
      </x:c>
      <x:c r="O9" s="453" t="str">
        <x:v>元/车</x:v>
      </x:c>
      <x:c r="P9" s="453" t="n">
        <x:f>L9</x:f>
        <x:v>900</x:v>
      </x:c>
      <x:c r="Q9" s="453" t="n">
        <x:f>M9</x:f>
        <x:v>1600</x:v>
      </x:c>
      <x:c r="R9" s="453" t="n">
        <x:f>N9</x:f>
        <x:v>2600</x:v>
      </x:c>
      <x:c r="S9" s="450" t="n">
        <x:v>4</x:v>
      </x:c>
      <x:c r="T9" s="445" t="str">
        <x:v>电吸/电动管柱成本锚类比</x:v>
      </x:c>
      <x:c r="U9" s="445" t="str">
        <x:v>不重复机构与锁止件</x:v>
      </x:c>
      <x:c r="V9" s="445" t="n">
        <x:f>COUNTIF($E$6:$E$18,E9)</x:f>
        <x:v>1</x:v>
      </x:c>
      <x:c r="W9" s="445" t="n">
        <x:f>IF(B9="BASELINE_CREDIT",IF(AND(P9&gt;=Q9,Q9&gt;=R9),0,1),IF(AND(P9&lt;=Q9,Q9&lt;=R9),0,1))</x:f>
        <x:v>0</x:v>
      </x:c>
    </x:row>
    <x:row r="10" ht="54" customHeight="1">
      <x:c r="A10" s="19" t="str">
        <x:v>C32C-05</x:v>
      </x:c>
      <x:c r="B10" s="19" t="str">
        <x:v>SPECIAL_ROOF</x:v>
      </x:c>
      <x:c r="C10" s="19" t="str">
        <x:v>SOFT_WALL</x:v>
      </x:c>
      <x:c r="D10" s="19" t="str">
        <x:v>防水软围、窗纱及复合层</x:v>
      </x:c>
      <x:c r="E10" s="19" t="str">
        <x:v>FLEXIBLE_ROOF_WALL</x:v>
      </x:c>
      <x:c r="F10" s="19" t="str">
        <x:v>POP_UP_REQUIRED</x:v>
      </x:c>
      <x:c r="G10" s="19" t="str">
        <x:v>A</x:v>
      </x:c>
      <x:c r="H10" s="19" t="str">
        <x:v>D</x:v>
      </x:c>
      <x:c r="I10" s="19" t="str">
        <x:v>NO</x:v>
      </x:c>
      <x:c r="J10" s="19" t="str">
        <x:v>NO</x:v>
      </x:c>
      <x:c r="K10" s="19" t="str">
        <x:v>YES</x:v>
      </x:c>
      <x:c r="L10" s="456" t="n">
        <x:v>700</x:v>
      </x:c>
      <x:c r="M10" s="456" t="n">
        <x:v>1300</x:v>
      </x:c>
      <x:c r="N10" s="456" t="n">
        <x:v>2200</x:v>
      </x:c>
      <x:c r="O10" s="414" t="str">
        <x:v>元/车</x:v>
      </x:c>
      <x:c r="P10" s="414" t="n">
        <x:f>L10</x:f>
        <x:v>700</x:v>
      </x:c>
      <x:c r="Q10" s="414" t="n">
        <x:f>M10</x:f>
        <x:v>1300</x:v>
      </x:c>
      <x:c r="R10" s="414" t="n">
        <x:f>N10</x:f>
        <x:v>2200</x:v>
      </x:c>
      <x:c r="S10" s="449" t="n">
        <x:v>4</x:v>
      </x:c>
      <x:c r="T10" s="19" t="str">
        <x:v>升降顶结构</x:v>
      </x:c>
      <x:c r="U10" s="19" t="str">
        <x:v>不假设投影/窗帘等附加件</x:v>
      </x:c>
      <x:c r="V10" s="19" t="n">
        <x:f>COUNTIF($E$6:$E$18,E10)</x:f>
        <x:v>1</x:v>
      </x:c>
      <x:c r="W10" s="19" t="n">
        <x:f>IF(B10="BASELINE_CREDIT",IF(AND(P10&gt;=Q10,Q10&gt;=R10),0,1),IF(AND(P10&lt;=Q10,Q10&lt;=R10),0,1))</x:f>
        <x:v>0</x:v>
      </x:c>
    </x:row>
    <x:row r="11" ht="54" customHeight="1">
      <x:c r="A11" s="445" t="str">
        <x:v>C32C-06</x:v>
      </x:c>
      <x:c r="B11" s="445" t="str">
        <x:v>SPECIAL_ROOF</x:v>
      </x:c>
      <x:c r="C11" s="445" t="str">
        <x:v>SEALING</x:v>
      </x:c>
      <x:c r="D11" s="445" t="str">
        <x:v>周圈密封、排水及线束穿越</x:v>
      </x:c>
      <x:c r="E11" s="445" t="str">
        <x:v>ROOF_SEAL_DRAIN</x:v>
      </x:c>
      <x:c r="F11" s="445" t="str">
        <x:v>POP_UP_REQUIRED</x:v>
      </x:c>
      <x:c r="G11" s="445" t="str">
        <x:v>A</x:v>
      </x:c>
      <x:c r="H11" s="445" t="str">
        <x:v>D</x:v>
      </x:c>
      <x:c r="I11" s="445" t="str">
        <x:v>NO</x:v>
      </x:c>
      <x:c r="J11" s="445" t="str">
        <x:v>NO</x:v>
      </x:c>
      <x:c r="K11" s="445" t="str">
        <x:v>YES</x:v>
      </x:c>
      <x:c r="L11" s="458" t="n">
        <x:v>600</x:v>
      </x:c>
      <x:c r="M11" s="458" t="n">
        <x:v>1100</x:v>
      </x:c>
      <x:c r="N11" s="458" t="n">
        <x:v>2000</x:v>
      </x:c>
      <x:c r="O11" s="453" t="str">
        <x:v>元/车</x:v>
      </x:c>
      <x:c r="P11" s="453" t="n">
        <x:f>L11</x:f>
        <x:v>600</x:v>
      </x:c>
      <x:c r="Q11" s="453" t="n">
        <x:f>M11</x:f>
        <x:v>1100</x:v>
      </x:c>
      <x:c r="R11" s="453" t="n">
        <x:f>N11</x:f>
        <x:v>2000</x:v>
      </x:c>
      <x:c r="S11" s="450" t="n">
        <x:v>2</x:v>
      </x:c>
      <x:c r="T11" s="445" t="str">
        <x:v>漏水/NVH关键件工程先验</x:v>
      </x:c>
      <x:c r="U11" s="445" t="str">
        <x:v>不与普通整车防水绝对成本重复</x:v>
      </x:c>
      <x:c r="V11" s="445" t="n">
        <x:f>COUNTIF($E$6:$E$18,E11)</x:f>
        <x:v>1</x:v>
      </x:c>
      <x:c r="W11" s="445" t="n">
        <x:f>IF(B11="BASELINE_CREDIT",IF(AND(P11&gt;=Q11,Q11&gt;=R11),0,1),IF(AND(P11&lt;=Q11,Q11&lt;=R11),0,1))</x:f>
        <x:v>0</x:v>
      </x:c>
    </x:row>
    <x:row r="12" ht="54" customHeight="1">
      <x:c r="A12" s="19" t="str">
        <x:v>C32C-07</x:v>
      </x:c>
      <x:c r="B12" s="19" t="str">
        <x:v>SPECIAL_ROOF</x:v>
      </x:c>
      <x:c r="C12" s="19" t="str">
        <x:v>LOCK_SENSOR</x:v>
      </x:c>
      <x:c r="D12" s="19" t="str">
        <x:v>锁止件、位置传感与状态检测</x:v>
      </x:c>
      <x:c r="E12" s="19" t="str">
        <x:v>ROOF_LATCH_SENSOR</x:v>
      </x:c>
      <x:c r="F12" s="19" t="str">
        <x:v>POP_UP_REQUIRED</x:v>
      </x:c>
      <x:c r="G12" s="19" t="str">
        <x:v>A</x:v>
      </x:c>
      <x:c r="H12" s="19" t="str">
        <x:v>C/D</x:v>
      </x:c>
      <x:c r="I12" s="19" t="str">
        <x:v>NO</x:v>
      </x:c>
      <x:c r="J12" s="19" t="str">
        <x:v>NO</x:v>
      </x:c>
      <x:c r="K12" s="19" t="str">
        <x:v>YES</x:v>
      </x:c>
      <x:c r="L12" s="456" t="n">
        <x:v>300</x:v>
      </x:c>
      <x:c r="M12" s="456" t="n">
        <x:v>650</x:v>
      </x:c>
      <x:c r="N12" s="456" t="n">
        <x:v>1100</x:v>
      </x:c>
      <x:c r="O12" s="414" t="str">
        <x:v>元/车</x:v>
      </x:c>
      <x:c r="P12" s="414" t="n">
        <x:f>L12</x:f>
        <x:v>300</x:v>
      </x:c>
      <x:c r="Q12" s="414" t="n">
        <x:f>M12</x:f>
        <x:v>650</x:v>
      </x:c>
      <x:c r="R12" s="414" t="n">
        <x:f>N12</x:f>
        <x:v>1100</x:v>
      </x:c>
      <x:c r="S12" s="449" t="n">
        <x:v>1.5</x:v>
      </x:c>
      <x:c r="T12" s="19" t="str">
        <x:v>锁扣/传感器量级类比</x:v>
      </x:c>
      <x:c r="U12" s="19" t="str">
        <x:v>执行控制与状态检测分边界</x:v>
      </x:c>
      <x:c r="V12" s="19" t="n">
        <x:f>COUNTIF($E$6:$E$18,E12)</x:f>
        <x:v>1</x:v>
      </x:c>
      <x:c r="W12" s="19" t="n">
        <x:f>IF(B12="BASELINE_CREDIT",IF(AND(P12&gt;=Q12,Q12&gt;=R12),0,1),IF(AND(P12&lt;=Q12,Q12&lt;=R12),0,1))</x:f>
        <x:v>0</x:v>
      </x:c>
    </x:row>
    <x:row r="13" ht="54" customHeight="1">
      <x:c r="A13" s="445" t="str">
        <x:v>C32C-08</x:v>
      </x:c>
      <x:c r="B13" s="445" t="str">
        <x:v>SPECIAL_ROOF</x:v>
      </x:c>
      <x:c r="C13" s="445" t="str">
        <x:v>TRIM_NHV</x:v>
      </x:c>
      <x:c r="D13" s="445" t="str">
        <x:v>顶棚过渡饰件与开口包边</x:v>
      </x:c>
      <x:c r="E13" s="445" t="str">
        <x:v>ROOF_INTERIOR_TRANSITION</x:v>
      </x:c>
      <x:c r="F13" s="445" t="str">
        <x:v>POP_UP_REQUIRED</x:v>
      </x:c>
      <x:c r="G13" s="445" t="str">
        <x:v>A</x:v>
      </x:c>
      <x:c r="H13" s="445" t="str">
        <x:v>C/D</x:v>
      </x:c>
      <x:c r="I13" s="445" t="str">
        <x:v>NO</x:v>
      </x:c>
      <x:c r="J13" s="445" t="str">
        <x:v>NO</x:v>
      </x:c>
      <x:c r="K13" s="445" t="str">
        <x:v>NO</x:v>
      </x:c>
      <x:c r="L13" s="458" t="n">
        <x:v>300</x:v>
      </x:c>
      <x:c r="M13" s="458" t="n">
        <x:v>700</x:v>
      </x:c>
      <x:c r="N13" s="458" t="n">
        <x:v>1200</x:v>
      </x:c>
      <x:c r="O13" s="453" t="str">
        <x:v>元/车</x:v>
      </x:c>
      <x:c r="P13" s="453" t="n">
        <x:f>L13</x:f>
        <x:v>300</x:v>
      </x:c>
      <x:c r="Q13" s="453" t="n">
        <x:f>M13</x:f>
        <x:v>700</x:v>
      </x:c>
      <x:c r="R13" s="453" t="n">
        <x:f>N13</x:f>
        <x:v>1200</x:v>
      </x:c>
      <x:c r="S13" s="450" t="n">
        <x:v>2.5</x:v>
      </x:c>
      <x:c r="T13" s="445" t="str">
        <x:v>既有顶棚成本锚</x:v>
      </x:c>
      <x:c r="U13" s="445" t="str">
        <x:v>不计全车静谧包</x:v>
      </x:c>
      <x:c r="V13" s="445" t="n">
        <x:f>COUNTIF($E$6:$E$18,E13)</x:f>
        <x:v>1</x:v>
      </x:c>
      <x:c r="W13" s="445" t="n">
        <x:f>IF(B13="BASELINE_CREDIT",IF(AND(P13&gt;=Q13,Q13&gt;=R13),0,1),IF(AND(P13&lt;=Q13,Q13&lt;=R13),0,1))</x:f>
        <x:v>0</x:v>
      </x:c>
    </x:row>
    <x:row r="14" ht="54" customHeight="1">
      <x:c r="A14" s="19" t="str">
        <x:v>C32C-09</x:v>
      </x:c>
      <x:c r="B14" s="19" t="str">
        <x:v>ORDINARY_LIFESTYLE</x:v>
      </x:c>
      <x:c r="C14" s="19" t="str">
        <x:v>CABIN</x:v>
      </x:c>
      <x:c r="D14" s="19" t="str">
        <x:v>床板/睡眠平台基础结构</x:v>
      </x:c>
      <x:c r="E14" s="19" t="str">
        <x:v>SLEEP_PLATFORM</x:v>
      </x:c>
      <x:c r="F14" s="19" t="str">
        <x:v>LISTED_MECHANISM_BOUNDARY</x:v>
      </x:c>
      <x:c r="G14" s="19" t="str">
        <x:v>A</x:v>
      </x:c>
      <x:c r="H14" s="19" t="str">
        <x:v>D</x:v>
      </x:c>
      <x:c r="I14" s="19" t="str">
        <x:v>NO</x:v>
      </x:c>
      <x:c r="J14" s="19" t="str">
        <x:v>YES</x:v>
      </x:c>
      <x:c r="K14" s="19" t="str">
        <x:v>NO</x:v>
      </x:c>
      <x:c r="L14" s="456" t="n">
        <x:v>500</x:v>
      </x:c>
      <x:c r="M14" s="456" t="n">
        <x:v>900</x:v>
      </x:c>
      <x:c r="N14" s="456" t="n">
        <x:v>1500</x:v>
      </x:c>
      <x:c r="O14" s="414" t="str">
        <x:v>元/车</x:v>
      </x:c>
      <x:c r="P14" s="414" t="n">
        <x:f>L14</x:f>
        <x:v>500</x:v>
      </x:c>
      <x:c r="Q14" s="414" t="n">
        <x:f>M14</x:f>
        <x:v>900</x:v>
      </x:c>
      <x:c r="R14" s="414" t="n">
        <x:f>N14</x:f>
        <x:v>1500</x:v>
      </x:c>
      <x:c r="S14" s="449" t="n">
        <x:v>8</x:v>
      </x:c>
      <x:c r="T14" s="19" t="str">
        <x:v>工信部特殊机构文字</x:v>
      </x:c>
      <x:c r="U14" s="19" t="str">
        <x:v>床板不等于床垫</x:v>
      </x:c>
      <x:c r="V14" s="19" t="n">
        <x:f>COUNTIF($E$6:$E$18,E14)</x:f>
        <x:v>1</x:v>
      </x:c>
      <x:c r="W14" s="19" t="n">
        <x:f>IF(B14="BASELINE_CREDIT",IF(AND(P14&gt;=Q14,Q14&gt;=R14),0,1),IF(AND(P14&lt;=Q14,Q14&lt;=R14),0,1))</x:f>
        <x:v>0</x:v>
      </x:c>
    </x:row>
    <x:row r="15" ht="54" customHeight="1">
      <x:c r="A15" s="445" t="str">
        <x:v>C32C-10</x:v>
      </x:c>
      <x:c r="B15" s="445" t="str">
        <x:v>ORDINARY_LIFESTYLE</x:v>
      </x:c>
      <x:c r="C15" s="445" t="str">
        <x:v>CABIN</x:v>
      </x:c>
      <x:c r="D15" s="445" t="str">
        <x:v>边柜基础模块</x:v>
      </x:c>
      <x:c r="E15" s="445" t="str">
        <x:v>SIDE_CABINET</x:v>
      </x:c>
      <x:c r="F15" s="445" t="str">
        <x:v>LISTED_MECHANISM_BOUNDARY</x:v>
      </x:c>
      <x:c r="G15" s="445" t="str">
        <x:v>A</x:v>
      </x:c>
      <x:c r="H15" s="445" t="str">
        <x:v>D</x:v>
      </x:c>
      <x:c r="I15" s="445" t="str">
        <x:v>NO</x:v>
      </x:c>
      <x:c r="J15" s="445" t="str">
        <x:v>YES</x:v>
      </x:c>
      <x:c r="K15" s="445" t="str">
        <x:v>NO</x:v>
      </x:c>
      <x:c r="L15" s="458" t="n">
        <x:v>600</x:v>
      </x:c>
      <x:c r="M15" s="458" t="n">
        <x:v>1100</x:v>
      </x:c>
      <x:c r="N15" s="458" t="n">
        <x:v>2000</x:v>
      </x:c>
      <x:c r="O15" s="453" t="str">
        <x:v>元/车</x:v>
      </x:c>
      <x:c r="P15" s="453" t="n">
        <x:f>L15</x:f>
        <x:v>600</x:v>
      </x:c>
      <x:c r="Q15" s="453" t="n">
        <x:f>M15</x:f>
        <x:v>1100</x:v>
      </x:c>
      <x:c r="R15" s="453" t="n">
        <x:f>N15</x:f>
        <x:v>2000</x:v>
      </x:c>
      <x:c r="S15" s="450" t="n">
        <x:v>8</x:v>
      </x:c>
      <x:c r="T15" s="445" t="str">
        <x:v>工信部特殊机构文字</x:v>
      </x:c>
      <x:c r="U15" s="445" t="str">
        <x:v>不推导冰箱/水路/电器</x:v>
      </x:c>
      <x:c r="V15" s="445" t="n">
        <x:f>COUNTIF($E$6:$E$18,E15)</x:f>
        <x:v>1</x:v>
      </x:c>
      <x:c r="W15" s="445" t="n">
        <x:f>IF(B15="BASELINE_CREDIT",IF(AND(P15&gt;=Q15,Q15&gt;=R15),0,1),IF(AND(P15&lt;=Q15,Q15&lt;=R15),0,1))</x:f>
        <x:v>0</x:v>
      </x:c>
    </x:row>
    <x:row r="16" ht="54" customHeight="1">
      <x:c r="A16" s="19" t="str">
        <x:v>C32C-11</x:v>
      </x:c>
      <x:c r="B16" s="19" t="str">
        <x:v>ORDINARY_LIFESTYLE</x:v>
      </x:c>
      <x:c r="C16" s="19" t="str">
        <x:v>BODY_INTERFACE</x:v>
      </x:c>
      <x:c r="D16" s="19" t="str">
        <x:v>侧帐安装接口/局部加强</x:v>
      </x:c>
      <x:c r="E16" s="19" t="str">
        <x:v>AWNING_INTERFACE</x:v>
      </x:c>
      <x:c r="F16" s="19" t="str">
        <x:v>LISTED_MECHANISM_BOUNDARY</x:v>
      </x:c>
      <x:c r="G16" s="19" t="str">
        <x:v>A</x:v>
      </x:c>
      <x:c r="H16" s="19" t="str">
        <x:v>D</x:v>
      </x:c>
      <x:c r="I16" s="19" t="str">
        <x:v>NO</x:v>
      </x:c>
      <x:c r="J16" s="19" t="str">
        <x:v>YES</x:v>
      </x:c>
      <x:c r="K16" s="19" t="str">
        <x:v>NO</x:v>
      </x:c>
      <x:c r="L16" s="456" t="n">
        <x:v>100</x:v>
      </x:c>
      <x:c r="M16" s="456" t="n">
        <x:v>250</x:v>
      </x:c>
      <x:c r="N16" s="456" t="n">
        <x:v>500</x:v>
      </x:c>
      <x:c r="O16" s="414" t="str">
        <x:v>元/车</x:v>
      </x:c>
      <x:c r="P16" s="414" t="n">
        <x:f>L16</x:f>
        <x:v>100</x:v>
      </x:c>
      <x:c r="Q16" s="414" t="n">
        <x:f>M16</x:f>
        <x:v>250</x:v>
      </x:c>
      <x:c r="R16" s="414" t="n">
        <x:f>N16</x:f>
        <x:v>500</x:v>
      </x:c>
      <x:c r="S16" s="449" t="n">
        <x:v>2</x:v>
      </x:c>
      <x:c r="T16" s="19" t="str">
        <x:v>工信部特殊机构文字</x:v>
      </x:c>
      <x:c r="U16" s="19" t="str">
        <x:v>不含完整车边帐</x:v>
      </x:c>
      <x:c r="V16" s="19" t="n">
        <x:f>COUNTIF($E$6:$E$18,E16)</x:f>
        <x:v>1</x:v>
      </x:c>
      <x:c r="W16" s="19" t="n">
        <x:f>IF(B16="BASELINE_CREDIT",IF(AND(P16&gt;=Q16,Q16&gt;=R16),0,1),IF(AND(P16&lt;=Q16,Q16&lt;=R16),0,1))</x:f>
        <x:v>0</x:v>
      </x:c>
    </x:row>
    <x:row r="17" ht="54" customHeight="1">
      <x:c r="A17" s="445" t="str">
        <x:v>C32C-12</x:v>
      </x:c>
      <x:c r="B17" s="445" t="str">
        <x:v>BASELINE_CREDIT</x:v>
      </x:c>
      <x:c r="C17" s="445" t="str">
        <x:v>ROOF_BASE</x:v>
      </x:c>
      <x:c r="D17" s="445" t="str">
        <x:v>避免的普通固定顶/顶棚重叠件信用</x:v>
      </x:c>
      <x:c r="E17" s="445" t="str">
        <x:v>BASE_FIXED_ROOF_CREDIT</x:v>
      </x:c>
      <x:c r="F17" s="445" t="str">
        <x:v>LOW_CONFIDENCE_CREDIT</x:v>
      </x:c>
      <x:c r="G17" s="445" t="str">
        <x:v>A约束</x:v>
      </x:c>
      <x:c r="H17" s="445" t="str">
        <x:v>D</x:v>
      </x:c>
      <x:c r="I17" s="445" t="str">
        <x:v>NO</x:v>
      </x:c>
      <x:c r="J17" s="445" t="str">
        <x:v>YES</x:v>
      </x:c>
      <x:c r="K17" s="445" t="str">
        <x:v>NO</x:v>
      </x:c>
      <x:c r="L17" s="458" t="n">
        <x:v>-1500</x:v>
      </x:c>
      <x:c r="M17" s="458" t="n">
        <x:v>-2500</x:v>
      </x:c>
      <x:c r="N17" s="458" t="n">
        <x:v>-4000</x:v>
      </x:c>
      <x:c r="O17" s="453" t="str">
        <x:v>元/车</x:v>
      </x:c>
      <x:c r="P17" s="453" t="n">
        <x:f>L17</x:f>
        <x:v>-1500</x:v>
      </x:c>
      <x:c r="Q17" s="453" t="n">
        <x:f>M17</x:f>
        <x:v>-2500</x:v>
      </x:c>
      <x:c r="R17" s="453" t="n">
        <x:f>N17</x:f>
        <x:v>-4000</x:v>
      </x:c>
      <x:c r="S17" s="450" t="n">
        <x:v>-30</x:v>
      </x:c>
      <x:c r="T17" s="445" t="str">
        <x:v>固定顶/顶棚被替代工程先验</x:v>
      </x:c>
      <x:c r="U17" s="445" t="str">
        <x:v>信用低置信；与升顶顶盖配对且只计一次</x:v>
      </x:c>
      <x:c r="V17" s="445" t="n">
        <x:f>COUNTIF($E$6:$E$18,E17)</x:f>
        <x:v>1</x:v>
      </x:c>
      <x:c r="W17" s="445" t="n">
        <x:f>IF(B17="BASELINE_CREDIT",IF(AND(P17&gt;=Q17,Q17&gt;=R17),0,1),IF(AND(P17&lt;=Q17,Q17&lt;=R17),0,1))</x:f>
        <x:v>0</x:v>
      </x:c>
    </x:row>
    <x:row r="18" ht="54" customHeight="1">
      <x:c r="A18" s="19" t="str">
        <x:v>C32C-13</x:v>
      </x:c>
      <x:c r="B18" s="19" t="str">
        <x:v>SPECIAL_PROCESS</x:v>
      </x:c>
      <x:c r="C18" s="19" t="str">
        <x:v>MANUFACTURING</x:v>
      </x:c>
      <x:c r="D18" s="19" t="str">
        <x:v>低量总装、功能检查与淋雨EOL逐车工序</x:v>
      </x:c>
      <x:c r="E18" s="19" t="str">
        <x:v>SPECIAL_EOL</x:v>
      </x:c>
      <x:c r="F18" s="19" t="str">
        <x:v>PROCESS_REQUIRED</x:v>
      </x:c>
      <x:c r="G18" s="19" t="str">
        <x:v>D</x:v>
      </x:c>
      <x:c r="H18" s="19" t="str">
        <x:v>D</x:v>
      </x:c>
      <x:c r="I18" s="19" t="str">
        <x:v>NO</x:v>
      </x:c>
      <x:c r="J18" s="19" t="str">
        <x:v>NO</x:v>
      </x:c>
      <x:c r="K18" s="19" t="str">
        <x:v>NO</x:v>
      </x:c>
      <x:c r="L18" s="456" t="n">
        <x:f>'76_特殊成本参数'!D10</x:f>
        <x:v>300</x:v>
      </x:c>
      <x:c r="M18" s="456" t="n">
        <x:f>'76_特殊成本参数'!E10</x:f>
        <x:v>1000</x:v>
      </x:c>
      <x:c r="N18" s="456" t="n">
        <x:f>'76_特殊成本参数'!F10</x:f>
        <x:v>2500</x:v>
      </x:c>
      <x:c r="O18" s="414" t="str">
        <x:v>元/车</x:v>
      </x:c>
      <x:c r="P18" s="414" t="n">
        <x:f>L18</x:f>
        <x:v>300</x:v>
      </x:c>
      <x:c r="Q18" s="414" t="n">
        <x:f>M18</x:f>
        <x:v>1000</x:v>
      </x:c>
      <x:c r="R18" s="414" t="n">
        <x:f>N18</x:f>
        <x:v>2500</x:v>
      </x:c>
      <x:c r="S18" s="449" t="n">
        <x:v>0</x:v>
      </x:c>
      <x:c r="T18" s="19" t="str">
        <x:v>特殊版工程情景</x:v>
      </x:c>
      <x:c r="U18" s="19" t="str">
        <x:v>替代本桥通用M09；不再加MOQ百分比</x:v>
      </x:c>
      <x:c r="V18" s="19" t="n">
        <x:f>COUNTIF($E$6:$E$18,E18)</x:f>
        <x:v>1</x:v>
      </x:c>
      <x:c r="W18" s="19" t="n">
        <x:f>IF(B18="BASELINE_CREDIT",IF(AND(P18&gt;=Q18,Q18&gt;=R18),0,1),IF(AND(P18&lt;=Q18,Q18&lt;=R18),0,1))</x:f>
        <x:v>0</x:v>
      </x:c>
    </x:row>
    <x:row r="20" ht="24" customHeight="1">
      <x:c r="A20" s="448" t="str">
        <x:v>排除池：监管允许或普通N90另购，不进入升顶基础BOM</x:v>
      </x:c>
      <x:c r="B20" s="448"/>
      <x:c r="C20" s="448"/>
      <x:c r="D20" s="448"/>
      <x:c r="E20" s="448"/>
      <x:c r="F20" s="448"/>
      <x:c r="G20" s="448"/>
      <x:c r="H20" s="448"/>
      <x:c r="I20" s="448"/>
      <x:c r="J20" s="448"/>
      <x:c r="K20" s="448"/>
      <x:c r="L20" s="448"/>
      <x:c r="M20" s="448"/>
      <x:c r="N20" s="448"/>
      <x:c r="O20" s="448"/>
      <x:c r="P20" s="448"/>
      <x:c r="Q20" s="448"/>
      <x:c r="R20" s="448"/>
      <x:c r="S20" s="448"/>
      <x:c r="T20" s="448"/>
      <x:c r="U20" s="448"/>
      <x:c r="V20" s="448"/>
      <x:c r="W20" s="448"/>
    </x:row>
    <x:row r="21" ht="46" customHeight="1">
      <x:c r="A21" s="444" t="str">
        <x:v>项目</x:v>
      </x:c>
      <x:c r="B21" s="444" t="str">
        <x:v>状态</x:v>
      </x:c>
      <x:c r="C21" s="444" t="str">
        <x:v>计入成本</x:v>
      </x:c>
      <x:c r="D21" s="444" t="str">
        <x:v>原因</x:v>
      </x:c>
      <x:c r="E21" s="444" t="str">
        <x:v>证据</x:v>
      </x:c>
      <x:c r="F21" s="444" t="str">
        <x:v>double_count_key</x:v>
      </x:c>
      <x:c r="G21" s="444" t="str">
        <x:v>触发条件</x:v>
      </x:c>
    </x:row>
    <x:row r="22" ht="48" customHeight="1">
      <x:c r="A22" s="19" t="str">
        <x:v>投影设备</x:v>
      </x:c>
      <x:c r="B22" s="19" t="str">
        <x:v>MIIT_OPTIONAL</x:v>
      </x:c>
      <x:c r="C22" s="19" t="n">
        <x:v>0</x:v>
      </x:c>
      <x:c r="D22" s="19" t="str">
        <x:v>准入选装≠标准</x:v>
      </x:c>
      <x:c r="E22" s="19" t="str">
        <x:v>40_准入变体</x:v>
      </x:c>
      <x:c r="F22" s="19" t="str">
        <x:v>ROOF_PROJECTOR_OPTION</x:v>
      </x:c>
      <x:c r="G22" s="19" t="str">
        <x:v>App明确标配</x:v>
      </x:c>
    </x:row>
    <x:row r="23" ht="48" customHeight="1">
      <x:c r="A23" s="445" t="str">
        <x:v>车载桌板</x:v>
      </x:c>
      <x:c r="B23" s="445" t="str">
        <x:v>MIIT_OPTIONAL / N90_SEPARATE_PURCHASE</x:v>
      </x:c>
      <x:c r="C23" s="445" t="n">
        <x:v>0</x:v>
      </x:c>
      <x:c r="D23" s="445" t="str">
        <x:v>商品属性未锁</x:v>
      </x:c>
      <x:c r="E23" s="445" t="str">
        <x:v>40_准入变体；60_选装另购</x:v>
      </x:c>
      <x:c r="F23" s="445" t="str">
        <x:v>VEHICLE_TABLE_OPTION</x:v>
      </x:c>
      <x:c r="G23" s="445" t="str">
        <x:v>App版本卡与价格</x:v>
      </x:c>
    </x:row>
    <x:row r="24" ht="48" customHeight="1">
      <x:c r="A24" s="19" t="str">
        <x:v>专用床垫</x:v>
      </x:c>
      <x:c r="B24" s="19" t="str">
        <x:v>N90_SEPARATE_PURCHASE</x:v>
      </x:c>
      <x:c r="C24" s="19" t="n">
        <x:v>0</x:v>
      </x:c>
      <x:c r="D24" s="19" t="str">
        <x:v>床板不等于床垫</x:v>
      </x:c>
      <x:c r="E24" s="19" t="str">
        <x:v>60_选装另购</x:v>
      </x:c>
      <x:c r="F24" s="19" t="str">
        <x:v>MATTRESS_ACCESSORY</x:v>
      </x:c>
      <x:c r="G24" s="19" t="str">
        <x:v>附件价格表</x:v>
      </x:c>
    </x:row>
    <x:row r="25" ht="48" customHeight="1">
      <x:c r="A25" s="445" t="str">
        <x:v>完整车边帐</x:v>
      </x:c>
      <x:c r="B25" s="445" t="str">
        <x:v>N90_SEPARATE_PURCHASE</x:v>
      </x:c>
      <x:c r="C25" s="445" t="n">
        <x:v>0</x:v>
      </x:c>
      <x:c r="D25" s="445" t="str">
        <x:v>只计接口</x:v>
      </x:c>
      <x:c r="E25" s="445" t="str">
        <x:v>60_选装另购</x:v>
      </x:c>
      <x:c r="F25" s="445" t="str">
        <x:v>SIDE_TENT_ACCESSORY</x:v>
      </x:c>
      <x:c r="G25" s="445" t="str">
        <x:v>附件价格表</x:v>
      </x:c>
    </x:row>
  </x:sheetData>
  <x:mergeCells>
    <x:mergeCell ref="A1:W1"/>
    <x:mergeCell ref="A2:W2"/>
    <x:mergeCell ref="A3:W3"/>
    <x:mergeCell ref="A20:W20"/>
  </x:mergeCells>
  <x:conditionalFormatting sqref="B6:K18">
    <x:cfRule type="containsText" dxfId="1557" priority="1" operator="containsText" text="PASS"/>
    <x:cfRule type="containsText" dxfId="1558" priority="2" operator="containsText" text="READY"/>
    <x:cfRule type="containsText" dxfId="1559" priority="3" operator="containsText" text="TRUE"/>
    <x:cfRule type="containsText" dxfId="1560" priority="4" operator="containsText" text="LOCKED"/>
    <x:cfRule type="containsText" dxfId="1561" priority="5" operator="containsText" text="MATCH"/>
    <x:cfRule type="containsText" dxfId="1562" priority="6" operator="containsText" text="CORE"/>
    <x:cfRule type="containsText" dxfId="1563" priority="7" operator="containsText" text="PROVISIONAL"/>
    <x:cfRule type="containsText" dxfId="1564" priority="8" operator="containsText" text="SCENARIO"/>
    <x:cfRule type="containsText" dxfId="1565" priority="9" operator="containsText" text="HOLD"/>
    <x:cfRule type="containsText" dxfId="1566" priority="10" operator="containsText" text="NOT_COMMERCIALIZED"/>
    <x:cfRule type="containsText" dxfId="1567" priority="11" operator="containsText" text="BLOCKED"/>
    <x:cfRule type="containsText" dxfId="1568" priority="12" operator="containsText" text="FAIL"/>
    <x:cfRule type="containsText" dxfId="1569" priority="13" operator="containsText" text="FALSE"/>
    <x:cfRule type="containsText" dxfId="1570" priority="14" operator="containsText" text="EXCLUDED"/>
    <x:cfRule type="containsText" dxfId="1571" priority="15" operator="containsText" text="OPTION"/>
    <x:cfRule type="containsText" dxfId="1572" priority="16" operator="containsText" text="SPECIAL"/>
    <x:cfRule type="containsText" dxfId="1573" priority="17" operator="containsText" text="ORDINARY"/>
  </x:conditionalFormatting>
  <x:conditionalFormatting sqref="B22:C25">
    <x:cfRule type="containsText" dxfId="1574" priority="18" operator="containsText" text="PASS"/>
    <x:cfRule type="containsText" dxfId="1575" priority="19" operator="containsText" text="READY"/>
    <x:cfRule type="containsText" dxfId="1576" priority="20" operator="containsText" text="TRUE"/>
    <x:cfRule type="containsText" dxfId="1577" priority="21" operator="containsText" text="LOCKED"/>
    <x:cfRule type="containsText" dxfId="1578" priority="22" operator="containsText" text="MATCH"/>
    <x:cfRule type="containsText" dxfId="1579" priority="23" operator="containsText" text="CORE"/>
    <x:cfRule type="containsText" dxfId="1580" priority="24" operator="containsText" text="PROVISIONAL"/>
    <x:cfRule type="containsText" dxfId="1581" priority="25" operator="containsText" text="SCENARIO"/>
    <x:cfRule type="containsText" dxfId="1582" priority="26" operator="containsText" text="HOLD"/>
    <x:cfRule type="containsText" dxfId="1583" priority="27" operator="containsText" text="NOT_COMMERCIALIZED"/>
    <x:cfRule type="containsText" dxfId="1584" priority="28" operator="containsText" text="BLOCKED"/>
    <x:cfRule type="containsText" dxfId="1585" priority="29" operator="containsText" text="FAIL"/>
    <x:cfRule type="containsText" dxfId="1586" priority="30" operator="containsText" text="FALSE"/>
    <x:cfRule type="containsText" dxfId="1587" priority="31" operator="containsText" text="EXCLUDED"/>
    <x:cfRule type="containsText" dxfId="1588" priority="32" operator="containsText" text="OPTION"/>
    <x:cfRule type="containsText" dxfId="1589" priority="33" operator="containsText" text="SPECIAL"/>
    <x:cfRule type="containsText" dxfId="1590" priority="34" operator="containsText" text="ORDINARY"/>
  </x:conditionalFormatting>
  <x:pageMargins left="0.7" right="0.7" top="0.75" bottom="0.75" header="0.3" footer="0.3"/>
</x:worksheet>
</file>

<file path=xl/worksheets/sheet7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6" hidden="0" customWidth="1"/>
    <x:col min="2" max="2" width="18" hidden="0" customWidth="1"/>
    <x:col min="3" max="3" width="18" hidden="0" customWidth="1"/>
    <x:col min="4" max="4" width="18" hidden="0" customWidth="1"/>
    <x:col min="5" max="5" width="14" hidden="0" customWidth="1"/>
    <x:col min="6" max="6" width="22" hidden="0" customWidth="1"/>
    <x:col min="7" max="7" width="16" hidden="0" customWidth="1"/>
    <x:col min="8" max="8" width="16" hidden="0" customWidth="1"/>
    <x:col min="9" max="9" width="46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</x:cols>
  <x:sheetData>
    <x:row r="1" ht="30" customHeight="1">
      <x:c r="A1" s="432" t="str">
        <x:v>78｜升顶特殊版固定成本与销量摊销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  <x:c r="L1" s="432"/>
      <x:c r="M1" s="432"/>
      <x:c r="N1" s="432"/>
    </x:row>
    <x:row r="2" ht="22" customHeight="1">
      <x:c r="A2" s="435" t="str">
        <x:v>研发/验证/认证/工装总额与生命周期销量完全分离｜主对角不是唯一答案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  <x:c r="L2" s="435"/>
      <x:c r="M2" s="435"/>
      <x:c r="N2" s="435"/>
    </x:row>
    <x:row r="3" ht="68" customHeight="1">
      <x:c r="A3" s="439" t="str">
        <x:v>中位一次性费用8500万元、8000台生命周期销量，对应10625元/车。高情景5万元/车仅是1.5亿元与3000台同时发生的压力尾部；不允许把该尾部直接当点估计。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  <x:c r="L3" s="439"/>
      <x:c r="M3" s="439"/>
      <x:c r="N3" s="439"/>
    </x:row>
    <x:row r="5" ht="52" customHeight="1">
      <x:c r="A5" s="444" t="str">
        <x:v>NRE项目</x:v>
      </x:c>
      <x:c r="B5" s="444" t="str">
        <x:v>Low</x:v>
      </x:c>
      <x:c r="C5" s="444" t="str">
        <x:v>Mid</x:v>
      </x:c>
      <x:c r="D5" s="444" t="str">
        <x:v>High</x:v>
      </x:c>
      <x:c r="E5" s="444" t="str">
        <x:v>单位</x:v>
      </x:c>
      <x:c r="F5" s="444" t="str">
        <x:v>来源</x:v>
      </x:c>
      <x:c r="G5" s="444" t="str">
        <x:v>是否乘κ</x:v>
      </x:c>
      <x:c r="H5" s="444" t="str">
        <x:v>计入次数</x:v>
      </x:c>
      <x:c r="I5" s="444" t="str">
        <x:v>边界</x:v>
      </x:c>
    </x:row>
    <x:row r="6" ht="48" customHeight="1">
      <x:c r="A6" s="19" t="str">
        <x:v>车身开口/加强工程与仿真</x:v>
      </x:c>
      <x:c r="B6" s="414" t="n">
        <x:f>'76_特殊成本参数'!D15</x:f>
        <x:v>10000000</x:v>
      </x:c>
      <x:c r="C6" s="414" t="n">
        <x:f>'76_特殊成本参数'!E15</x:f>
        <x:v>25000000</x:v>
      </x:c>
      <x:c r="D6" s="414" t="n">
        <x:f>'76_特殊成本参数'!F15</x:f>
        <x:v>45000000</x:v>
      </x:c>
      <x:c r="E6" s="19" t="str">
        <x:v>元</x:v>
      </x:c>
      <x:c r="F6" s="19" t="str">
        <x:v>独立工程情景</x:v>
      </x:c>
      <x:c r="G6" s="19" t="str">
        <x:v>NO</x:v>
      </x:c>
      <x:c r="H6" s="19" t="n">
        <x:v>1</x:v>
      </x:c>
      <x:c r="I6" s="19" t="str">
        <x:v>一次性特殊版投入</x:v>
      </x:c>
    </x:row>
    <x:row r="7" ht="48" customHeight="1">
      <x:c r="A7" s="445" t="str">
        <x:v>升顶机构/执行/控制集成</x:v>
      </x:c>
      <x:c r="B7" s="453" t="n">
        <x:f>'76_特殊成本参数'!D16</x:f>
        <x:v>8000000</x:v>
      </x:c>
      <x:c r="C7" s="453" t="n">
        <x:f>'76_特殊成本参数'!E16</x:f>
        <x:v>18000000</x:v>
      </x:c>
      <x:c r="D7" s="453" t="n">
        <x:f>'76_特殊成本参数'!F16</x:f>
        <x:v>35000000</x:v>
      </x:c>
      <x:c r="E7" s="445" t="str">
        <x:v>元</x:v>
      </x:c>
      <x:c r="F7" s="445" t="str">
        <x:v>独立工程情景</x:v>
      </x:c>
      <x:c r="G7" s="445" t="str">
        <x:v>NO</x:v>
      </x:c>
      <x:c r="H7" s="445" t="n">
        <x:v>1</x:v>
      </x:c>
      <x:c r="I7" s="445" t="str">
        <x:v>一次性特殊版投入</x:v>
      </x:c>
    </x:row>
    <x:row r="8" ht="48" customHeight="1">
      <x:c r="A8" s="19" t="str">
        <x:v>耐久/密封/NVH/热/EMC验证</x:v>
      </x:c>
      <x:c r="B8" s="414" t="n">
        <x:f>'76_特殊成本参数'!D17</x:f>
        <x:v>7000000</x:v>
      </x:c>
      <x:c r="C8" s="414" t="n">
        <x:f>'76_特殊成本参数'!E17</x:f>
        <x:v>15000000</x:v>
      </x:c>
      <x:c r="D8" s="414" t="n">
        <x:f>'76_特殊成本参数'!F17</x:f>
        <x:v>30000000</x:v>
      </x:c>
      <x:c r="E8" s="19" t="str">
        <x:v>元</x:v>
      </x:c>
      <x:c r="F8" s="19" t="str">
        <x:v>独立工程情景</x:v>
      </x:c>
      <x:c r="G8" s="19" t="str">
        <x:v>NO</x:v>
      </x:c>
      <x:c r="H8" s="19" t="n">
        <x:v>1</x:v>
      </x:c>
      <x:c r="I8" s="19" t="str">
        <x:v>一次性特殊版投入</x:v>
      </x:c>
    </x:row>
    <x:row r="9" ht="48" customHeight="1">
      <x:c r="A9" s="445" t="str">
        <x:v>认证/公告/第三方试验与资料</x:v>
      </x:c>
      <x:c r="B9" s="453" t="n">
        <x:f>'76_特殊成本参数'!D18</x:f>
        <x:v>2000000</x:v>
      </x:c>
      <x:c r="C9" s="453" t="n">
        <x:f>'76_特殊成本参数'!E18</x:f>
        <x:v>5000000</x:v>
      </x:c>
      <x:c r="D9" s="453" t="n">
        <x:f>'76_特殊成本参数'!F18</x:f>
        <x:v>10000000</x:v>
      </x:c>
      <x:c r="E9" s="445" t="str">
        <x:v>元</x:v>
      </x:c>
      <x:c r="F9" s="445" t="str">
        <x:v>独立工程情景</x:v>
      </x:c>
      <x:c r="G9" s="445" t="str">
        <x:v>NO</x:v>
      </x:c>
      <x:c r="H9" s="445" t="n">
        <x:v>1</x:v>
      </x:c>
      <x:c r="I9" s="445" t="str">
        <x:v>一次性特殊版投入</x:v>
      </x:c>
    </x:row>
    <x:row r="10" ht="48" customHeight="1">
      <x:c r="A10" s="19" t="str">
        <x:v>专用模夹具/工位/EOL设备</x:v>
      </x:c>
      <x:c r="B10" s="414" t="n">
        <x:f>'76_特殊成本参数'!D19</x:f>
        <x:v>13000000</x:v>
      </x:c>
      <x:c r="C10" s="414" t="n">
        <x:f>'76_特殊成本参数'!E19</x:f>
        <x:v>22000000</x:v>
      </x:c>
      <x:c r="D10" s="414" t="n">
        <x:f>'76_特殊成本参数'!F19</x:f>
        <x:v>30000000</x:v>
      </x:c>
      <x:c r="E10" s="19" t="str">
        <x:v>元</x:v>
      </x:c>
      <x:c r="F10" s="19" t="str">
        <x:v>独立工程情景</x:v>
      </x:c>
      <x:c r="G10" s="19" t="str">
        <x:v>NO</x:v>
      </x:c>
      <x:c r="H10" s="19" t="n">
        <x:v>1</x:v>
      </x:c>
      <x:c r="I10" s="19" t="str">
        <x:v>一次性特殊版投入</x:v>
      </x:c>
    </x:row>
    <x:row r="11" ht="48" customHeight="1">
      <x:c r="A11" s="445" t="str">
        <x:v>一次性费用总额</x:v>
      </x:c>
      <x:c r="B11" s="453" t="n">
        <x:f>'76_特殊成本参数'!D20</x:f>
        <x:v>40000000</x:v>
      </x:c>
      <x:c r="C11" s="453" t="n">
        <x:f>'76_特殊成本参数'!E20</x:f>
        <x:v>85000000</x:v>
      </x:c>
      <x:c r="D11" s="453" t="n">
        <x:f>'76_特殊成本参数'!F20</x:f>
        <x:v>150000000</x:v>
      </x:c>
      <x:c r="E11" s="445" t="str">
        <x:v>元</x:v>
      </x:c>
      <x:c r="F11" s="445" t="str">
        <x:v>公式求和</x:v>
      </x:c>
      <x:c r="G11" s="445" t="str">
        <x:v>NO</x:v>
      </x:c>
      <x:c r="H11" s="445" t="n">
        <x:v>1</x:v>
      </x:c>
      <x:c r="I11" s="445" t="str">
        <x:v>不含单车BOM</x:v>
      </x:c>
    </x:row>
    <x:row r="12" ht="48" customHeight="1">
      <x:c r="A12" s="19" t="str">
        <x:v>生命周期销量</x:v>
      </x:c>
      <x:c r="B12" s="414" t="n">
        <x:f>'76_特殊成本参数'!D14</x:f>
        <x:v>20000</x:v>
      </x:c>
      <x:c r="C12" s="414" t="n">
        <x:f>'76_特殊成本参数'!E14</x:f>
        <x:v>8000</x:v>
      </x:c>
      <x:c r="D12" s="414" t="n">
        <x:f>'76_特殊成本参数'!F14</x:f>
        <x:v>3000</x:v>
      </x:c>
      <x:c r="E12" s="19" t="str">
        <x:v>台</x:v>
      </x:c>
      <x:c r="F12" s="19" t="str">
        <x:v>规划情景</x:v>
      </x:c>
      <x:c r="G12" s="19" t="str">
        <x:v>NO</x:v>
      </x:c>
      <x:c r="H12" s="19" t="n">
        <x:v>1</x:v>
      </x:c>
      <x:c r="I12" s="19" t="str">
        <x:v>不是销量预测</x:v>
      </x:c>
    </x:row>
    <x:row r="13" ht="48" customHeight="1">
      <x:c r="A13" s="445" t="str">
        <x:v>单车NRE摊销</x:v>
      </x:c>
      <x:c r="B13" s="453" t="n">
        <x:f>'76_特殊成本参数'!D21</x:f>
        <x:v>2000</x:v>
      </x:c>
      <x:c r="C13" s="453" t="n">
        <x:f>'76_特殊成本参数'!E21</x:f>
        <x:v>10625</x:v>
      </x:c>
      <x:c r="D13" s="453" t="n">
        <x:f>'76_特殊成本参数'!F21</x:f>
        <x:v>50000</x:v>
      </x:c>
      <x:c r="E13" s="445" t="str">
        <x:v>元/车</x:v>
      </x:c>
      <x:c r="F13" s="445" t="str">
        <x:v>总额÷销量</x:v>
      </x:c>
      <x:c r="G13" s="445" t="str">
        <x:v>NO</x:v>
      </x:c>
      <x:c r="H13" s="445" t="n">
        <x:v>1</x:v>
      </x:c>
      <x:c r="I13" s="445" t="str">
        <x:v>S_special直接项</x:v>
      </x:c>
    </x:row>
    <x:row r="15" ht="24" customHeight="1">
      <x:c r="A15" s="448" t="str">
        <x:v>NRE总额 × 生命周期销量九宫格：单车摊销（元/车）</x:v>
      </x:c>
      <x:c r="B15" s="448"/>
      <x:c r="C15" s="448"/>
      <x:c r="D15" s="448"/>
      <x:c r="E15" s="448"/>
      <x:c r="F15" s="448"/>
      <x:c r="G15" s="448"/>
      <x:c r="H15" s="448"/>
      <x:c r="I15" s="448"/>
      <x:c r="J15" s="448"/>
      <x:c r="K15" s="448"/>
      <x:c r="L15" s="448"/>
      <x:c r="M15" s="448"/>
      <x:c r="N15" s="448"/>
    </x:row>
    <x:row r="16" ht="46" customHeight="1">
      <x:c r="A16" s="444" t="str">
        <x:v>NRE总额销量</x:v>
      </x:c>
      <x:c r="B16" s="444" t="str">
        <x:v>3,000台</x:v>
      </x:c>
      <x:c r="C16" s="444" t="str">
        <x:v>8,000台</x:v>
      </x:c>
      <x:c r="D16" s="444" t="str">
        <x:v>20,000台</x:v>
      </x:c>
    </x:row>
    <x:row r="17" ht="46" customHeight="1">
      <x:c r="A17" s="19" t="str">
        <x:v>销量输入</x:v>
      </x:c>
      <x:c r="B17" s="460" t="n">
        <x:f>'76_特殊成本参数'!F14</x:f>
        <x:v>3000</x:v>
      </x:c>
      <x:c r="C17" s="460" t="n">
        <x:f>'76_特殊成本参数'!E14</x:f>
        <x:v>8000</x:v>
      </x:c>
      <x:c r="D17" s="460" t="n">
        <x:f>'76_特殊成本参数'!D14</x:f>
        <x:v>20000</x:v>
      </x:c>
      <x:c r="F17" s="465" t="str">
        <x:v>判读：中位10625元/车是基准；九宫格显示同一NRE在更高销量下会快速下降，固定成本绝不能与BOM或κ重复传导。</x:v>
      </x:c>
      <x:c r="G17" s="465"/>
      <x:c r="H17" s="465"/>
      <x:c r="I17" s="465"/>
      <x:c r="J17" s="465"/>
      <x:c r="K17" s="465"/>
      <x:c r="L17" s="465"/>
      <x:c r="M17" s="465"/>
      <x:c r="N17" s="465"/>
    </x:row>
    <x:row r="18" ht="46" customHeight="1">
      <x:c r="A18" s="453" t="n">
        <x:f>'76_特殊成本参数'!D20</x:f>
        <x:v>40000000</x:v>
      </x:c>
      <x:c r="B18" s="453" t="n">
        <x:f>$A18/B$17</x:f>
        <x:v>13333.333333333334</x:v>
      </x:c>
      <x:c r="C18" s="453" t="n">
        <x:f>$A18/C$17</x:f>
        <x:v>5000</x:v>
      </x:c>
      <x:c r="D18" s="453" t="n">
        <x:f>$A18/D$17</x:f>
        <x:v>2000</x:v>
      </x:c>
      <x:c r="F18" s="465"/>
      <x:c r="G18" s="465"/>
      <x:c r="H18" s="465"/>
      <x:c r="I18" s="465"/>
      <x:c r="J18" s="465"/>
      <x:c r="K18" s="465"/>
      <x:c r="L18" s="465"/>
      <x:c r="M18" s="465"/>
      <x:c r="N18" s="465"/>
    </x:row>
    <x:row r="19" ht="46" customHeight="1">
      <x:c r="A19" s="414" t="n">
        <x:f>'76_特殊成本参数'!E20</x:f>
        <x:v>85000000</x:v>
      </x:c>
      <x:c r="B19" s="414" t="n">
        <x:f>$A19/B$17</x:f>
        <x:v>28333.333333333332</x:v>
      </x:c>
      <x:c r="C19" s="414" t="n">
        <x:f>$A19/C$17</x:f>
        <x:v>10625</x:v>
      </x:c>
      <x:c r="D19" s="414" t="n">
        <x:f>$A19/D$17</x:f>
        <x:v>4250</x:v>
      </x:c>
      <x:c r="F19" s="465"/>
      <x:c r="G19" s="465"/>
      <x:c r="H19" s="465"/>
      <x:c r="I19" s="465"/>
      <x:c r="J19" s="465"/>
      <x:c r="K19" s="465"/>
      <x:c r="L19" s="465"/>
      <x:c r="M19" s="465"/>
      <x:c r="N19" s="465"/>
    </x:row>
    <x:row r="20" ht="46" customHeight="1">
      <x:c r="A20" s="453" t="n">
        <x:f>'76_特殊成本参数'!F20</x:f>
        <x:v>150000000</x:v>
      </x:c>
      <x:c r="B20" s="453" t="n">
        <x:f>$A20/B$17</x:f>
        <x:v>50000</x:v>
      </x:c>
      <x:c r="C20" s="453" t="n">
        <x:f>$A20/C$17</x:f>
        <x:v>18750</x:v>
      </x:c>
      <x:c r="D20" s="453" t="n">
        <x:f>$A20/D$17</x:f>
        <x:v>7500</x:v>
      </x:c>
      <x:c r="F20" s="465"/>
      <x:c r="G20" s="465"/>
      <x:c r="H20" s="465"/>
      <x:c r="I20" s="465"/>
      <x:c r="J20" s="465"/>
      <x:c r="K20" s="465"/>
      <x:c r="L20" s="465"/>
      <x:c r="M20" s="465"/>
      <x:c r="N20" s="465"/>
    </x:row>
  </x:sheetData>
  <x:mergeCells>
    <x:mergeCell ref="A1:N1"/>
    <x:mergeCell ref="A2:N2"/>
    <x:mergeCell ref="A3:N3"/>
    <x:mergeCell ref="A15:N15"/>
    <x:mergeCell ref="F17:N20"/>
  </x:mergeCells>
  <x:conditionalFormatting sqref="F6:H13">
    <x:cfRule type="containsText" dxfId="1591" priority="1" operator="containsText" text="PASS"/>
    <x:cfRule type="containsText" dxfId="1592" priority="2" operator="containsText" text="READY"/>
    <x:cfRule type="containsText" dxfId="1593" priority="3" operator="containsText" text="TRUE"/>
    <x:cfRule type="containsText" dxfId="1594" priority="4" operator="containsText" text="LOCKED"/>
    <x:cfRule type="containsText" dxfId="1595" priority="5" operator="containsText" text="MATCH"/>
    <x:cfRule type="containsText" dxfId="1596" priority="6" operator="containsText" text="CORE"/>
    <x:cfRule type="containsText" dxfId="1597" priority="7" operator="containsText" text="PROVISIONAL"/>
    <x:cfRule type="containsText" dxfId="1598" priority="8" operator="containsText" text="SCENARIO"/>
    <x:cfRule type="containsText" dxfId="1599" priority="9" operator="containsText" text="HOLD"/>
    <x:cfRule type="containsText" dxfId="1600" priority="10" operator="containsText" text="NOT_COMMERCIALIZED"/>
    <x:cfRule type="containsText" dxfId="1601" priority="11" operator="containsText" text="BLOCKED"/>
    <x:cfRule type="containsText" dxfId="1602" priority="12" operator="containsText" text="FAIL"/>
    <x:cfRule type="containsText" dxfId="1603" priority="13" operator="containsText" text="FALSE"/>
    <x:cfRule type="containsText" dxfId="1604" priority="14" operator="containsText" text="EXCLUDED"/>
    <x:cfRule type="containsText" dxfId="1605" priority="15" operator="containsText" text="OPTION"/>
    <x:cfRule type="containsText" dxfId="1606" priority="16" operator="containsText" text="SPECIAL"/>
    <x:cfRule type="containsText" dxfId="1607" priority="17" operator="containsText" text="ORDINARY"/>
  </x:conditionalFormatting>
  <x:pageMargins left="0.7" right="0.7" top="0.75" bottom="0.75" header="0.3" footer="0.3"/>
</x:worksheet>
</file>

<file path=xl/worksheets/sheet8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40" hidden="0" customWidth="1"/>
    <x:col min="3" max="3" width="18" hidden="0" customWidth="1"/>
    <x:col min="4" max="4" width="18" hidden="0" customWidth="1"/>
    <x:col min="5" max="5" width="18" hidden="0" customWidth="1"/>
    <x:col min="6" max="6" width="14" hidden="0" customWidth="1"/>
    <x:col min="7" max="7" width="26" hidden="0" customWidth="1"/>
    <x:col min="8" max="8" width="42" hidden="0" customWidth="1"/>
    <x:col min="9" max="9" width="4" hidden="0" customWidth="1"/>
    <x:col min="10" max="10" width="16" hidden="0" customWidth="1"/>
    <x:col min="11" max="11" width="20" hidden="0" customWidth="1"/>
    <x:col min="12" max="12" width="20" hidden="0" customWidth="1"/>
    <x:col min="13" max="13" width="20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  <x:col min="19" max="19" width="14" hidden="0" customWidth="1"/>
    <x:col min="20" max="20" width="14" hidden="0" customWidth="1"/>
    <x:col min="21" max="21" width="14" hidden="0" customWidth="1"/>
    <x:col min="22" max="22" width="14" hidden="0" customWidth="1"/>
  </x:cols>
  <x:sheetData>
    <x:row r="1" ht="30" customHeight="1">
      <x:c r="A1" s="432" t="str">
        <x:v>79｜升顶特殊版工程情景汇总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  <x:c r="L1" s="432"/>
      <x:c r="M1" s="432"/>
      <x:c r="N1" s="432"/>
      <x:c r="O1" s="432"/>
      <x:c r="P1" s="432"/>
      <x:c r="Q1" s="432"/>
      <x:c r="R1" s="432"/>
      <x:c r="S1" s="432"/>
      <x:c r="T1" s="432"/>
      <x:c r="U1" s="432"/>
      <x:c r="V1" s="432"/>
    </x:row>
    <x:row r="2" ht="22" customHeight="1">
      <x:c r="A2" s="435" t="str">
        <x:v>物理BOM → 明示工序/质保 → NRE摊销 → 普通κ与S_special分流 → 末端VAT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  <x:c r="L2" s="435"/>
      <x:c r="M2" s="435"/>
      <x:c r="N2" s="435"/>
      <x:c r="O2" s="435"/>
      <x:c r="P2" s="435"/>
      <x:c r="Q2" s="435"/>
      <x:c r="R2" s="435"/>
      <x:c r="S2" s="435"/>
      <x:c r="T2" s="435"/>
      <x:c r="U2" s="435"/>
      <x:c r="V2" s="435"/>
    </x:row>
    <x:row r="3" ht="68" customHeight="1">
      <x:c r="A3" s="439" t="str">
        <x:v>中位情景将特殊升顶硬件、普通生活设施、被替代固定顶信用、逐车测试、质保和10625元NRE摊销全部显式计入。结果仍是工程成本驱动增量，不包含商品定位或额外利润。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  <x:c r="L3" s="439"/>
      <x:c r="M3" s="439"/>
      <x:c r="N3" s="439"/>
      <x:c r="O3" s="439"/>
      <x:c r="P3" s="439"/>
      <x:c r="Q3" s="439"/>
      <x:c r="R3" s="439"/>
      <x:c r="S3" s="439"/>
      <x:c r="T3" s="439"/>
      <x:c r="U3" s="439"/>
      <x:c r="V3" s="439"/>
    </x:row>
    <x:row r="5" ht="24" customHeight="1">
      <x:c r="A5" s="444" t="str">
        <x:v>汇总项</x:v>
      </x:c>
      <x:c r="B5" s="444" t="str">
        <x:v>公式口径</x:v>
      </x:c>
      <x:c r="C5" s="444" t="str">
        <x:v>Low</x:v>
      </x:c>
      <x:c r="D5" s="444" t="str">
        <x:v>Mid</x:v>
      </x:c>
      <x:c r="E5" s="444" t="str">
        <x:v>High</x:v>
      </x:c>
      <x:c r="F5" s="444" t="str">
        <x:v>单位</x:v>
      </x:c>
      <x:c r="G5" s="444" t="str">
        <x:v>状态</x:v>
      </x:c>
      <x:c r="H5" s="444" t="str">
        <x:v>边界</x:v>
      </x:c>
      <x:c r="J5" s="448" t="str">
        <x:v>情景分解图数据（含税前的未税价格组成）</x:v>
      </x:c>
      <x:c r="K5" s="448"/>
      <x:c r="L5" s="448"/>
      <x:c r="M5" s="448"/>
      <x:c r="N5" s="448"/>
      <x:c r="O5" s="448"/>
      <x:c r="P5" s="448"/>
      <x:c r="Q5" s="448"/>
      <x:c r="R5" s="448"/>
      <x:c r="S5" s="448"/>
      <x:c r="T5" s="448"/>
      <x:c r="U5" s="448"/>
      <x:c r="V5" s="448"/>
    </x:row>
    <x:row r="6" ht="46" customHeight="1">
      <x:c r="A6" s="19" t="str">
        <x:v>特殊升顶硬件物理BOM</x:v>
      </x:c>
      <x:c r="B6" s="19" t="str">
        <x:v>SPECIAL_ROOF求和</x:v>
      </x:c>
      <x:c r="C6" s="414" t="n">
        <x:f>SUMIF('77_升顶增量BOM'!$B$6:$B$18,"SPECIAL_ROOF",'77_升顶增量BOM'!$P$6:$P$18)</x:f>
        <x:v>7500</x:v>
      </x:c>
      <x:c r="D6" s="414" t="n">
        <x:f>SUMIF('77_升顶增量BOM'!$B$6:$B$18,"SPECIAL_ROOF",'77_升顶增量BOM'!$Q$6:$Q$18)</x:f>
        <x:v>13950</x:v>
      </x:c>
      <x:c r="E6" s="414" t="n">
        <x:f>SUMIF('77_升顶增量BOM'!$B$6:$B$18,"SPECIAL_ROOF",'77_升顶增量BOM'!$R$6:$R$18)</x:f>
        <x:v>23900</x:v>
      </x:c>
      <x:c r="F6" s="19" t="str">
        <x:v>元</x:v>
      </x:c>
      <x:c r="G6" s="19" t="str">
        <x:v>SPECIAL_BOTTOM_UP</x:v>
      </x:c>
      <x:c r="H6" s="19" t="str">
        <x:v>不乘κ</x:v>
      </x:c>
      <x:c r="J6" s="444" t="str">
        <x:v>情景</x:v>
      </x:c>
      <x:c r="K6" s="444" t="str">
        <x:v>普通硬件κ后</x:v>
      </x:c>
      <x:c r="L6" s="444" t="str">
        <x:v>特殊可变直传</x:v>
      </x:c>
      <x:c r="M6" s="444" t="str">
        <x:v>NRE摊销</x:v>
      </x:c>
    </x:row>
    <x:row r="7" ht="40" customHeight="1">
      <x:c r="A7" s="445" t="str">
        <x:v>普通生活设施物理BOM</x:v>
      </x:c>
      <x:c r="B7" s="445" t="str">
        <x:v>ORDINARY_LIFESTYLE求和</x:v>
      </x:c>
      <x:c r="C7" s="453" t="n">
        <x:f>SUMIF('77_升顶增量BOM'!$B$6:$B$18,"ORDINARY_LIFESTYLE",'77_升顶增量BOM'!$P$6:$P$18)</x:f>
        <x:v>1200</x:v>
      </x:c>
      <x:c r="D7" s="453" t="n">
        <x:f>SUMIF('77_升顶增量BOM'!$B$6:$B$18,"ORDINARY_LIFESTYLE",'77_升顶增量BOM'!$Q$6:$Q$18)</x:f>
        <x:v>2250</x:v>
      </x:c>
      <x:c r="E7" s="453" t="n">
        <x:f>SUMIF('77_升顶增量BOM'!$B$6:$B$18,"ORDINARY_LIFESTYLE",'77_升顶增量BOM'!$R$6:$R$18)</x:f>
        <x:v>4000</x:v>
      </x:c>
      <x:c r="F7" s="445" t="str">
        <x:v>元</x:v>
      </x:c>
      <x:c r="G7" s="445" t="str">
        <x:v>ORDINARY_KAPPA</x:v>
      </x:c>
      <x:c r="H7" s="445" t="str">
        <x:v>床板/边柜/接口</x:v>
      </x:c>
      <x:c r="J7" s="19" t="str">
        <x:v>Low</x:v>
      </x:c>
      <x:c r="K7" s="414" t="n">
        <x:f>C18*'76_特殊成本参数'!D11</x:f>
        <x:v>-307.63294894994647</x:v>
      </x:c>
      <x:c r="L7" s="414" t="n">
        <x:f>C19-C16</x:f>
        <x:v>7911</x:v>
      </x:c>
      <x:c r="M7" s="414" t="n">
        <x:f>C16</x:f>
        <x:v>2000</x:v>
      </x:c>
    </x:row>
    <x:row r="8" ht="40" customHeight="1">
      <x:c r="A8" s="445" t="str">
        <x:v>被替代固定顶信用</x:v>
      </x:c>
      <x:c r="B8" s="445" t="str">
        <x:v>BASELINE_CREDIT求和</x:v>
      </x:c>
      <x:c r="C8" s="453" t="n">
        <x:f>SUMIF('77_升顶增量BOM'!$B$6:$B$18,"BASELINE_CREDIT",'77_升顶增量BOM'!$P$6:$P$18)</x:f>
        <x:v>-1500</x:v>
      </x:c>
      <x:c r="D8" s="453" t="n">
        <x:f>SUMIF('77_升顶增量BOM'!$B$6:$B$18,"BASELINE_CREDIT",'77_升顶增量BOM'!$Q$6:$Q$18)</x:f>
        <x:v>-2500</x:v>
      </x:c>
      <x:c r="E8" s="453" t="n">
        <x:f>SUMIF('77_升顶增量BOM'!$B$6:$B$18,"BASELINE_CREDIT",'77_升顶增量BOM'!$R$6:$R$18)</x:f>
        <x:v>-4000</x:v>
      </x:c>
      <x:c r="F8" s="445" t="str">
        <x:v>元</x:v>
      </x:c>
      <x:c r="G8" s="445" t="str">
        <x:v>LOW_CONFIDENCE_CREDIT</x:v>
      </x:c>
      <x:c r="H8" s="445" t="str">
        <x:v>负向普通硬件</x:v>
      </x:c>
      <x:c r="I8" s="466"/>
      <x:c r="J8" s="445" t="str">
        <x:v>Mid</x:v>
      </x:c>
      <x:c r="K8" s="453" t="n">
        <x:f>D18*'76_特殊成本参数'!E11</x:f>
        <x:v>-267.3709197353619</x:v>
      </x:c>
      <x:c r="L8" s="453" t="n">
        <x:f>D19-D16</x:f>
        <x:v>15435.25</x:v>
      </x:c>
      <x:c r="M8" s="453" t="n">
        <x:f>D16</x:f>
        <x:v>10625</x:v>
      </x:c>
    </x:row>
    <x:row r="9" ht="40" customHeight="1">
      <x:c r="A9" s="445" t="str">
        <x:v>净物理BOM</x:v>
      </x:c>
      <x:c r="B9" s="445" t="str">
        <x:v>上三项求和</x:v>
      </x:c>
      <x:c r="C9" s="453" t="n">
        <x:f>SUM(C6:C8)</x:f>
        <x:v>7200</x:v>
      </x:c>
      <x:c r="D9" s="453" t="n">
        <x:f>SUM(D6:D8)</x:f>
        <x:v>13700</x:v>
      </x:c>
      <x:c r="E9" s="453" t="n">
        <x:f>SUM(E6:E8)</x:f>
        <x:v>23900</x:v>
      </x:c>
      <x:c r="F9" s="445" t="str">
        <x:v>元</x:v>
      </x:c>
      <x:c r="G9" s="445" t="str">
        <x:v>ENGINEERING_PROVISIONAL</x:v>
      </x:c>
      <x:c r="H9" s="445" t="str">
        <x:v>不含工序/质保/NRE</x:v>
      </x:c>
      <x:c r="J9" s="19" t="str">
        <x:v>High</x:v>
      </x:c>
      <x:c r="K9" s="414" t="n">
        <x:f>E18*'76_特殊成本参数'!F11</x:f>
        <x:v>0</x:v>
      </x:c>
      <x:c r="L9" s="414" t="n">
        <x:f>E19-E16</x:f>
        <x:v>28155</x:v>
      </x:c>
      <x:c r="M9" s="414" t="n">
        <x:f>E16</x:f>
        <x:v>50000</x:v>
      </x:c>
    </x:row>
    <x:row r="10" ht="46" customHeight="1">
      <x:c r="A10" s="19" t="str">
        <x:v>通用M09制造覆盖</x:v>
      </x:c>
      <x:c r="B10" s="19" t="str">
        <x:v>权重固定0</x:v>
      </x:c>
      <x:c r="C10" s="414" t="n">
        <x:v>0</x:v>
      </x:c>
      <x:c r="D10" s="414" t="n">
        <x:v>0</x:v>
      </x:c>
      <x:c r="E10" s="414" t="n">
        <x:v>0</x:v>
      </x:c>
      <x:c r="F10" s="19" t="str">
        <x:v>元</x:v>
      </x:c>
      <x:c r="G10" s="19" t="str">
        <x:v>REPLACED_BY_EOL</x:v>
      </x:c>
      <x:c r="H10" s="19" t="str">
        <x:v>避免与专用工序重复</x:v>
      </x:c>
    </x:row>
    <x:row r="11" ht="46" customHeight="1">
      <x:c r="A11" s="445" t="str">
        <x:v>低量逐车EOL工序</x:v>
      </x:c>
      <x:c r="B11" s="445" t="str">
        <x:v>SPECIAL_PROCESS求和</x:v>
      </x:c>
      <x:c r="C11" s="453" t="n">
        <x:f>SUMIF('77_升顶增量BOM'!$B$6:$B$18,"SPECIAL_PROCESS",'77_升顶增量BOM'!$P$6:$P$18)</x:f>
        <x:v>300</x:v>
      </x:c>
      <x:c r="D11" s="453" t="n">
        <x:f>SUMIF('77_升顶增量BOM'!$B$6:$B$18,"SPECIAL_PROCESS",'77_升顶增量BOM'!$Q$6:$Q$18)</x:f>
        <x:v>1000</x:v>
      </x:c>
      <x:c r="E11" s="453" t="n">
        <x:f>SUMIF('77_升顶增量BOM'!$B$6:$B$18,"SPECIAL_PROCESS",'77_升顶增量BOM'!$R$6:$R$18)</x:f>
        <x:v>2500</x:v>
      </x:c>
      <x:c r="F11" s="445" t="str">
        <x:v>元</x:v>
      </x:c>
      <x:c r="G11" s="445" t="str">
        <x:v>SPECIAL_DIRECT</x:v>
      </x:c>
      <x:c r="H11" s="445" t="str">
        <x:v>不进入M09基数</x:v>
      </x:c>
    </x:row>
    <x:row r="12" ht="46" customHeight="1">
      <x:c r="A12" s="19" t="str">
        <x:v>普通生活设施M10质保</x:v>
      </x:c>
      <x:c r="B12" s="19" t="str">
        <x:v>普通生活设施×普通M10</x:v>
      </x:c>
      <x:c r="C12" s="414" t="n">
        <x:f>C7*'76_特殊成本参数'!D7</x:f>
        <x:v>6</x:v>
      </x:c>
      <x:c r="D12" s="414" t="n">
        <x:f>D7*'76_特殊成本参数'!E7</x:f>
        <x:v>33.75</x:v>
      </x:c>
      <x:c r="E12" s="414" t="n">
        <x:f>E7*'76_特殊成本参数'!F7</x:f>
        <x:v>120</x:v>
      </x:c>
      <x:c r="F12" s="19" t="str">
        <x:v>元</x:v>
      </x:c>
      <x:c r="G12" s="19" t="str">
        <x:v>ORDINARY_WARRANTY</x:v>
      </x:c>
      <x:c r="H12" s="19" t="str">
        <x:v>不作用固定顶负信用</x:v>
      </x:c>
    </x:row>
    <x:row r="13" ht="46" customHeight="1">
      <x:c r="A13" s="445" t="str">
        <x:v>升顶风险基数</x:v>
      </x:c>
      <x:c r="B13" s="445" t="str">
        <x:v>K列YES的特殊硬件</x:v>
      </x:c>
      <x:c r="C13" s="453" t="n">
        <x:f>SUMIF('77_升顶增量BOM'!$K$6:$K$18,"YES",'77_升顶增量BOM'!$P$6:$P$18)</x:f>
        <x:v>3500</x:v>
      </x:c>
      <x:c r="D13" s="453" t="n">
        <x:f>SUMIF('77_升顶增量BOM'!$K$6:$K$18,"YES",'77_升顶增量BOM'!$Q$6:$Q$18)</x:f>
        <x:v>6450</x:v>
      </x:c>
      <x:c r="E13" s="453" t="n">
        <x:f>SUMIF('77_升顶增量BOM'!$K$6:$K$18,"YES",'77_升顶增量BOM'!$R$6:$R$18)</x:f>
        <x:v>10900</x:v>
      </x:c>
      <x:c r="F13" s="445" t="str">
        <x:v>元</x:v>
      </x:c>
      <x:c r="G13" s="445" t="str">
        <x:v>RISK_BASE</x:v>
      </x:c>
      <x:c r="H13" s="445" t="str">
        <x:v>机构/执行/软围/密封/锁止</x:v>
      </x:c>
    </x:row>
    <x:row r="14" ht="46" customHeight="1">
      <x:c r="A14" s="19" t="str">
        <x:v>升顶特殊质保准备</x:v>
      </x:c>
      <x:c r="B14" s="19" t="str">
        <x:v>风险基数×3%/7%/15%</x:v>
      </x:c>
      <x:c r="C14" s="414" t="n">
        <x:f>C13*'76_特殊成本参数'!D8</x:f>
        <x:v>105</x:v>
      </x:c>
      <x:c r="D14" s="414" t="n">
        <x:f>D13*'76_特殊成本参数'!E8</x:f>
        <x:v>451.50000000000006</x:v>
      </x:c>
      <x:c r="E14" s="414" t="n">
        <x:f>E13*'76_特殊成本参数'!F8</x:f>
        <x:v>1635</x:v>
      </x:c>
      <x:c r="F14" s="19" t="str">
        <x:v>元</x:v>
      </x:c>
      <x:c r="G14" s="19" t="str">
        <x:v>SPECIAL_WARRANTY</x:v>
      </x:c>
      <x:c r="H14" s="19" t="str">
        <x:v>已含普通风险目标，不再另加M10</x:v>
      </x:c>
    </x:row>
    <x:row r="15" ht="46" customHeight="1">
      <x:c r="A15" s="445" t="str">
        <x:v>可变增量成本</x:v>
      </x:c>
      <x:c r="B15" s="445" t="str">
        <x:v>净物理BOM+EOL+两类质保</x:v>
      </x:c>
      <x:c r="C15" s="453" t="n">
        <x:f>C9+C11+C12+C14</x:f>
        <x:v>7611</x:v>
      </x:c>
      <x:c r="D15" s="453" t="n">
        <x:f>D9+D11+D12+D14</x:f>
        <x:v>15185.25</x:v>
      </x:c>
      <x:c r="E15" s="453" t="n">
        <x:f>E9+E11+E12+E14</x:f>
        <x:v>28155</x:v>
      </x:c>
      <x:c r="F15" s="445" t="str">
        <x:v>元</x:v>
      </x:c>
      <x:c r="G15" s="445" t="str">
        <x:v>VARIABLE_COST</x:v>
      </x:c>
      <x:c r="H15" s="445" t="str">
        <x:v>不含NRE</x:v>
      </x:c>
    </x:row>
    <x:row r="16" ht="46" customHeight="1">
      <x:c r="A16" s="19" t="str">
        <x:v>单车NRE摊销</x:v>
      </x:c>
      <x:c r="B16" s="19" t="str">
        <x:v>总额÷生命周期销量</x:v>
      </x:c>
      <x:c r="C16" s="414" t="n">
        <x:f>'76_特殊成本参数'!D21</x:f>
        <x:v>2000</x:v>
      </x:c>
      <x:c r="D16" s="414" t="n">
        <x:f>'76_特殊成本参数'!E21</x:f>
        <x:v>10625</x:v>
      </x:c>
      <x:c r="E16" s="414" t="n">
        <x:f>'76_特殊成本参数'!F21</x:f>
        <x:v>50000</x:v>
      </x:c>
      <x:c r="F16" s="19" t="str">
        <x:v>元</x:v>
      </x:c>
      <x:c r="G16" s="19" t="str">
        <x:v>NRE_AMORT</x:v>
      </x:c>
      <x:c r="H16" s="19" t="str">
        <x:v>不乘κ</x:v>
      </x:c>
    </x:row>
    <x:row r="17" ht="46" customHeight="1">
      <x:c r="A17" s="445" t="str">
        <x:v>全成本增量</x:v>
      </x:c>
      <x:c r="B17" s="445" t="str">
        <x:v>可变成本+NRE</x:v>
      </x:c>
      <x:c r="C17" s="453" t="n">
        <x:f>C15+C16</x:f>
        <x:v>9611</x:v>
      </x:c>
      <x:c r="D17" s="453" t="n">
        <x:f>D15+D16</x:f>
        <x:v>25810.25</x:v>
      </x:c>
      <x:c r="E17" s="453" t="n">
        <x:f>E15+E16</x:f>
        <x:v>78155</x:v>
      </x:c>
      <x:c r="F17" s="445" t="str">
        <x:v>元</x:v>
      </x:c>
      <x:c r="G17" s="445" t="str">
        <x:v>FULL_COST</x:v>
      </x:c>
      <x:c r="H17" s="445" t="str">
        <x:v>未税成本</x:v>
      </x:c>
    </x:row>
    <x:row r="18" ht="46" customHeight="1">
      <x:c r="A18" s="19" t="str">
        <x:v>κ适用普通硬件净额</x:v>
      </x:c>
      <x:c r="B18" s="19" t="str">
        <x:v>生活设施+固定顶信用</x:v>
      </x:c>
      <x:c r="C18" s="414" t="n">
        <x:f>C7+C8</x:f>
        <x:v>-300</x:v>
      </x:c>
      <x:c r="D18" s="414" t="n">
        <x:f>D7+D8</x:f>
        <x:v>-250</x:v>
      </x:c>
      <x:c r="E18" s="414" t="n">
        <x:f>E7+E8</x:f>
        <x:v>0</x:v>
      </x:c>
      <x:c r="F18" s="19" t="str">
        <x:v>元</x:v>
      </x:c>
      <x:c r="G18" s="19" t="str">
        <x:v>ORDINARY_NET</x:v>
      </x:c>
      <x:c r="H18" s="19" t="str">
        <x:v>可能为负信用</x:v>
      </x:c>
    </x:row>
    <x:row r="19" ht="46" customHeight="1">
      <x:c r="A19" s="445" t="str">
        <x:v>S_special未税直传</x:v>
      </x:c>
      <x:c r="B19" s="445" t="str">
        <x:v>特殊硬件+EOL+质保+NRE</x:v>
      </x:c>
      <x:c r="C19" s="453" t="n">
        <x:f>C6+C11+C12+C14+C16</x:f>
        <x:v>9911</x:v>
      </x:c>
      <x:c r="D19" s="453" t="n">
        <x:f>D6+D11+D12+D14+D16</x:f>
        <x:v>26060.25</x:v>
      </x:c>
      <x:c r="E19" s="453" t="n">
        <x:f>E6+E11+E12+E14+E16</x:f>
        <x:v>78155</x:v>
      </x:c>
      <x:c r="F19" s="445" t="str">
        <x:v>元</x:v>
      </x:c>
      <x:c r="G19" s="445" t="str">
        <x:v>SPECIAL_DIRECT</x:v>
      </x:c>
      <x:c r="H19" s="445" t="str">
        <x:v>不乘κ</x:v>
      </x:c>
    </x:row>
    <x:row r="20" ht="46" customHeight="1">
      <x:c r="A20" s="19" t="str">
        <x:v>成本驱动未税价格增量</x:v>
      </x:c>
      <x:c r="B20" s="19" t="str">
        <x:v>普通净额×κ+S_special</x:v>
      </x:c>
      <x:c r="C20" s="414" t="n">
        <x:f>C18*'76_特殊成本参数'!D11+C19</x:f>
        <x:v>9603.367051050054</x:v>
      </x:c>
      <x:c r="D20" s="414" t="n">
        <x:f>D18*'76_特殊成本参数'!E11+D19</x:f>
        <x:v>25792.87908026464</x:v>
      </x:c>
      <x:c r="E20" s="414" t="n">
        <x:f>E18*'76_特殊成本参数'!F11+E19</x:f>
        <x:v>78155</x:v>
      </x:c>
      <x:c r="F20" s="19" t="str">
        <x:v>元</x:v>
      </x:c>
      <x:c r="G20" s="19" t="str">
        <x:v>PRICE_COST_DRIVEN</x:v>
      </x:c>
      <x:c r="H20" s="19" t="str">
        <x:v>不是正式售价</x:v>
      </x:c>
    </x:row>
    <x:row r="21" ht="46" customHeight="1">
      <x:c r="A21" s="445" t="str">
        <x:v>成本驱动含税价格增量</x:v>
      </x:c>
      <x:c r="B21" s="445" t="str">
        <x:v>上项×(1+VAT)</x:v>
      </x:c>
      <x:c r="C21" s="453" t="n">
        <x:f>C20*(1+'76_特殊成本参数'!D12)</x:f>
        <x:v>10851.80476768656</x:v>
      </x:c>
      <x:c r="D21" s="453" t="n">
        <x:f>D20*(1+'76_特殊成本参数'!E12)</x:f>
        <x:v>29145.95336069904</x:v>
      </x:c>
      <x:c r="E21" s="453" t="n">
        <x:f>E20*(1+'76_特殊成本参数'!F12)</x:f>
        <x:v>88315.15</x:v>
      </x:c>
      <x:c r="F21" s="445" t="str">
        <x:v>元</x:v>
      </x:c>
      <x:c r="G21" s="445" t="str">
        <x:v>PRICE_COST_DRIVEN</x:v>
      </x:c>
      <x:c r="H21" s="445" t="str">
        <x:v>VAT仅末端一次</x:v>
      </x:c>
    </x:row>
  </x:sheetData>
  <x:mergeCells>
    <x:mergeCell ref="A1:V1"/>
    <x:mergeCell ref="A2:V2"/>
    <x:mergeCell ref="A3:V3"/>
    <x:mergeCell ref="J5:V5"/>
  </x:mergeCells>
  <x:conditionalFormatting sqref="G6:G21">
    <x:cfRule type="containsText" dxfId="1608" priority="1" operator="containsText" text="PASS"/>
    <x:cfRule type="containsText" dxfId="1609" priority="2" operator="containsText" text="READY"/>
    <x:cfRule type="containsText" dxfId="1610" priority="3" operator="containsText" text="TRUE"/>
    <x:cfRule type="containsText" dxfId="1611" priority="4" operator="containsText" text="LOCKED"/>
    <x:cfRule type="containsText" dxfId="1612" priority="5" operator="containsText" text="MATCH"/>
    <x:cfRule type="containsText" dxfId="1613" priority="6" operator="containsText" text="CORE"/>
    <x:cfRule type="containsText" dxfId="1614" priority="7" operator="containsText" text="PROVISIONAL"/>
    <x:cfRule type="containsText" dxfId="1615" priority="8" operator="containsText" text="SCENARIO"/>
    <x:cfRule type="containsText" dxfId="1616" priority="9" operator="containsText" text="HOLD"/>
    <x:cfRule type="containsText" dxfId="1617" priority="10" operator="containsText" text="NOT_COMMERCIALIZED"/>
    <x:cfRule type="containsText" dxfId="1618" priority="11" operator="containsText" text="BLOCKED"/>
    <x:cfRule type="containsText" dxfId="1619" priority="12" operator="containsText" text="FAIL"/>
    <x:cfRule type="containsText" dxfId="1620" priority="13" operator="containsText" text="FALSE"/>
    <x:cfRule type="containsText" dxfId="1621" priority="14" operator="containsText" text="EXCLUDED"/>
    <x:cfRule type="containsText" dxfId="1622" priority="15" operator="containsText" text="OPTION"/>
    <x:cfRule type="containsText" dxfId="1623" priority="16" operator="containsText" text="SPECIAL"/>
    <x:cfRule type="containsText" dxfId="1624" priority="17" operator="containsText" text="ORDINARY"/>
  </x:conditionalFormatting>
  <x:pageMargins left="0.7" right="0.7" top="0.75" bottom="0.75" header="0.3" footer="0.3"/>
  <x:drawing xmlns:r="http://schemas.openxmlformats.org/officeDocument/2006/relationships" r:id="R810ba0a44bdc455f"/>
</x:worksheet>
</file>

<file path=xl/worksheets/sheet8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6" hidden="0" customWidth="1"/>
    <x:col min="2" max="2" width="18" hidden="0" customWidth="1"/>
    <x:col min="3" max="3" width="18" hidden="0" customWidth="1"/>
    <x:col min="4" max="4" width="18" hidden="0" customWidth="1"/>
    <x:col min="5" max="5" width="14" hidden="0" customWidth="1"/>
    <x:col min="6" max="6" width="38" hidden="0" customWidth="1"/>
    <x:col min="7" max="7" width="34" hidden="0" customWidth="1"/>
    <x:col min="8" max="8" width="42" hidden="0" customWidth="1"/>
    <x:col min="9" max="9" width="42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</x:cols>
  <x:sheetData>
    <x:row r="1" ht="30" customHeight="1">
      <x:c r="A1" s="432" t="str">
        <x:v>80｜相对七座N90 Max的商业价格口径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  <x:c r="L1" s="432"/>
      <x:c r="M1" s="432"/>
      <x:c r="N1" s="432"/>
    </x:row>
    <x:row r="2" ht="22" customHeight="1">
      <x:c r="A2" s="435" t="str">
        <x:v>技术桥以五座对五座完成｜七座预售299900仅作算术锚点｜座椅信用只做HOLD敏感性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  <x:c r="L2" s="435"/>
      <x:c r="M2" s="435"/>
      <x:c r="N2" s="435"/>
    </x:row>
    <x:row r="3" ht="68" customHeight="1">
      <x:c r="A3" s="439" t="str">
        <x:v>普通五座并非独立商业SKU，因此“扣除第三排座椅成本”不能当成已证实事实。本表同时给出不扣座椅的主算术口径与扣座椅的工程敏感性；两者都不是升顶正式售价。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  <x:c r="L3" s="439"/>
      <x:c r="M3" s="439"/>
      <x:c r="N3" s="439"/>
    </x:row>
    <x:row r="5" ht="54" customHeight="1">
      <x:c r="A5" s="444" t="str">
        <x:v>项目</x:v>
      </x:c>
      <x:c r="B5" s="444" t="str">
        <x:v>Low</x:v>
      </x:c>
      <x:c r="C5" s="444" t="str">
        <x:v>Mid</x:v>
      </x:c>
      <x:c r="D5" s="444" t="str">
        <x:v>High</x:v>
      </x:c>
      <x:c r="E5" s="444" t="str">
        <x:v>单位</x:v>
      </x:c>
      <x:c r="F5" s="444" t="str">
        <x:v>状态</x:v>
      </x:c>
      <x:c r="G5" s="444" t="str">
        <x:v>来源/公式</x:v>
      </x:c>
      <x:c r="H5" s="444" t="str">
        <x:v>可以说</x:v>
      </x:c>
      <x:c r="I5" s="444" t="str">
        <x:v>不能说</x:v>
      </x:c>
    </x:row>
    <x:row r="6" ht="56" customHeight="1">
      <x:c r="A6" s="19" t="str">
        <x:v>N90 Max七座预售价锚点</x:v>
      </x:c>
      <x:c r="B6" s="414" t="n">
        <x:f>'41_商业节点'!I8</x:f>
        <x:v>299900</x:v>
      </x:c>
      <x:c r="C6" s="414" t="n">
        <x:f>'41_商业节点'!I8</x:f>
        <x:v>299900</x:v>
      </x:c>
      <x:c r="D6" s="414" t="n">
        <x:f>'41_商业节点'!I8</x:f>
        <x:v>299900</x:v>
      </x:c>
      <x:c r="E6" s="19" t="str">
        <x:v>元</x:v>
      </x:c>
      <x:c r="F6" s="19" t="str">
        <x:v>PRESALE_ANCHOR_ONLY</x:v>
      </x:c>
      <x:c r="G6" s="19" t="str">
        <x:v>41_商业节点</x:v>
      </x:c>
      <x:c r="H6" s="19" t="str">
        <x:v>已发布预售价可作算术起点</x:v>
      </x:c>
      <x:c r="I6" s="19" t="str">
        <x:v>等于正式指导价</x:v>
      </x:c>
    </x:row>
    <x:row r="7" ht="56" customHeight="1">
      <x:c r="A7" s="445" t="str">
        <x:v>升顶五座官方售价</x:v>
      </x:c>
      <x:c r="B7" s="453" t="str"/>
      <x:c r="C7" s="453" t="str"/>
      <x:c r="D7" s="453" t="str"/>
      <x:c r="E7" s="445" t="str">
        <x:v>元</x:v>
      </x:c>
      <x:c r="F7" s="445" t="str">
        <x:v>BLOCKED_NOT_PUBLISHED</x:v>
      </x:c>
      <x:c r="G7" s="445" t="str">
        <x:v>41_商业节点</x:v>
      </x:c>
      <x:c r="H7" s="445" t="str">
        <x:v>当前未披露</x:v>
      </x:c>
      <x:c r="I7" s="445" t="str">
        <x:v>用成本倒推出官方价</x:v>
      </x:c>
    </x:row>
    <x:row r="8" ht="56" customHeight="1">
      <x:c r="A8" s="19" t="str">
        <x:v>五座→升顶五座含税技术增量</x:v>
      </x:c>
      <x:c r="B8" s="414" t="n">
        <x:f>'79_工程情景汇总'!C21</x:f>
        <x:v>10851.80476768656</x:v>
      </x:c>
      <x:c r="C8" s="414" t="n">
        <x:f>'79_工程情景汇总'!D21</x:f>
        <x:v>29145.95336069904</x:v>
      </x:c>
      <x:c r="D8" s="414" t="n">
        <x:f>'79_工程情景汇总'!E21</x:f>
        <x:v>88315.15</x:v>
      </x:c>
      <x:c r="E8" s="19" t="str">
        <x:v>元</x:v>
      </x:c>
      <x:c r="F8" s="19" t="str">
        <x:v>ENGINEERING_COST_DRIVEN</x:v>
      </x:c>
      <x:c r="G8" s="19" t="str">
        <x:v>79_工程情景汇总</x:v>
      </x:c>
      <x:c r="H8" s="19" t="str">
        <x:v>工程含税增量</x:v>
      </x:c>
      <x:c r="I8" s="19" t="str">
        <x:v>最终零售价差</x:v>
      </x:c>
    </x:row>
    <x:row r="9" ht="56" customHeight="1">
      <x:c r="A9" s="445" t="str">
        <x:v>七座→五座普通硬件成本信用</x:v>
      </x:c>
      <x:c r="B9" s="453" t="n">
        <x:f>'76_特殊成本参数'!D13</x:f>
        <x:v>1400</x:v>
      </x:c>
      <x:c r="C9" s="453" t="n">
        <x:f>'76_特殊成本参数'!E13</x:f>
        <x:v>2400</x:v>
      </x:c>
      <x:c r="D9" s="453" t="n">
        <x:f>'76_特殊成本参数'!F13</x:f>
        <x:v>3800</x:v>
      </x:c>
      <x:c r="E9" s="445" t="str">
        <x:v>元</x:v>
      </x:c>
      <x:c r="F9" s="445" t="str">
        <x:v>HOLD_SEAT_SENSITIVITY</x:v>
      </x:c>
      <x:c r="G9" s="445" t="str">
        <x:v>67_成本参数</x:v>
      </x:c>
      <x:c r="H9" s="445" t="str">
        <x:v>只作敏感性</x:v>
      </x:c>
      <x:c r="I9" s="445" t="str">
        <x:v>监管总质量可证明该信用</x:v>
      </x:c>
    </x:row>
    <x:row r="10" ht="56" customHeight="1">
      <x:c r="A10" s="19" t="str">
        <x:v>座椅信用含税传导</x:v>
      </x:c>
      <x:c r="B10" s="414" t="n">
        <x:f>B9*'76_特殊成本参数'!D11*(1+'76_特殊成本参数'!D12)</x:f>
        <x:v>1622.2510841293843</x:v>
      </x:c>
      <x:c r="C10" s="414" t="n">
        <x:f>C9*'76_特殊成本参数'!E11*(1+'76_特殊成本参数'!E12)</x:f>
        <x:v>2900.4397372892054</x:v>
      </x:c>
      <x:c r="D10" s="414" t="n">
        <x:f>D9*'76_特殊成本参数'!F11*(1+'76_特殊成本参数'!F12)</x:f>
        <x:v>5241.501707856137</x:v>
      </x:c>
      <x:c r="E10" s="19" t="str">
        <x:v>元</x:v>
      </x:c>
      <x:c r="F10" s="19" t="str">
        <x:v>HOLD_SEAT_SENSITIVITY</x:v>
      </x:c>
      <x:c r="G10" s="19" t="str">
        <x:v>成本×κ×VAT</x:v>
      </x:c>
      <x:c r="H10" s="19" t="str">
        <x:v>工程敏感性金额</x:v>
      </x:c>
      <x:c r="I10" s="19" t="str">
        <x:v>已确认商业减配金额</x:v>
      </x:c>
    </x:row>
    <x:row r="11" ht="56" customHeight="1">
      <x:c r="A11" s="445" t="str">
        <x:v>算术锚定价：不扣座椅</x:v>
      </x:c>
      <x:c r="B11" s="453" t="n">
        <x:f>B6+B8</x:f>
        <x:v>310751.8047676866</x:v>
      </x:c>
      <x:c r="C11" s="453" t="n">
        <x:f>C6+C8</x:f>
        <x:v>329045.95336069906</x:v>
      </x:c>
      <x:c r="D11" s="453" t="n">
        <x:f>D6+D8</x:f>
        <x:v>388215.15</x:v>
      </x:c>
      <x:c r="E11" s="445" t="str">
        <x:v>元</x:v>
      </x:c>
      <x:c r="F11" s="445" t="str">
        <x:v>PROVISIONAL_ARITHMETIC_PRIMARY</x:v>
      </x:c>
      <x:c r="G11" s="445" t="str">
        <x:v>预售锚+技术增量</x:v>
      </x:c>
      <x:c r="H11" s="445" t="str">
        <x:v>保守算术口径</x:v>
      </x:c>
      <x:c r="I11" s="445" t="str">
        <x:v>正式升顶售价</x:v>
      </x:c>
    </x:row>
    <x:row r="12" ht="56" customHeight="1">
      <x:c r="A12" s="19" t="str">
        <x:v>算术锚定价：扣座椅敏感性</x:v>
      </x:c>
      <x:c r="B12" s="414" t="n">
        <x:f>B6+B8-B10</x:f>
        <x:v>309129.5536835572</x:v>
      </x:c>
      <x:c r="C12" s="414" t="n">
        <x:f>C6+C8-C10</x:f>
        <x:v>326145.51362340985</x:v>
      </x:c>
      <x:c r="D12" s="414" t="n">
        <x:f>D6+D8-D10</x:f>
        <x:v>382973.6482921439</x:v>
      </x:c>
      <x:c r="E12" s="19" t="str">
        <x:v>元</x:v>
      </x:c>
      <x:c r="F12" s="19" t="str">
        <x:v>PROVISIONAL_ARITHMETIC_SECONDARY</x:v>
      </x:c>
      <x:c r="G12" s="19" t="str">
        <x:v>预售锚+技术增量−座椅信用</x:v>
      </x:c>
      <x:c r="H12" s="19" t="str">
        <x:v>辅助敏感性</x:v>
      </x:c>
      <x:c r="I12" s="19" t="str">
        <x:v>已证实商品口径</x:v>
      </x:c>
    </x:row>
    <x:row r="13" ht="56" customHeight="1">
      <x:c r="A13" s="445" t="str">
        <x:v>两种口径差</x:v>
      </x:c>
      <x:c r="B13" s="453" t="n">
        <x:f>B11-B12</x:f>
        <x:v>1622.2510841293843</x:v>
      </x:c>
      <x:c r="C13" s="453" t="n">
        <x:f>C11-C12</x:f>
        <x:v>2900.4397372892126</x:v>
      </x:c>
      <x:c r="D13" s="453" t="n">
        <x:f>D11-D12</x:f>
        <x:v>5241.501707856136</x:v>
      </x:c>
      <x:c r="E13" s="445" t="str">
        <x:v>元</x:v>
      </x:c>
      <x:c r="F13" s="445" t="str">
        <x:v>SEAT_SCOPE_ONLY</x:v>
      </x:c>
      <x:c r="G13" s="445" t="str">
        <x:v>仅座椅信用</x:v>
      </x:c>
      <x:c r="H13" s="445" t="str">
        <x:v>商业基线不确定性</x:v>
      </x:c>
      <x:c r="I13" s="445" t="str">
        <x:v>升顶机构不确定性</x:v>
      </x:c>
    </x:row>
    <x:row r="14" ht="56" customHeight="1">
      <x:c r="A14" s="19" t="str">
        <x:v>App车辆SKU/配置修订</x:v>
      </x:c>
      <x:c r="B14" s="19" t="n">
        <x:v>0</x:v>
      </x:c>
      <x:c r="C14" s="19" t="n">
        <x:v>0</x:v>
      </x:c>
      <x:c r="D14" s="19" t="n">
        <x:v>0</x:v>
      </x:c>
      <x:c r="E14" s="19" t="str">
        <x:v>0/1</x:v>
      </x:c>
      <x:c r="F14" s="19" t="str">
        <x:v>BLOCKED</x:v>
      </x:c>
      <x:c r="G14" s="19" t="str">
        <x:v>62_App售价桥闸门</x:v>
      </x:c>
      <x:c r="H14" s="19" t="str">
        <x:v>未锁</x:v>
      </x:c>
      <x:c r="I14" s="19" t="str">
        <x:v>可启用正式桥</x:v>
      </x:c>
    </x:row>
    <x:row r="15" ht="56" customHeight="1">
      <x:c r="A15" s="445" t="str">
        <x:v>正式指导价桥</x:v>
      </x:c>
      <x:c r="B15" s="445" t="n">
        <x:v>0</x:v>
      </x:c>
      <x:c r="C15" s="445" t="n">
        <x:v>0</x:v>
      </x:c>
      <x:c r="D15" s="445" t="n">
        <x:v>0</x:v>
      </x:c>
      <x:c r="E15" s="445" t="str">
        <x:v>0/1</x:v>
      </x:c>
      <x:c r="F15" s="445" t="str">
        <x:v>BLOCKED</x:v>
      </x:c>
      <x:c r="G15" s="445" t="str">
        <x:v>规则硬门槛</x:v>
      </x:c>
      <x:c r="H15" s="445" t="str">
        <x:v>继续关闭</x:v>
      </x:c>
      <x:c r="I15" s="445" t="str">
        <x:v>本表已完成正式定价</x:v>
      </x:c>
    </x:row>
    <x:row r="17" ht="24" customHeight="1">
      <x:c r="A17" s="448" t="str">
        <x:v>判读</x:v>
      </x:c>
      <x:c r="B17" s="448"/>
      <x:c r="C17" s="448"/>
      <x:c r="D17" s="448"/>
      <x:c r="E17" s="448"/>
      <x:c r="F17" s="448"/>
      <x:c r="G17" s="448"/>
      <x:c r="H17" s="448"/>
      <x:c r="I17" s="448"/>
      <x:c r="J17" s="448"/>
      <x:c r="K17" s="448"/>
      <x:c r="L17" s="448"/>
      <x:c r="M17" s="448"/>
      <x:c r="N17" s="448"/>
    </x:row>
    <x:row r="18" ht="50" customHeight="1">
      <x:c r="A18" s="19" t="str">
        <x:v>主结论</x:v>
      </x:c>
      <x:c r="B18" s="19" t="str">
        <x:v>五座对五座的升顶含税工程增量才是3.2C技术结果；商业七座锚点只是后续全系预测的输入。</x:v>
      </x:c>
      <x:c r="C18" s="19" t="str"/>
      <x:c r="D18" s="19" t="str"/>
      <x:c r="E18" s="19" t="str"/>
      <x:c r="F18" s="19" t="str"/>
      <x:c r="G18" s="19" t="str"/>
      <x:c r="H18" s="19" t="str"/>
      <x:c r="I18" s="19" t="str"/>
      <x:c r="J18" s="19" t="str"/>
      <x:c r="K18" s="19" t="str"/>
      <x:c r="L18" s="19" t="str"/>
      <x:c r="M18" s="19" t="str"/>
      <x:c r="N18" s="19" t="str"/>
    </x:row>
    <x:row r="19" ht="50" customHeight="1">
      <x:c r="A19" s="445" t="str">
        <x:v>座椅处理</x:v>
      </x:c>
      <x:c r="B19" s="445" t="str">
        <x:v>普通五座不是商品SKU，所以不扣座椅的口径优先；扣座椅仅用于观察已发布七座Max的基线差异。</x:v>
      </x:c>
      <x:c r="C19" s="445" t="str"/>
      <x:c r="D19" s="445" t="str"/>
      <x:c r="E19" s="445" t="str"/>
      <x:c r="F19" s="445" t="str"/>
      <x:c r="G19" s="445" t="str"/>
      <x:c r="H19" s="445" t="str"/>
      <x:c r="I19" s="445" t="str"/>
      <x:c r="J19" s="445" t="str"/>
      <x:c r="K19" s="445" t="str"/>
      <x:c r="L19" s="445" t="str"/>
      <x:c r="M19" s="445" t="str"/>
      <x:c r="N19" s="445" t="str"/>
    </x:row>
    <x:row r="20" ht="50" customHeight="1">
      <x:c r="A20" s="19" t="str">
        <x:v>价格边界</x:v>
      </x:c>
      <x:c r="B20" s="19" t="str">
        <x:v>成本驱动增量不含市场定位、额外利润或心理价位；不得以未来售价反填BOM/NRE。</x:v>
      </x:c>
      <x:c r="C20" s="19" t="str"/>
      <x:c r="D20" s="19" t="str"/>
      <x:c r="E20" s="19" t="str"/>
      <x:c r="F20" s="19" t="str"/>
      <x:c r="G20" s="19" t="str"/>
      <x:c r="H20" s="19" t="str"/>
      <x:c r="I20" s="19" t="str"/>
      <x:c r="J20" s="19" t="str"/>
      <x:c r="K20" s="19" t="str"/>
      <x:c r="L20" s="19" t="str"/>
      <x:c r="M20" s="19" t="str"/>
      <x:c r="N20" s="19" t="str"/>
    </x:row>
    <x:row r="21" ht="50" customHeight="1">
      <x:c r="A21" s="445" t="str">
        <x:v>重新计算</x:v>
      </x:c>
      <x:c r="B21" s="445" t="str">
        <x:v>升顶版本卡、App车辆SKU、配置修订和正式指导价出现后，先更新标配/选装边界，再重跑成本和商业桥。</x:v>
      </x:c>
      <x:c r="C21" s="445" t="str"/>
      <x:c r="D21" s="445" t="str"/>
      <x:c r="E21" s="445" t="str"/>
      <x:c r="F21" s="445" t="str"/>
      <x:c r="G21" s="445" t="str"/>
      <x:c r="H21" s="445" t="str"/>
      <x:c r="I21" s="445" t="str"/>
      <x:c r="J21" s="445" t="str"/>
      <x:c r="K21" s="445" t="str"/>
      <x:c r="L21" s="445" t="str"/>
      <x:c r="M21" s="445" t="str"/>
      <x:c r="N21" s="445" t="str"/>
    </x:row>
    <x:row r="22" ht="50" customHeight="1">
      <x:c r="A22" s="19" t="str">
        <x:v>当前状态</x:v>
      </x:c>
      <x:c r="B22" s="19" t="str">
        <x:v>HOMOLOGATED_NOT_COMMERCIALIZED；正式价格桥=0。</x:v>
      </x:c>
      <x:c r="C22" s="19" t="str"/>
      <x:c r="D22" s="19" t="str"/>
      <x:c r="E22" s="19" t="str"/>
      <x:c r="F22" s="19" t="str"/>
      <x:c r="G22" s="19" t="str"/>
      <x:c r="H22" s="19" t="str"/>
      <x:c r="I22" s="19" t="str"/>
      <x:c r="J22" s="19" t="str"/>
      <x:c r="K22" s="19" t="str"/>
      <x:c r="L22" s="19" t="str"/>
      <x:c r="M22" s="19" t="str"/>
      <x:c r="N22" s="19" t="str"/>
    </x:row>
  </x:sheetData>
  <x:mergeCells>
    <x:mergeCell ref="A1:N1"/>
    <x:mergeCell ref="A2:N2"/>
    <x:mergeCell ref="A3:N3"/>
    <x:mergeCell ref="A17:N17"/>
    <x:mergeCell ref="B18:N18"/>
    <x:mergeCell ref="B19:N19"/>
    <x:mergeCell ref="B20:N20"/>
    <x:mergeCell ref="B21:N21"/>
    <x:mergeCell ref="B22:N22"/>
  </x:mergeCells>
  <x:conditionalFormatting sqref="F6:F15">
    <x:cfRule type="containsText" dxfId="1625" priority="1" operator="containsText" text="PASS"/>
    <x:cfRule type="containsText" dxfId="1626" priority="2" operator="containsText" text="READY"/>
    <x:cfRule type="containsText" dxfId="1627" priority="3" operator="containsText" text="TRUE"/>
    <x:cfRule type="containsText" dxfId="1628" priority="4" operator="containsText" text="LOCKED"/>
    <x:cfRule type="containsText" dxfId="1629" priority="5" operator="containsText" text="MATCH"/>
    <x:cfRule type="containsText" dxfId="1630" priority="6" operator="containsText" text="CORE"/>
    <x:cfRule type="containsText" dxfId="1631" priority="7" operator="containsText" text="PROVISIONAL"/>
    <x:cfRule type="containsText" dxfId="1632" priority="8" operator="containsText" text="SCENARIO"/>
    <x:cfRule type="containsText" dxfId="1633" priority="9" operator="containsText" text="HOLD"/>
    <x:cfRule type="containsText" dxfId="1634" priority="10" operator="containsText" text="NOT_COMMERCIALIZED"/>
    <x:cfRule type="containsText" dxfId="1635" priority="11" operator="containsText" text="BLOCKED"/>
    <x:cfRule type="containsText" dxfId="1636" priority="12" operator="containsText" text="FAIL"/>
    <x:cfRule type="containsText" dxfId="1637" priority="13" operator="containsText" text="FALSE"/>
    <x:cfRule type="containsText" dxfId="1638" priority="14" operator="containsText" text="EXCLUDED"/>
    <x:cfRule type="containsText" dxfId="1639" priority="15" operator="containsText" text="OPTION"/>
    <x:cfRule type="containsText" dxfId="1640" priority="16" operator="containsText" text="SPECIAL"/>
    <x:cfRule type="containsText" dxfId="1641" priority="17" operator="containsText" text="ORDINARY"/>
  </x:conditionalFormatting>
  <x:conditionalFormatting sqref="A18:A22">
    <x:cfRule type="containsText" dxfId="1642" priority="18" operator="containsText" text="PASS"/>
    <x:cfRule type="containsText" dxfId="1643" priority="19" operator="containsText" text="READY"/>
    <x:cfRule type="containsText" dxfId="1644" priority="20" operator="containsText" text="TRUE"/>
    <x:cfRule type="containsText" dxfId="1645" priority="21" operator="containsText" text="LOCKED"/>
    <x:cfRule type="containsText" dxfId="1646" priority="22" operator="containsText" text="MATCH"/>
    <x:cfRule type="containsText" dxfId="1647" priority="23" operator="containsText" text="CORE"/>
    <x:cfRule type="containsText" dxfId="1648" priority="24" operator="containsText" text="PROVISIONAL"/>
    <x:cfRule type="containsText" dxfId="1649" priority="25" operator="containsText" text="SCENARIO"/>
    <x:cfRule type="containsText" dxfId="1650" priority="26" operator="containsText" text="HOLD"/>
    <x:cfRule type="containsText" dxfId="1651" priority="27" operator="containsText" text="NOT_COMMERCIALIZED"/>
    <x:cfRule type="containsText" dxfId="1652" priority="28" operator="containsText" text="BLOCKED"/>
    <x:cfRule type="containsText" dxfId="1653" priority="29" operator="containsText" text="FAIL"/>
    <x:cfRule type="containsText" dxfId="1654" priority="30" operator="containsText" text="FALSE"/>
    <x:cfRule type="containsText" dxfId="1655" priority="31" operator="containsText" text="EXCLUDED"/>
    <x:cfRule type="containsText" dxfId="1656" priority="32" operator="containsText" text="OPTION"/>
    <x:cfRule type="containsText" dxfId="1657" priority="33" operator="containsText" text="SPECIAL"/>
    <x:cfRule type="containsText" dxfId="1658" priority="34" operator="containsText" text="ORDINARY"/>
  </x:conditionalFormatting>
  <x:pageMargins left="0.7" right="0.7" top="0.75" bottom="0.75" header="0.3" footer="0.3"/>
</x:worksheet>
</file>

<file path=xl/worksheets/sheet8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20" hidden="0" customWidth="1"/>
    <x:col min="3" max="3" width="30" hidden="0" customWidth="1"/>
    <x:col min="4" max="4" width="30" hidden="0" customWidth="1"/>
    <x:col min="5" max="5" width="42" hidden="0" customWidth="1"/>
    <x:col min="6" max="6" width="3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</x:cols>
  <x:sheetData>
    <x:row r="1" ht="30" customHeight="1">
      <x:c r="A1" s="432" t="str">
        <x:v>81｜可变成本情景 × NRE摊销情景敏感性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  <x:c r="L1" s="432"/>
      <x:c r="M1" s="432"/>
    </x:row>
    <x:row r="2" ht="22" customHeight="1">
      <x:c r="A2" s="435" t="str">
        <x:v>三个可变成本/κ/VAT情景与三个单车NRE情景独立组合｜输出同座位含税技术增量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  <x:c r="L2" s="435"/>
      <x:c r="M2" s="435"/>
    </x:row>
    <x:row r="3" ht="68" customHeight="1">
      <x:c r="A3" s="439" t="str">
        <x:v>主对角只是一组情景。矩阵能区分“零件/制造不确定性”和“销量摊销不确定性”；正式价格预测还需商品定位层，不能从矩阵选一个数冒充官方售价。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  <x:c r="L3" s="439"/>
      <x:c r="M3" s="439"/>
    </x:row>
    <x:row r="5" ht="46" customHeight="1">
      <x:c r="A5" s="444" t="str">
        <x:v>含税技术增量</x:v>
      </x:c>
      <x:c r="B5" s="444" t="str">
        <x:v>NRE Low/车</x:v>
      </x:c>
      <x:c r="C5" s="444" t="str">
        <x:v>NRE Mid/车</x:v>
      </x:c>
      <x:c r="D5" s="444" t="str">
        <x:v>NRE High/车</x:v>
      </x:c>
      <x:c r="E5" s="444" t="str">
        <x:v>可变情景</x:v>
      </x:c>
    </x:row>
    <x:row r="6" ht="48" customHeight="1">
      <x:c r="A6" s="19" t="str">
        <x:v>单车NRE输入</x:v>
      </x:c>
      <x:c r="B6" s="414" t="n">
        <x:f>'76_特殊成本参数'!D21</x:f>
        <x:v>2000</x:v>
      </x:c>
      <x:c r="C6" s="414" t="n">
        <x:f>'76_特殊成本参数'!E21</x:f>
        <x:v>10625</x:v>
      </x:c>
      <x:c r="D6" s="414" t="n">
        <x:f>'76_特殊成本参数'!F21</x:f>
        <x:v>50000</x:v>
      </x:c>
      <x:c r="E6" s="19"/>
    </x:row>
    <x:row r="7" ht="48" customHeight="1">
      <x:c r="A7" s="445" t="str">
        <x:v>Low variable</x:v>
      </x:c>
      <x:c r="B7" s="453" t="n">
        <x:f>(('79_工程情景汇总'!C19-'79_工程情景汇总'!C16)+'79_工程情景汇总'!C18*'76_特殊成本参数'!D11+B$6)*(1+'76_特殊成本参数'!D12)</x:f>
        <x:v>10851.804767686559</x:v>
      </x:c>
      <x:c r="C7" s="453" t="n">
        <x:f>(('79_工程情景汇总'!C19-'79_工程情景汇总'!C16)+'79_工程情景汇总'!C18*'76_特殊成本参数'!D11+C$6)*(1+'76_特殊成本参数'!D12)</x:f>
        <x:v>20598.054767686557</x:v>
      </x:c>
      <x:c r="D7" s="453" t="n">
        <x:f>(('79_工程情景汇总'!C19-'79_工程情景汇总'!C16)+'79_工程情景汇总'!C18*'76_特殊成本参数'!D11+D$6)*(1+'76_特殊成本参数'!D12)</x:f>
        <x:v>65091.80476768655</x:v>
      </x:c>
      <x:c r="E7" s="453" t="n">
        <x:f>'79_工程情景汇总'!C15</x:f>
        <x:v>7611</x:v>
      </x:c>
    </x:row>
    <x:row r="8" ht="48" customHeight="1">
      <x:c r="A8" s="19" t="str">
        <x:v>Mid variable</x:v>
      </x:c>
      <x:c r="B8" s="414" t="n">
        <x:f>(('79_工程情景汇总'!D19-'79_工程情景汇总'!D16)+'79_工程情景汇总'!D18*'76_特殊成本参数'!E11+B$6)*(1+'76_特殊成本参数'!E12)</x:f>
        <x:v>19399.70336069904</x:v>
      </x:c>
      <x:c r="C8" s="414" t="n">
        <x:f>(('79_工程情景汇总'!D19-'79_工程情景汇总'!D16)+'79_工程情景汇总'!D18*'76_特殊成本参数'!E11+C$6)*(1+'76_特殊成本参数'!E12)</x:f>
        <x:v>29145.95336069904</x:v>
      </x:c>
      <x:c r="D8" s="414" t="n">
        <x:f>(('79_工程情景汇总'!D19-'79_工程情景汇总'!D16)+'79_工程情景汇总'!D18*'76_特殊成本参数'!E11+D$6)*(1+'76_特殊成本参数'!E12)</x:f>
        <x:v>73639.70336069903</x:v>
      </x:c>
      <x:c r="E8" s="414" t="n">
        <x:f>'79_工程情景汇总'!D15</x:f>
        <x:v>15185.25</x:v>
      </x:c>
    </x:row>
    <x:row r="9" ht="48" customHeight="1">
      <x:c r="A9" s="445" t="str">
        <x:v>High variable</x:v>
      </x:c>
      <x:c r="B9" s="453" t="n">
        <x:f>(('79_工程情景汇总'!E19-'79_工程情景汇总'!E16)+'79_工程情景汇总'!E18*'76_特殊成本参数'!F11+B$6)*(1+'76_特殊成本参数'!F12)</x:f>
        <x:v>34075.149999999994</x:v>
      </x:c>
      <x:c r="C9" s="453" t="n">
        <x:f>(('79_工程情景汇总'!E19-'79_工程情景汇总'!E16)+'79_工程情景汇总'!E18*'76_特殊成本参数'!F11+C$6)*(1+'76_特殊成本参数'!F12)</x:f>
        <x:v>43821.399999999994</x:v>
      </x:c>
      <x:c r="D9" s="453" t="n">
        <x:f>(('79_工程情景汇总'!E19-'79_工程情景汇总'!E16)+'79_工程情景汇总'!E18*'76_特殊成本参数'!F11+D$6)*(1+'76_特殊成本参数'!F12)</x:f>
        <x:v>88315.15</x:v>
      </x:c>
      <x:c r="E9" s="453" t="n">
        <x:f>'79_工程情景汇总'!E15</x:f>
        <x:v>28155</x:v>
      </x:c>
    </x:row>
    <x:row r="11" ht="24" customHeight="1">
      <x:c r="A11" s="448" t="str">
        <x:v>反证触发：出现后必须改参数或边界，不能改结论名称</x:v>
      </x:c>
      <x:c r="B11" s="448"/>
      <x:c r="C11" s="448"/>
      <x:c r="D11" s="448"/>
      <x:c r="E11" s="448"/>
      <x:c r="F11" s="448"/>
      <x:c r="G11" s="448"/>
      <x:c r="H11" s="448"/>
      <x:c r="I11" s="448"/>
      <x:c r="J11" s="448"/>
      <x:c r="K11" s="448"/>
      <x:c r="L11" s="448"/>
      <x:c r="M11" s="448"/>
    </x:row>
    <x:row r="12" ht="46" customHeight="1">
      <x:c r="A12" s="444" t="str">
        <x:v>事件</x:v>
      </x:c>
      <x:c r="B12" s="444" t="str">
        <x:v>当前处理</x:v>
      </x:c>
      <x:c r="C12" s="444" t="str">
        <x:v>触发证据</x:v>
      </x:c>
      <x:c r="D12" s="444" t="str">
        <x:v>模型动作</x:v>
      </x:c>
      <x:c r="E12" s="444" t="str">
        <x:v>不能做</x:v>
      </x:c>
      <x:c r="F12" s="444" t="str">
        <x:v>状态</x:v>
      </x:c>
    </x:row>
    <x:row r="13" ht="52" customHeight="1">
      <x:c r="A13" s="19" t="str">
        <x:v>升顶是手动而非电动</x:v>
      </x:c>
      <x:c r="B13" s="19" t="str">
        <x:v>执行/控制情景计入</x:v>
      </x:c>
      <x:c r="C13" s="19" t="str">
        <x:v>官方结构说明/App配置</x:v>
      </x:c>
      <x:c r="D13" s="19" t="str">
        <x:v>下调或删除电动执行行</x:v>
      </x:c>
      <x:c r="E13" s="19" t="str">
        <x:v>保留成本再叫定位</x:v>
      </x:c>
      <x:c r="F13" s="19" t="str">
        <x:v>HOLD_MECHANISM</x:v>
      </x:c>
    </x:row>
    <x:row r="14" ht="52" customHeight="1">
      <x:c r="A14" s="445" t="str">
        <x:v>床板/边柜仅选装</x:v>
      </x:c>
      <x:c r="B14" s="445" t="str">
        <x:v>监管配备边界暂纳技术包</x:v>
      </x:c>
      <x:c r="C14" s="445" t="str">
        <x:v>商品版本卡明确选装</x:v>
      </x:c>
      <x:c r="D14" s="445" t="str">
        <x:v>移出基础BOM转选装池</x:v>
      </x:c>
      <x:c r="E14" s="445" t="str">
        <x:v>继续并入指导价</x:v>
      </x:c>
      <x:c r="F14" s="445" t="str">
        <x:v>HOLD_COMMERCIAL_SCOPE</x:v>
      </x:c>
    </x:row>
    <x:row r="15" ht="52" customHeight="1">
      <x:c r="A15" s="19" t="str">
        <x:v>固定顶信用与真实基础不符</x:v>
      </x:c>
      <x:c r="B15" s="19" t="str">
        <x:v>低置信负向信用</x:v>
      </x:c>
      <x:c r="C15" s="19" t="str">
        <x:v>普通五座/升顶零件或配置表</x:v>
      </x:c>
      <x:c r="D15" s="19" t="str">
        <x:v>更新负向行</x:v>
      </x:c>
      <x:c r="E15" s="19" t="str">
        <x:v>用残差配平</x:v>
      </x:c>
      <x:c r="F15" s="19" t="str">
        <x:v>HOLD_BASE_CREDIT</x:v>
      </x:c>
    </x:row>
    <x:row r="16" ht="52" customHeight="1">
      <x:c r="A16" s="445" t="str">
        <x:v>生命周期销量显著不同</x:v>
      </x:c>
      <x:c r="B16" s="445" t="str">
        <x:v>20000/8000/3000情景</x:v>
      </x:c>
      <x:c r="C16" s="445" t="str">
        <x:v>管理层/供应链/产能指引</x:v>
      </x:c>
      <x:c r="D16" s="445" t="str">
        <x:v>重跑78/81表</x:v>
      </x:c>
      <x:c r="E16" s="445" t="str">
        <x:v>改物理BOM</x:v>
      </x:c>
      <x:c r="F16" s="445" t="str">
        <x:v>HOLD_VOLUME</x:v>
      </x:c>
    </x:row>
    <x:row r="17" ht="52" customHeight="1">
      <x:c r="A17" s="19" t="str">
        <x:v>NRE由供应商件价内摊</x:v>
      </x:c>
      <x:c r="B17" s="19" t="str">
        <x:v>NRE独立</x:v>
      </x:c>
      <x:c r="C17" s="19" t="str">
        <x:v>采购合同/报价结构</x:v>
      </x:c>
      <x:c r="D17" s="19" t="str">
        <x:v>删除重复工装摊销</x:v>
      </x:c>
      <x:c r="E17" s="19" t="str">
        <x:v>NRE与件价双计</x:v>
      </x:c>
      <x:c r="F17" s="19" t="str">
        <x:v>HOLD_NRE_SCOPE</x:v>
      </x:c>
    </x:row>
    <x:row r="18" ht="52" customHeight="1">
      <x:c r="A18" s="445" t="str">
        <x:v>正式升顶SKU发布</x:v>
      </x:c>
      <x:c r="B18" s="445" t="str">
        <x:v>未商品化</x:v>
      </x:c>
      <x:c r="C18" s="445" t="str">
        <x:v>App车辆SKU+config_revision</x:v>
      </x:c>
      <x:c r="D18" s="445" t="str">
        <x:v>重建标配/选装边界</x:v>
      </x:c>
      <x:c r="E18" s="445" t="str">
        <x:v>直接沿用监管配备</x:v>
      </x:c>
      <x:c r="F18" s="445" t="str">
        <x:v>BLOCKED_APP_SKU</x:v>
      </x:c>
    </x:row>
    <x:row r="19" ht="52" customHeight="1">
      <x:c r="A19" s="19" t="str">
        <x:v>正式指导价发布</x:v>
      </x:c>
      <x:c r="B19" s="19" t="str">
        <x:v>预售价算术锚</x:v>
      </x:c>
      <x:c r="C19" s="19" t="str">
        <x:v>同口径官方指导价</x:v>
      </x:c>
      <x:c r="D19" s="19" t="str">
        <x:v>重跑80表与综合定价</x:v>
      </x:c>
      <x:c r="E19" s="19" t="str">
        <x:v>沿用预售口径</x:v>
      </x:c>
      <x:c r="F19" s="19" t="str">
        <x:v>BLOCKED_FORMAL_PRICE</x:v>
      </x:c>
    </x:row>
    <x:row r="20" ht="52" customHeight="1">
      <x:c r="A20" s="445" t="str">
        <x:v>普通五座成为商品SKU</x:v>
      </x:c>
      <x:c r="B20" s="445" t="str">
        <x:v>座椅信用仅敏感性</x:v>
      </x:c>
      <x:c r="C20" s="445" t="str">
        <x:v>官方五座版本卡/价格</x:v>
      </x:c>
      <x:c r="D20" s="445" t="str">
        <x:v>启用直接五座商业基线</x:v>
      </x:c>
      <x:c r="E20" s="445" t="str">
        <x:v>继续猜测座椅信用</x:v>
      </x:c>
      <x:c r="F20" s="445" t="str">
        <x:v>HOLD_SEAT_BASELINE</x:v>
      </x:c>
    </x:row>
  </x:sheetData>
  <x:mergeCells>
    <x:mergeCell ref="A1:M1"/>
    <x:mergeCell ref="A2:M2"/>
    <x:mergeCell ref="A3:M3"/>
    <x:mergeCell ref="A11:M11"/>
  </x:mergeCells>
  <x:conditionalFormatting sqref="B13:F20">
    <x:cfRule type="containsText" dxfId="1659" priority="1" operator="containsText" text="PASS"/>
    <x:cfRule type="containsText" dxfId="1660" priority="2" operator="containsText" text="READY"/>
    <x:cfRule type="containsText" dxfId="1661" priority="3" operator="containsText" text="TRUE"/>
    <x:cfRule type="containsText" dxfId="1662" priority="4" operator="containsText" text="LOCKED"/>
    <x:cfRule type="containsText" dxfId="1663" priority="5" operator="containsText" text="MATCH"/>
    <x:cfRule type="containsText" dxfId="1664" priority="6" operator="containsText" text="CORE"/>
    <x:cfRule type="containsText" dxfId="1665" priority="7" operator="containsText" text="PROVISIONAL"/>
    <x:cfRule type="containsText" dxfId="1666" priority="8" operator="containsText" text="SCENARIO"/>
    <x:cfRule type="containsText" dxfId="1667" priority="9" operator="containsText" text="HOLD"/>
    <x:cfRule type="containsText" dxfId="1668" priority="10" operator="containsText" text="NOT_COMMERCIALIZED"/>
    <x:cfRule type="containsText" dxfId="1669" priority="11" operator="containsText" text="BLOCKED"/>
    <x:cfRule type="containsText" dxfId="1670" priority="12" operator="containsText" text="FAIL"/>
    <x:cfRule type="containsText" dxfId="1671" priority="13" operator="containsText" text="FALSE"/>
    <x:cfRule type="containsText" dxfId="1672" priority="14" operator="containsText" text="EXCLUDED"/>
    <x:cfRule type="containsText" dxfId="1673" priority="15" operator="containsText" text="OPTION"/>
    <x:cfRule type="containsText" dxfId="1674" priority="16" operator="containsText" text="SPECIAL"/>
    <x:cfRule type="containsText" dxfId="1675" priority="17" operator="containsText" text="ORDINARY"/>
  </x:conditionalFormatting>
  <x:pageMargins left="0.7" right="0.7" top="0.75" bottom="0.75" header="0.3" footer="0.3"/>
</x:worksheet>
</file>

<file path=xl/worksheets/sheet8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6" hidden="0" customWidth="1"/>
    <x:col min="2" max="2" width="18" hidden="0" customWidth="1"/>
    <x:col min="3" max="3" width="18" hidden="0" customWidth="1"/>
    <x:col min="4" max="4" width="18" hidden="0" customWidth="1"/>
    <x:col min="5" max="5" width="14" hidden="0" customWidth="1"/>
    <x:col min="6" max="6" width="38" hidden="0" customWidth="1"/>
    <x:col min="7" max="7" width="32" hidden="0" customWidth="1"/>
    <x:col min="8" max="8" width="44" hidden="0" customWidth="1"/>
    <x:col min="9" max="9" width="44" hidden="0" customWidth="1"/>
    <x:col min="10" max="10" width="36" hidden="0" customWidth="1"/>
    <x:col min="11" max="11" width="28" hidden="0" customWidth="1"/>
  </x:cols>
  <x:sheetData>
    <x:row r="1" ht="30" customHeight="1">
      <x:c r="A1" s="432" t="str">
        <x:v>82｜Phase 3.2C节点签核</x:v>
      </x:c>
      <x:c r="B1" s="432"/>
      <x:c r="C1" s="432"/>
      <x:c r="D1" s="432"/>
      <x:c r="E1" s="432"/>
      <x:c r="F1" s="432"/>
      <x:c r="G1" s="432"/>
      <x:c r="H1" s="432"/>
      <x:c r="I1" s="432"/>
      <x:c r="J1" s="432"/>
      <x:c r="K1" s="432"/>
    </x:row>
    <x:row r="2" ht="22" customHeight="1">
      <x:c r="A2" s="435" t="str">
        <x:v>技术成本桥完成｜商业口径仅算术敏感性｜正式升顶售价桥继续关闭</x:v>
      </x:c>
      <x:c r="B2" s="435"/>
      <x:c r="C2" s="435"/>
      <x:c r="D2" s="435"/>
      <x:c r="E2" s="435"/>
      <x:c r="F2" s="435"/>
      <x:c r="G2" s="435"/>
      <x:c r="H2" s="435"/>
      <x:c r="I2" s="435"/>
      <x:c r="J2" s="435"/>
      <x:c r="K2" s="435"/>
    </x:row>
    <x:row r="3" ht="68" customHeight="1">
      <x:c r="A3" s="439" t="str">
        <x:v>签核关注三点：五座对五座的+100mm/+40kg物理边界；特殊项与普通κ分流；NRE/销量显式摊销。升顶尚无App车辆SKU和正式指导价，本表不签发正式售价。</x:v>
      </x:c>
      <x:c r="B3" s="439"/>
      <x:c r="C3" s="439"/>
      <x:c r="D3" s="439"/>
      <x:c r="E3" s="439"/>
      <x:c r="F3" s="439"/>
      <x:c r="G3" s="439"/>
      <x:c r="H3" s="439"/>
      <x:c r="I3" s="439"/>
      <x:c r="J3" s="439"/>
      <x:c r="K3" s="439"/>
    </x:row>
    <x:row r="5" ht="56" customHeight="1">
      <x:c r="A5" s="444" t="str">
        <x:v>签核项</x:v>
      </x:c>
      <x:c r="B5" s="444" t="str">
        <x:v>Low</x:v>
      </x:c>
      <x:c r="C5" s="444" t="str">
        <x:v>Mid</x:v>
      </x:c>
      <x:c r="D5" s="444" t="str">
        <x:v>High</x:v>
      </x:c>
      <x:c r="E5" s="444" t="str">
        <x:v>单位</x:v>
      </x:c>
      <x:c r="F5" s="444" t="str">
        <x:v>状态</x:v>
      </x:c>
      <x:c r="G5" s="444" t="str">
        <x:v>证据/公式</x:v>
      </x:c>
      <x:c r="H5" s="444" t="str">
        <x:v>可以说</x:v>
      </x:c>
      <x:c r="I5" s="444" t="str">
        <x:v>不能说</x:v>
      </x:c>
      <x:c r="J5" s="444" t="str">
        <x:v>下一动作</x:v>
      </x:c>
      <x:c r="K5" s="444" t="str">
        <x:v>闸门</x:v>
      </x:c>
    </x:row>
    <x:row r="6" ht="54" customHeight="1">
      <x:c r="A6" s="19" t="str">
        <x:v>技术比较座位差</x:v>
      </x:c>
      <x:c r="B6" s="414" t="n">
        <x:v>0</x:v>
      </x:c>
      <x:c r="C6" s="414" t="n">
        <x:v>0</x:v>
      </x:c>
      <x:c r="D6" s="414" t="n">
        <x:v>0</x:v>
      </x:c>
      <x:c r="E6" s="19" t="str">
        <x:v>座</x:v>
      </x:c>
      <x:c r="F6" s="19" t="str">
        <x:v>LOCKED</x:v>
      </x:c>
      <x:c r="G6" s="19" t="str">
        <x:v>75_升顶证据</x:v>
      </x:c>
      <x:c r="H6" s="19" t="str">
        <x:v>五座对五座隔离升顶成本</x:v>
      </x:c>
      <x:c r="I6" s="19" t="str">
        <x:v>从七座一步比较</x:v>
      </x:c>
      <x:c r="J6" s="19" t="str">
        <x:v>保持</x:v>
      </x:c>
      <x:c r="K6" s="19" t="str">
        <x:v>PASS</x:v>
      </x:c>
    </x:row>
    <x:row r="7" ht="54" customHeight="1">
      <x:c r="A7" s="445" t="str">
        <x:v>高度净差</x:v>
      </x:c>
      <x:c r="B7" s="453" t="n">
        <x:v>100</x:v>
      </x:c>
      <x:c r="C7" s="453" t="n">
        <x:v>100</x:v>
      </x:c>
      <x:c r="D7" s="453" t="n">
        <x:v>100</x:v>
      </x:c>
      <x:c r="E7" s="445" t="str">
        <x:v>mm</x:v>
      </x:c>
      <x:c r="F7" s="445" t="str">
        <x:v>LOCKED</x:v>
      </x:c>
      <x:c r="G7" s="445" t="str">
        <x:v>75_升顶证据</x:v>
      </x:c>
      <x:c r="H7" s="445" t="str">
        <x:v>申报状态高度+100mm</x:v>
      </x:c>
      <x:c r="I7" s="445" t="str">
        <x:v>展开高度+100mm</x:v>
      </x:c>
      <x:c r="J7" s="445" t="str">
        <x:v>等待展开尺寸</x:v>
      </x:c>
      <x:c r="K7" s="445" t="str">
        <x:v>PASS</x:v>
      </x:c>
    </x:row>
    <x:row r="8" ht="54" customHeight="1">
      <x:c r="A8" s="19" t="str">
        <x:v>整备质量净差</x:v>
      </x:c>
      <x:c r="B8" s="414" t="n">
        <x:v>40</x:v>
      </x:c>
      <x:c r="C8" s="414" t="n">
        <x:v>40</x:v>
      </x:c>
      <x:c r="D8" s="414" t="n">
        <x:v>40</x:v>
      </x:c>
      <x:c r="E8" s="19" t="str">
        <x:v>kg</x:v>
      </x:c>
      <x:c r="F8" s="19" t="str">
        <x:v>LOCKED</x:v>
      </x:c>
      <x:c r="G8" s="19" t="str">
        <x:v>75_升顶证据</x:v>
      </x:c>
      <x:c r="H8" s="19" t="str">
        <x:v>净质量包络+40kg</x:v>
      </x:c>
      <x:c r="I8" s="19" t="str">
        <x:v>40kg全是机构材料</x:v>
      </x:c>
      <x:c r="J8" s="19" t="str">
        <x:v>质量只作校验</x:v>
      </x:c>
      <x:c r="K8" s="19" t="str">
        <x:v>PASS</x:v>
      </x:c>
    </x:row>
    <x:row r="9" ht="54" customHeight="1">
      <x:c r="A9" s="445" t="str">
        <x:v>特殊升顶物理BOM</x:v>
      </x:c>
      <x:c r="B9" s="453" t="n">
        <x:f>'79_工程情景汇总'!C6</x:f>
        <x:v>7500</x:v>
      </x:c>
      <x:c r="C9" s="453" t="n">
        <x:f>'79_工程情景汇总'!D6</x:f>
        <x:v>13950</x:v>
      </x:c>
      <x:c r="D9" s="453" t="n">
        <x:f>'79_工程情景汇总'!E6</x:f>
        <x:v>23900</x:v>
      </x:c>
      <x:c r="E9" s="445" t="str">
        <x:v>元</x:v>
      </x:c>
      <x:c r="F9" s="445" t="str">
        <x:v>SPECIAL_BOTTOM_UP</x:v>
      </x:c>
      <x:c r="G9" s="445" t="str">
        <x:v>79_工程情景汇总</x:v>
      </x:c>
      <x:c r="H9" s="445" t="str">
        <x:v>逐项成本区间</x:v>
      </x:c>
      <x:c r="I9" s="445" t="str">
        <x:v>真实采购价</x:v>
      </x:c>
      <x:c r="J9" s="445" t="str">
        <x:v>补供应商件价</x:v>
      </x:c>
      <x:c r="K9" s="445" t="str">
        <x:v>PROVISIONAL</x:v>
      </x:c>
    </x:row>
    <x:row r="10" ht="54" customHeight="1">
      <x:c r="A10" s="19" t="str">
        <x:v>普通生活设施物理BOM</x:v>
      </x:c>
      <x:c r="B10" s="414" t="n">
        <x:f>'79_工程情景汇总'!C7</x:f>
        <x:v>1200</x:v>
      </x:c>
      <x:c r="C10" s="414" t="n">
        <x:f>'79_工程情景汇总'!D7</x:f>
        <x:v>2250</x:v>
      </x:c>
      <x:c r="D10" s="414" t="n">
        <x:f>'79_工程情景汇总'!E7</x:f>
        <x:v>4000</x:v>
      </x:c>
      <x:c r="E10" s="19" t="str">
        <x:v>元</x:v>
      </x:c>
      <x:c r="F10" s="19" t="str">
        <x:v>ORDINARY_KAPPA</x:v>
      </x:c>
      <x:c r="G10" s="19" t="str">
        <x:v>79_工程情景汇总</x:v>
      </x:c>
      <x:c r="H10" s="19" t="str">
        <x:v>床板/边柜/接口普通硬件</x:v>
      </x:c>
      <x:c r="I10" s="19" t="str">
        <x:v>床垫/帐篷也包含</x:v>
      </x:c>
      <x:c r="J10" s="19" t="str">
        <x:v>等商品版本卡</x:v>
      </x:c>
      <x:c r="K10" s="19" t="str">
        <x:v>PROVISIONAL</x:v>
      </x:c>
    </x:row>
    <x:row r="11" ht="54" customHeight="1">
      <x:c r="A11" s="445" t="str">
        <x:v>被替代固定顶信用</x:v>
      </x:c>
      <x:c r="B11" s="453" t="n">
        <x:f>'79_工程情景汇总'!C8</x:f>
        <x:v>-1500</x:v>
      </x:c>
      <x:c r="C11" s="453" t="n">
        <x:f>'79_工程情景汇总'!D8</x:f>
        <x:v>-2500</x:v>
      </x:c>
      <x:c r="D11" s="453" t="n">
        <x:f>'79_工程情景汇总'!E8</x:f>
        <x:v>-4000</x:v>
      </x:c>
      <x:c r="E11" s="445" t="str">
        <x:v>元</x:v>
      </x:c>
      <x:c r="F11" s="445" t="str">
        <x:v>LOW_CONFIDENCE_CREDIT</x:v>
      </x:c>
      <x:c r="G11" s="445" t="str">
        <x:v>79_工程情景汇总</x:v>
      </x:c>
      <x:c r="H11" s="445" t="str">
        <x:v>防止新旧顶重复全计</x:v>
      </x:c>
      <x:c r="I11" s="445" t="str">
        <x:v>信用已被零件表证实</x:v>
      </x:c>
      <x:c r="J11" s="445" t="str">
        <x:v>补普通五座配置</x:v>
      </x:c>
      <x:c r="K11" s="445" t="str">
        <x:v>HOLD</x:v>
      </x:c>
    </x:row>
    <x:row r="12" ht="54" customHeight="1">
      <x:c r="A12" s="19" t="str">
        <x:v>可变增量成本</x:v>
      </x:c>
      <x:c r="B12" s="414" t="n">
        <x:f>'79_工程情景汇总'!C15</x:f>
        <x:v>7611</x:v>
      </x:c>
      <x:c r="C12" s="414" t="n">
        <x:f>'79_工程情景汇总'!D15</x:f>
        <x:v>15185.25</x:v>
      </x:c>
      <x:c r="D12" s="414" t="n">
        <x:f>'79_工程情景汇总'!E15</x:f>
        <x:v>28155</x:v>
      </x:c>
      <x:c r="E12" s="19" t="str">
        <x:v>元</x:v>
      </x:c>
      <x:c r="F12" s="19" t="str">
        <x:v>ENGINEERING_PROVISIONAL</x:v>
      </x:c>
      <x:c r="G12" s="19" t="str">
        <x:v>79_工程情景汇总</x:v>
      </x:c>
      <x:c r="H12" s="19" t="str">
        <x:v>不含NRE的成本底座</x:v>
      </x:c>
      <x:c r="I12" s="19" t="str">
        <x:v>最终零售价差</x:v>
      </x:c>
      <x:c r="J12" s="19" t="str">
        <x:v>补BOM/工艺</x:v>
      </x:c>
      <x:c r="K12" s="19" t="str">
        <x:v>PROVISIONAL</x:v>
      </x:c>
    </x:row>
    <x:row r="13" ht="54" customHeight="1">
      <x:c r="A13" s="445" t="str">
        <x:v>单车NRE摊销</x:v>
      </x:c>
      <x:c r="B13" s="453" t="n">
        <x:f>'79_工程情景汇总'!C16</x:f>
        <x:v>2000</x:v>
      </x:c>
      <x:c r="C13" s="453" t="n">
        <x:f>'79_工程情景汇总'!D16</x:f>
        <x:v>10625</x:v>
      </x:c>
      <x:c r="D13" s="453" t="n">
        <x:f>'79_工程情景汇总'!E16</x:f>
        <x:v>50000</x:v>
      </x:c>
      <x:c r="E13" s="445" t="str">
        <x:v>元</x:v>
      </x:c>
      <x:c r="F13" s="445" t="str">
        <x:v>SCENARIO</x:v>
      </x:c>
      <x:c r="G13" s="445" t="str">
        <x:v>78_固定成本摊销</x:v>
      </x:c>
      <x:c r="H13" s="445" t="str">
        <x:v>2000/10625/50000为情景</x:v>
      </x:c>
      <x:c r="I13" s="445" t="str">
        <x:v>销量或NRE预测</x:v>
      </x:c>
      <x:c r="J13" s="445" t="str">
        <x:v>补产量/开发证据</x:v>
      </x:c>
      <x:c r="K13" s="445" t="str">
        <x:v>PROVISIONAL</x:v>
      </x:c>
    </x:row>
    <x:row r="14" ht="54" customHeight="1">
      <x:c r="A14" s="19" t="str">
        <x:v>全成本增量</x:v>
      </x:c>
      <x:c r="B14" s="414" t="n">
        <x:f>'79_工程情景汇总'!C17</x:f>
        <x:v>9611</x:v>
      </x:c>
      <x:c r="C14" s="414" t="n">
        <x:f>'79_工程情景汇总'!D17</x:f>
        <x:v>25810.25</x:v>
      </x:c>
      <x:c r="D14" s="414" t="n">
        <x:f>'79_工程情景汇总'!E17</x:f>
        <x:v>78155</x:v>
      </x:c>
      <x:c r="E14" s="19" t="str">
        <x:v>元</x:v>
      </x:c>
      <x:c r="F14" s="19" t="str">
        <x:v>ENGINEERING_FULL_COST</x:v>
      </x:c>
      <x:c r="G14" s="19" t="str">
        <x:v>79_工程情景汇总</x:v>
      </x:c>
      <x:c r="H14" s="19" t="str">
        <x:v>可变成本+NRE</x:v>
      </x:c>
      <x:c r="I14" s="19" t="str">
        <x:v>等于售价增量</x:v>
      </x:c>
      <x:c r="J14" s="19" t="str">
        <x:v>综合合成</x:v>
      </x:c>
      <x:c r="K14" s="19" t="str">
        <x:v>PROVISIONAL</x:v>
      </x:c>
    </x:row>
    <x:row r="15" ht="54" customHeight="1">
      <x:c r="A15" s="445" t="str">
        <x:v>含税成本驱动技术增量</x:v>
      </x:c>
      <x:c r="B15" s="453" t="n">
        <x:f>'79_工程情景汇总'!C21</x:f>
        <x:v>10851.80476768656</x:v>
      </x:c>
      <x:c r="C15" s="453" t="n">
        <x:f>'79_工程情景汇总'!D21</x:f>
        <x:v>29145.95336069904</x:v>
      </x:c>
      <x:c r="D15" s="453" t="n">
        <x:f>'79_工程情景汇总'!E21</x:f>
        <x:v>88315.15</x:v>
      </x:c>
      <x:c r="E15" s="445" t="str">
        <x:v>元</x:v>
      </x:c>
      <x:c r="F15" s="445" t="str">
        <x:v>PRICE_COST_DRIVEN</x:v>
      </x:c>
      <x:c r="G15" s="445" t="str">
        <x:v>79_工程情景汇总</x:v>
      </x:c>
      <x:c r="H15" s="445" t="str">
        <x:v>五座对五座工程解释量</x:v>
      </x:c>
      <x:c r="I15" s="445" t="str">
        <x:v>官方价格区间</x:v>
      </x:c>
      <x:c r="J15" s="445" t="str">
        <x:v>进入最终综合定价</x:v>
      </x:c>
      <x:c r="K15" s="445" t="str">
        <x:v>READY_ENGINEERING</x:v>
      </x:c>
    </x:row>
    <x:row r="16" ht="54" customHeight="1">
      <x:c r="A16" s="19" t="str">
        <x:v>七座座椅信用</x:v>
      </x:c>
      <x:c r="B16" s="414" t="n">
        <x:f>'80_商业价格口径'!B10</x:f>
        <x:v>1622.2510841293843</x:v>
      </x:c>
      <x:c r="C16" s="414" t="n">
        <x:f>'80_商业价格口径'!C10</x:f>
        <x:v>2900.4397372892054</x:v>
      </x:c>
      <x:c r="D16" s="414" t="n">
        <x:f>'80_商业价格口径'!D10</x:f>
        <x:v>5241.501707856137</x:v>
      </x:c>
      <x:c r="E16" s="19" t="str">
        <x:v>元</x:v>
      </x:c>
      <x:c r="F16" s="19" t="str">
        <x:v>HOLD_SEAT_SENSITIVITY</x:v>
      </x:c>
      <x:c r="G16" s="19" t="str">
        <x:v>80_商业价格口径</x:v>
      </x:c>
      <x:c r="H16" s="19" t="str">
        <x:v>仅显示商业基线敏感性</x:v>
      </x:c>
      <x:c r="I16" s="19" t="str">
        <x:v>五座SKU已存在</x:v>
      </x:c>
      <x:c r="J16" s="19" t="str">
        <x:v>等五座商品证据</x:v>
      </x:c>
      <x:c r="K16" s="19" t="str">
        <x:v>HOLD</x:v>
      </x:c>
    </x:row>
    <x:row r="17" ht="54" customHeight="1">
      <x:c r="A17" s="445" t="str">
        <x:v>算术锚定价：不扣座椅</x:v>
      </x:c>
      <x:c r="B17" s="453" t="n">
        <x:f>'80_商业价格口径'!B11</x:f>
        <x:v>310751.8047676866</x:v>
      </x:c>
      <x:c r="C17" s="453" t="n">
        <x:f>'80_商业价格口径'!C11</x:f>
        <x:v>329045.95336069906</x:v>
      </x:c>
      <x:c r="D17" s="453" t="n">
        <x:f>'80_商业价格口径'!D11</x:f>
        <x:v>388215.15</x:v>
      </x:c>
      <x:c r="E17" s="445" t="str">
        <x:v>元</x:v>
      </x:c>
      <x:c r="F17" s="445" t="str">
        <x:v>PROVISIONAL_ARITHMETIC</x:v>
      </x:c>
      <x:c r="G17" s="445" t="str">
        <x:v>80_商业价格口径</x:v>
      </x:c>
      <x:c r="H17" s="445" t="str">
        <x:v>预售锚+工程增量</x:v>
      </x:c>
      <x:c r="I17" s="445" t="str">
        <x:v>正式升顶售价</x:v>
      </x:c>
      <x:c r="J17" s="445" t="str">
        <x:v>综合价格定位</x:v>
      </x:c>
      <x:c r="K17" s="445" t="str">
        <x:v>BLOCKED_FORMAL_PRICE</x:v>
      </x:c>
    </x:row>
    <x:row r="18" ht="54" customHeight="1">
      <x:c r="A18" s="19" t="str">
        <x:v>算术锚定价：扣座椅敏感性</x:v>
      </x:c>
      <x:c r="B18" s="414" t="n">
        <x:f>'80_商业价格口径'!B12</x:f>
        <x:v>309129.5536835572</x:v>
      </x:c>
      <x:c r="C18" s="414" t="n">
        <x:f>'80_商业价格口径'!C12</x:f>
        <x:v>326145.51362340985</x:v>
      </x:c>
      <x:c r="D18" s="414" t="n">
        <x:f>'80_商业价格口径'!D12</x:f>
        <x:v>382973.6482921439</x:v>
      </x:c>
      <x:c r="E18" s="19" t="str">
        <x:v>元</x:v>
      </x:c>
      <x:c r="F18" s="19" t="str">
        <x:v>PROVISIONAL_ARITHMETIC</x:v>
      </x:c>
      <x:c r="G18" s="19" t="str">
        <x:v>80_商业价格口径</x:v>
      </x:c>
      <x:c r="H18" s="19" t="str">
        <x:v>辅助敏感性</x:v>
      </x:c>
      <x:c r="I18" s="19" t="str">
        <x:v>已证实商业桥</x:v>
      </x:c>
      <x:c r="J18" s="19" t="str">
        <x:v>等普通五座SKU</x:v>
      </x:c>
      <x:c r="K18" s="19" t="str">
        <x:v>BLOCKED_FORMAL_PRICE</x:v>
      </x:c>
    </x:row>
    <x:row r="19" ht="54" customHeight="1">
      <x:c r="A19" s="445" t="str">
        <x:v>投影/桌板/床垫/完整车边帐</x:v>
      </x:c>
      <x:c r="B19" s="453" t="n">
        <x:v>0</x:v>
      </x:c>
      <x:c r="C19" s="453" t="n">
        <x:v>0</x:v>
      </x:c>
      <x:c r="D19" s="453" t="n">
        <x:v>0</x:v>
      </x:c>
      <x:c r="E19" s="445" t="str">
        <x:v>元</x:v>
      </x:c>
      <x:c r="F19" s="445" t="str">
        <x:v>EXCLUDED</x:v>
      </x:c>
      <x:c r="G19" s="445" t="str">
        <x:v>74/77</x:v>
      </x:c>
      <x:c r="H19" s="445" t="str">
        <x:v>未进入基础BOM</x:v>
      </x:c>
      <x:c r="I19" s="445" t="str">
        <x:v>准入允许=标配</x:v>
      </x:c>
      <x:c r="J19" s="445" t="str">
        <x:v>等App配置/附件价格</x:v>
      </x:c>
      <x:c r="K19" s="445" t="str">
        <x:v>PASS</x:v>
      </x:c>
    </x:row>
    <x:row r="20" ht="54" customHeight="1">
      <x:c r="A20" s="19" t="str">
        <x:v>正式指导价桥</x:v>
      </x:c>
      <x:c r="B20" s="414" t="n">
        <x:v>0</x:v>
      </x:c>
      <x:c r="C20" s="414" t="n">
        <x:v>0</x:v>
      </x:c>
      <x:c r="D20" s="414" t="n">
        <x:v>0</x:v>
      </x:c>
      <x:c r="E20" s="19" t="str">
        <x:v>0/1</x:v>
      </x:c>
      <x:c r="F20" s="19" t="str">
        <x:v>BLOCKED_APP_SKU_AND_FORMAL_PRICE</x:v>
      </x:c>
      <x:c r="G20" s="19" t="str">
        <x:v>80_商业价格口径</x:v>
      </x:c>
      <x:c r="H20" s="19" t="str">
        <x:v>继续关闭</x:v>
      </x:c>
      <x:c r="I20" s="19" t="str">
        <x:v>本阶段已得到正式价格</x:v>
      </x:c>
      <x:c r="J20" s="19" t="str">
        <x:v>发布后重开</x:v>
      </x:c>
      <x:c r="K20" s="19" t="str">
        <x:v>BLOCKED</x:v>
      </x:c>
    </x:row>
    <x:row r="21" ht="54" customHeight="1">
      <x:c r="A21" s="445" t="str">
        <x:v>Phase 3.2C</x:v>
      </x:c>
      <x:c r="B21" s="445" t="n">
        <x:v>1</x:v>
      </x:c>
      <x:c r="C21" s="445" t="n">
        <x:v>1</x:v>
      </x:c>
      <x:c r="D21" s="445" t="n">
        <x:v>1</x:v>
      </x:c>
      <x:c r="E21" s="445" t="str">
        <x:v>状态</x:v>
      </x:c>
      <x:c r="F21" s="445" t="str">
        <x:v>READY_ENGINEERING_SPECIAL_VERSION</x:v>
      </x:c>
      <x:c r="G21" s="445" t="str">
        <x:v>83_3.2C校验</x:v>
      </x:c>
      <x:c r="H21" s="445" t="str">
        <x:v>可进入全系综合合成</x:v>
      </x:c>
      <x:c r="I21" s="445" t="str">
        <x:v>全系最终结论已完成</x:v>
      </x:c>
      <x:c r="J21" s="445" t="str">
        <x:v>下一阶段综合定价</x:v>
      </x:c>
      <x:c r="K21" s="445" t="str">
        <x:v>READY</x:v>
      </x:c>
    </x:row>
    <x:row r="23" ht="24" customHeight="1">
      <x:c r="A23" s="448" t="str">
        <x:v>距全系售价与配置结论</x:v>
      </x:c>
      <x:c r="B23" s="448"/>
      <x:c r="C23" s="448"/>
      <x:c r="D23" s="448"/>
      <x:c r="E23" s="448"/>
      <x:c r="F23" s="448"/>
      <x:c r="G23" s="448"/>
      <x:c r="H23" s="448"/>
      <x:c r="I23" s="448"/>
      <x:c r="J23" s="448"/>
      <x:c r="K23" s="448"/>
    </x:row>
    <x:row r="24" ht="50" customHeight="1">
      <x:c r="A24" s="19" t="str">
        <x:v>待综合</x:v>
      </x:c>
      <x:c r="B24" s="19" t="str">
        <x:v>B1：N70低阶候选仍无商品节点；最终阶段只给条件式候选价与触发条件</x:v>
      </x:c>
      <x:c r="C24" s="19" t="str">
        <x:v>PENDING_CONDITIONAL_SYNTHESIS</x:v>
      </x:c>
      <x:c r="D24" s="19" t="str"/>
      <x:c r="E24" s="19" t="str"/>
      <x:c r="F24" s="19" t="str"/>
      <x:c r="G24" s="19" t="str"/>
      <x:c r="H24" s="19" t="str"/>
      <x:c r="I24" s="19" t="str"/>
      <x:c r="J24" s="19" t="str"/>
      <x:c r="K24" s="19" t="str"/>
    </x:row>
    <x:row r="25" ht="50" customHeight="1">
      <x:c r="A25" s="445" t="str">
        <x:v>已完成</x:v>
      </x:c>
      <x:c r="B25" s="445" t="str">
        <x:v>B2：N70 Max→N90 Max跨车身成本桥</x:v>
      </x:c>
      <x:c r="C25" s="445" t="str">
        <x:v>READY</x:v>
      </x:c>
      <x:c r="D25" s="445" t="str"/>
      <x:c r="E25" s="445" t="str"/>
      <x:c r="F25" s="445" t="str"/>
      <x:c r="G25" s="445" t="str"/>
      <x:c r="H25" s="445" t="str"/>
      <x:c r="I25" s="445" t="str"/>
      <x:c r="J25" s="445" t="str"/>
      <x:c r="K25" s="445" t="str"/>
    </x:row>
    <x:row r="26" ht="50" customHeight="1">
      <x:c r="A26" s="19" t="str">
        <x:v>已完成</x:v>
      </x:c>
      <x:c r="B26" s="19" t="str">
        <x:v>B3：普通N90五座→升顶五座特殊版本成本桥</x:v>
      </x:c>
      <x:c r="C26" s="19" t="str">
        <x:v>READY_ENGINEERING</x:v>
      </x:c>
      <x:c r="D26" s="19" t="str"/>
      <x:c r="E26" s="19" t="str"/>
      <x:c r="F26" s="19" t="str"/>
      <x:c r="G26" s="19" t="str"/>
      <x:c r="H26" s="19" t="str"/>
      <x:c r="I26" s="19" t="str"/>
      <x:c r="J26" s="19" t="str"/>
      <x:c r="K26" s="19" t="str"/>
    </x:row>
    <x:row r="27" ht="50" customHeight="1">
      <x:c r="A27" s="445" t="str">
        <x:v>下一步</x:v>
      </x:c>
      <x:c r="B27" s="445" t="str">
        <x:v>合并B1/B2/B3、预售价节点、价格心理位与配置边界，形成全系点估计+区间+配置表</x:v>
      </x:c>
      <x:c r="C27" s="445" t="str">
        <x:v>PENDING_FINAL_SYNTHESIS</x:v>
      </x:c>
      <x:c r="D27" s="445" t="str"/>
      <x:c r="E27" s="445" t="str"/>
      <x:c r="F27" s="445" t="str"/>
      <x:c r="G27" s="445" t="str"/>
      <x:c r="H27" s="445" t="str"/>
      <x:c r="I27" s="445" t="str"/>
      <x:c r="J27" s="445" t="str"/>
      <x:c r="K27" s="445" t="str"/>
    </x:row>
    <x:row r="28" ht="50" customHeight="1">
      <x:c r="A28" s="19" t="str">
        <x:v>当前距离</x:v>
      </x:c>
      <x:c r="B28" s="19" t="str">
        <x:v>剩余1个综合阶段；不再缺技术桥，只缺最终合成与明确不确定性分层</x:v>
      </x:c>
      <x:c r="C28" s="19" t="str">
        <x:v>NEAR_FINAL</x:v>
      </x:c>
      <x:c r="D28" s="19" t="str"/>
      <x:c r="E28" s="19" t="str"/>
      <x:c r="F28" s="19" t="str"/>
      <x:c r="G28" s="19" t="str"/>
      <x:c r="H28" s="19" t="str"/>
      <x:c r="I28" s="19" t="str"/>
      <x:c r="J28" s="19" t="str"/>
      <x:c r="K28" s="19" t="str"/>
    </x:row>
  </x:sheetData>
  <x:mergeCells>
    <x:mergeCell ref="A1:K1"/>
    <x:mergeCell ref="A2:K2"/>
    <x:mergeCell ref="A3:K3"/>
    <x:mergeCell ref="A23:K23"/>
    <x:mergeCell ref="B24:K24"/>
    <x:mergeCell ref="B25:K25"/>
    <x:mergeCell ref="B26:K26"/>
    <x:mergeCell ref="B27:K27"/>
    <x:mergeCell ref="B28:K28"/>
  </x:mergeCells>
  <x:conditionalFormatting sqref="F6:K21">
    <x:cfRule type="containsText" dxfId="1676" priority="1" operator="containsText" text="PASS"/>
    <x:cfRule type="containsText" dxfId="1677" priority="2" operator="containsText" text="READY"/>
    <x:cfRule type="containsText" dxfId="1678" priority="3" operator="containsText" text="TRUE"/>
    <x:cfRule type="containsText" dxfId="1679" priority="4" operator="containsText" text="LOCKED"/>
    <x:cfRule type="containsText" dxfId="1680" priority="5" operator="containsText" text="MATCH"/>
    <x:cfRule type="containsText" dxfId="1681" priority="6" operator="containsText" text="CORE"/>
    <x:cfRule type="containsText" dxfId="1682" priority="7" operator="containsText" text="PROVISIONAL"/>
    <x:cfRule type="containsText" dxfId="1683" priority="8" operator="containsText" text="SCENARIO"/>
    <x:cfRule type="containsText" dxfId="1684" priority="9" operator="containsText" text="HOLD"/>
    <x:cfRule type="containsText" dxfId="1685" priority="10" operator="containsText" text="NOT_COMMERCIALIZED"/>
    <x:cfRule type="containsText" dxfId="1686" priority="11" operator="containsText" text="BLOCKED"/>
    <x:cfRule type="containsText" dxfId="1687" priority="12" operator="containsText" text="FAIL"/>
    <x:cfRule type="containsText" dxfId="1688" priority="13" operator="containsText" text="FALSE"/>
    <x:cfRule type="containsText" dxfId="1689" priority="14" operator="containsText" text="EXCLUDED"/>
    <x:cfRule type="containsText" dxfId="1690" priority="15" operator="containsText" text="OPTION"/>
    <x:cfRule type="containsText" dxfId="1691" priority="16" operator="containsText" text="SPECIAL"/>
    <x:cfRule type="containsText" dxfId="1692" priority="17" operator="containsText" text="ORDINARY"/>
  </x:conditionalFormatting>
  <x:conditionalFormatting sqref="A24:C28">
    <x:cfRule type="containsText" dxfId="1693" priority="18" operator="containsText" text="PASS"/>
    <x:cfRule type="containsText" dxfId="1694" priority="19" operator="containsText" text="READY"/>
    <x:cfRule type="containsText" dxfId="1695" priority="20" operator="containsText" text="TRUE"/>
    <x:cfRule type="containsText" dxfId="1696" priority="21" operator="containsText" text="LOCKED"/>
    <x:cfRule type="containsText" dxfId="1697" priority="22" operator="containsText" text="MATCH"/>
    <x:cfRule type="containsText" dxfId="1698" priority="23" operator="containsText" text="CORE"/>
    <x:cfRule type="containsText" dxfId="1699" priority="24" operator="containsText" text="PROVISIONAL"/>
    <x:cfRule type="containsText" dxfId="1700" priority="25" operator="containsText" text="SCENARIO"/>
    <x:cfRule type="containsText" dxfId="1701" priority="26" operator="containsText" text="HOLD"/>
    <x:cfRule type="containsText" dxfId="1702" priority="27" operator="containsText" text="NOT_COMMERCIALIZED"/>
    <x:cfRule type="containsText" dxfId="1703" priority="28" operator="containsText" text="BLOCKED"/>
    <x:cfRule type="containsText" dxfId="1704" priority="29" operator="containsText" text="FAIL"/>
    <x:cfRule type="containsText" dxfId="1705" priority="30" operator="containsText" text="FALSE"/>
    <x:cfRule type="containsText" dxfId="1706" priority="31" operator="containsText" text="EXCLUDED"/>
    <x:cfRule type="containsText" dxfId="1707" priority="32" operator="containsText" text="OPTION"/>
    <x:cfRule type="containsText" dxfId="1708" priority="33" operator="containsText" text="SPECIAL"/>
    <x:cfRule type="containsText" dxfId="1709" priority="34" operator="containsText" text="ORDINARY"/>
  </x:conditionalFormatting>
  <x:pageMargins left="0.7" right="0.7" top="0.75" bottom="0.75" header="0.3" footer="0.3"/>
</x:worksheet>
</file>

<file path=xl/worksheets/sheet8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8" hidden="0" customWidth="1"/>
    <x:col min="3" max="3" width="52" hidden="0" customWidth="1"/>
    <x:col min="4" max="4" width="20" hidden="0" customWidth="1"/>
    <x:col min="5" max="5" width="22" hidden="0" customWidth="1"/>
    <x:col min="6" max="6" width="14" hidden="0" customWidth="1"/>
    <x:col min="7" max="7" width="14" hidden="0" customWidth="1"/>
    <x:col min="8" max="8" width="48" hidden="0" customWidth="1"/>
  </x:cols>
  <x:sheetData>
    <x:row r="1" ht="30" customHeight="1">
      <x:c r="A1" s="432" t="str">
        <x:v>83｜Phase 3.2C机器校验与财务模型审计</x:v>
      </x:c>
      <x:c r="B1" s="432"/>
      <x:c r="C1" s="432"/>
      <x:c r="D1" s="432"/>
      <x:c r="E1" s="432"/>
      <x:c r="F1" s="432"/>
      <x:c r="G1" s="432"/>
      <x:c r="H1" s="432"/>
    </x:row>
    <x:row r="2" ht="22" customHeight="1">
      <x:c r="A2" s="435" t="str">
        <x:v>监管可比口径 + BOM防重 + 质量回勾 + NRE摊销 + κ分流 + VAT末端 + 商业闸门</x:v>
      </x:c>
      <x:c r="B2" s="435"/>
      <x:c r="C2" s="435"/>
      <x:c r="D2" s="435"/>
      <x:c r="E2" s="435"/>
      <x:c r="F2" s="435"/>
      <x:c r="G2" s="435"/>
      <x:c r="H2" s="435"/>
    </x:row>
    <x:row r="3" ht="68" customHeight="1">
      <x:c r="A3" s="439" t="str">
        <x:v>验收必须同时满足：五座对五座；净质量40kg；特殊项不乘κ；固定顶信用只计一次；M09被明示EOL替代；NRE/销量独立；成本公式不引用299900；正式价格桥保持关闭。</x:v>
      </x:c>
      <x:c r="B3" s="439"/>
      <x:c r="C3" s="439"/>
      <x:c r="D3" s="439"/>
      <x:c r="E3" s="439"/>
      <x:c r="F3" s="439"/>
      <x:c r="G3" s="439"/>
      <x:c r="H3" s="439"/>
    </x:row>
    <x:row r="5" ht="54" customHeight="1">
      <x:c r="A5" s="444" t="str">
        <x:v>check_id</x:v>
      </x:c>
      <x:c r="B5" s="444" t="str">
        <x:v>类别</x:v>
      </x:c>
      <x:c r="C5" s="444" t="str">
        <x:v>断言</x:v>
      </x:c>
      <x:c r="D5" s="444" t="str">
        <x:v>Expected</x:v>
      </x:c>
      <x:c r="E5" s="444" t="str">
        <x:v>Actual</x:v>
      </x:c>
      <x:c r="F5" s="444" t="str">
        <x:v>Result</x:v>
      </x:c>
      <x:c r="G5" s="444" t="str">
        <x:v>Severity</x:v>
      </x:c>
      <x:c r="H5" s="444" t="str">
        <x:v>说明</x:v>
      </x:c>
    </x:row>
    <x:row r="6" ht="38" customHeight="1">
      <x:c r="A6" s="19" t="str">
        <x:v>C32C-01</x:v>
      </x:c>
      <x:c r="B6" s="19" t="str">
        <x:v>IDENTITY</x:v>
      </x:c>
      <x:c r="C6" s="19" t="str">
        <x:v>普通与升顶技术桥座位差0</x:v>
      </x:c>
      <x:c r="D6" s="19" t="n">
        <x:v>0</x:v>
      </x:c>
      <x:c r="E6" s="19" t="n">
        <x:f>'75_升顶证据'!D11</x:f>
        <x:v>0</x:v>
      </x:c>
      <x:c r="F6" s="19" t="str">
        <x:f>IF(ABS(D6-E6)&lt;0.0001,"PASS","FAIL")</x:f>
        <x:v>PASS</x:v>
      </x:c>
      <x:c r="G6" s="19" t="str">
        <x:v>ERROR</x:v>
      </x:c>
      <x:c r="H6" s="19" t="str"/>
    </x:row>
    <x:row r="7" ht="38" customHeight="1">
      <x:c r="A7" s="445" t="str">
        <x:v>C32C-02</x:v>
      </x:c>
      <x:c r="B7" s="445" t="str">
        <x:v>IDENTITY</x:v>
      </x:c>
      <x:c r="C7" s="445" t="str">
        <x:v>申报高度差100mm</x:v>
      </x:c>
      <x:c r="D7" s="445" t="n">
        <x:v>100</x:v>
      </x:c>
      <x:c r="E7" s="445" t="n">
        <x:f>'75_升顶证据'!D9</x:f>
        <x:v>100</x:v>
      </x:c>
      <x:c r="F7" s="445" t="str">
        <x:f>IF(ABS(D7-E7)&lt;0.0001,"PASS","FAIL")</x:f>
        <x:v>PASS</x:v>
      </x:c>
      <x:c r="G7" s="445" t="str">
        <x:v>ERROR</x:v>
      </x:c>
      <x:c r="H7" s="445" t="str"/>
    </x:row>
    <x:row r="8" ht="38" customHeight="1">
      <x:c r="A8" s="19" t="str">
        <x:v>C32C-03</x:v>
      </x:c>
      <x:c r="B8" s="19" t="str">
        <x:v>IDENTITY</x:v>
      </x:c>
      <x:c r="C8" s="19" t="str">
        <x:v>整备质量差40kg</x:v>
      </x:c>
      <x:c r="D8" s="19" t="n">
        <x:v>40</x:v>
      </x:c>
      <x:c r="E8" s="19" t="n">
        <x:f>'75_升顶证据'!D12</x:f>
        <x:v>40</x:v>
      </x:c>
      <x:c r="F8" s="19" t="str">
        <x:f>IF(ABS(D8-E8)&lt;0.0001,"PASS","FAIL")</x:f>
        <x:v>PASS</x:v>
      </x:c>
      <x:c r="G8" s="19" t="str">
        <x:v>ERROR</x:v>
      </x:c>
      <x:c r="H8" s="19" t="str"/>
    </x:row>
    <x:row r="9" ht="38" customHeight="1">
      <x:c r="A9" s="445" t="str">
        <x:v>C32C-04</x:v>
      </x:c>
      <x:c r="B9" s="445" t="str">
        <x:v>IDENTITY</x:v>
      </x:c>
      <x:c r="C9" s="445" t="str">
        <x:v>总质量差40kg</x:v>
      </x:c>
      <x:c r="D9" s="445" t="n">
        <x:v>40</x:v>
      </x:c>
      <x:c r="E9" s="445" t="n">
        <x:f>'75_升顶证据'!D13</x:f>
        <x:v>40</x:v>
      </x:c>
      <x:c r="F9" s="445" t="str">
        <x:f>IF(ABS(D9-E9)&lt;0.0001,"PASS","FAIL")</x:f>
        <x:v>PASS</x:v>
      </x:c>
      <x:c r="G9" s="445" t="str">
        <x:v>ERROR</x:v>
      </x:c>
      <x:c r="H9" s="445" t="str"/>
    </x:row>
    <x:row r="10" ht="38" customHeight="1">
      <x:c r="A10" s="19" t="str">
        <x:v>C32C-05</x:v>
      </x:c>
      <x:c r="B10" s="19" t="str">
        <x:v>IDENTITY</x:v>
      </x:c>
      <x:c r="C10" s="19" t="str">
        <x:v>共同长宽轴距差合计0</x:v>
      </x:c>
      <x:c r="D10" s="19" t="n">
        <x:v>0</x:v>
      </x:c>
      <x:c r="E10" s="19" t="n">
        <x:f>'75_升顶证据'!D7+'75_升顶证据'!D8+'75_升顶证据'!D10</x:f>
        <x:v>0</x:v>
      </x:c>
      <x:c r="F10" s="19" t="str">
        <x:f>IF(ABS(D10-E10)&lt;0.0001,"PASS","FAIL")</x:f>
        <x:v>PASS</x:v>
      </x:c>
      <x:c r="G10" s="19" t="str">
        <x:v>ERROR</x:v>
      </x:c>
      <x:c r="H10" s="19" t="str"/>
    </x:row>
    <x:row r="11" ht="38" customHeight="1">
      <x:c r="A11" s="445" t="str">
        <x:v>C32C-06</x:v>
      </x:c>
      <x:c r="B11" s="445" t="str">
        <x:v>BOM</x:v>
      </x:c>
      <x:c r="C11" s="445" t="str">
        <x:v>成本行13条</x:v>
      </x:c>
      <x:c r="D11" s="445" t="n">
        <x:v>13</x:v>
      </x:c>
      <x:c r="E11" s="445" t="n">
        <x:f>COUNTA('77_升顶增量BOM'!A6:A18)</x:f>
        <x:v>13</x:v>
      </x:c>
      <x:c r="F11" s="445" t="str">
        <x:f>IF(ABS(D11-E11)&lt;0.0001,"PASS","FAIL")</x:f>
        <x:v>PASS</x:v>
      </x:c>
      <x:c r="G11" s="445" t="str">
        <x:v>ERROR</x:v>
      </x:c>
      <x:c r="H11" s="445" t="str"/>
    </x:row>
    <x:row r="12" ht="38" customHeight="1">
      <x:c r="A12" s="19" t="str">
        <x:v>C32C-07</x:v>
      </x:c>
      <x:c r="B12" s="19" t="str">
        <x:v>BOM</x:v>
      </x:c>
      <x:c r="C12" s="19" t="str">
        <x:v>特殊升顶硬件8条</x:v>
      </x:c>
      <x:c r="D12" s="19" t="n">
        <x:v>8</x:v>
      </x:c>
      <x:c r="E12" s="19" t="n">
        <x:f>COUNTIF('77_升顶增量BOM'!B6:B18,"SPECIAL_ROOF")</x:f>
        <x:v>8</x:v>
      </x:c>
      <x:c r="F12" s="19" t="str">
        <x:f>IF(ABS(D12-E12)&lt;0.0001,"PASS","FAIL")</x:f>
        <x:v>PASS</x:v>
      </x:c>
      <x:c r="G12" s="19" t="str">
        <x:v>ERROR</x:v>
      </x:c>
      <x:c r="H12" s="19" t="str"/>
    </x:row>
    <x:row r="13" ht="38" customHeight="1">
      <x:c r="A13" s="445" t="str">
        <x:v>C32C-08</x:v>
      </x:c>
      <x:c r="B13" s="445" t="str">
        <x:v>BOM</x:v>
      </x:c>
      <x:c r="C13" s="445" t="str">
        <x:v>普通生活设施3条</x:v>
      </x:c>
      <x:c r="D13" s="445" t="n">
        <x:v>3</x:v>
      </x:c>
      <x:c r="E13" s="445" t="n">
        <x:f>COUNTIF('77_升顶增量BOM'!B6:B18,"ORDINARY_LIFESTYLE")</x:f>
        <x:v>3</x:v>
      </x:c>
      <x:c r="F13" s="445" t="str">
        <x:f>IF(ABS(D13-E13)&lt;0.0001,"PASS","FAIL")</x:f>
        <x:v>PASS</x:v>
      </x:c>
      <x:c r="G13" s="445" t="str">
        <x:v>ERROR</x:v>
      </x:c>
      <x:c r="H13" s="445" t="str"/>
    </x:row>
    <x:row r="14" ht="38" customHeight="1">
      <x:c r="A14" s="19" t="str">
        <x:v>C32C-09</x:v>
      </x:c>
      <x:c r="B14" s="19" t="str">
        <x:v>BOM</x:v>
      </x:c>
      <x:c r="C14" s="19" t="str">
        <x:v>固定顶信用1条</x:v>
      </x:c>
      <x:c r="D14" s="19" t="n">
        <x:v>1</x:v>
      </x:c>
      <x:c r="E14" s="19" t="n">
        <x:f>COUNTIF('77_升顶增量BOM'!B6:B18,"BASELINE_CREDIT")</x:f>
        <x:v>1</x:v>
      </x:c>
      <x:c r="F14" s="19" t="str">
        <x:f>IF(ABS(D14-E14)&lt;0.0001,"PASS","FAIL")</x:f>
        <x:v>PASS</x:v>
      </x:c>
      <x:c r="G14" s="19" t="str">
        <x:v>ERROR</x:v>
      </x:c>
      <x:c r="H14" s="19" t="str"/>
    </x:row>
    <x:row r="15" ht="38" customHeight="1">
      <x:c r="A15" s="445" t="str">
        <x:v>C32C-10</x:v>
      </x:c>
      <x:c r="B15" s="445" t="str">
        <x:v>BOM</x:v>
      </x:c>
      <x:c r="C15" s="445" t="str">
        <x:v>明示EOL工序1条</x:v>
      </x:c>
      <x:c r="D15" s="445" t="n">
        <x:v>1</x:v>
      </x:c>
      <x:c r="E15" s="445" t="n">
        <x:f>COUNTIF('77_升顶增量BOM'!B6:B18,"SPECIAL_PROCESS")</x:f>
        <x:v>1</x:v>
      </x:c>
      <x:c r="F15" s="445" t="str">
        <x:f>IF(ABS(D15-E15)&lt;0.0001,"PASS","FAIL")</x:f>
        <x:v>PASS</x:v>
      </x:c>
      <x:c r="G15" s="445" t="str">
        <x:v>ERROR</x:v>
      </x:c>
      <x:c r="H15" s="445" t="str"/>
    </x:row>
    <x:row r="16" ht="38" customHeight="1">
      <x:c r="A16" s="19" t="str">
        <x:v>C32C-11</x:v>
      </x:c>
      <x:c r="B16" s="19" t="str">
        <x:v>BOM</x:v>
      </x:c>
      <x:c r="C16" s="19" t="str">
        <x:v>κ资格4条</x:v>
      </x:c>
      <x:c r="D16" s="19" t="n">
        <x:v>4</x:v>
      </x:c>
      <x:c r="E16" s="19" t="n">
        <x:f>COUNTIF('77_升顶增量BOM'!J6:J18,"YES")</x:f>
        <x:v>4</x:v>
      </x:c>
      <x:c r="F16" s="19" t="str">
        <x:f>IF(ABS(D16-E16)&lt;0.0001,"PASS","FAIL")</x:f>
        <x:v>PASS</x:v>
      </x:c>
      <x:c r="G16" s="19" t="str">
        <x:v>ERROR</x:v>
      </x:c>
      <x:c r="H16" s="19" t="str"/>
    </x:row>
    <x:row r="17" ht="38" customHeight="1">
      <x:c r="A17" s="445" t="str">
        <x:v>C32C-12</x:v>
      </x:c>
      <x:c r="B17" s="445" t="str">
        <x:v>BOM</x:v>
      </x:c>
      <x:c r="C17" s="445" t="str">
        <x:v>特殊质保风险基数5条</x:v>
      </x:c>
      <x:c r="D17" s="445" t="n">
        <x:v>5</x:v>
      </x:c>
      <x:c r="E17" s="445" t="n">
        <x:f>COUNTIF('77_升顶增量BOM'!K6:K18,"YES")</x:f>
        <x:v>5</x:v>
      </x:c>
      <x:c r="F17" s="445" t="str">
        <x:f>IF(ABS(D17-E17)&lt;0.0001,"PASS","FAIL")</x:f>
        <x:v>PASS</x:v>
      </x:c>
      <x:c r="G17" s="445" t="str">
        <x:v>ERROR</x:v>
      </x:c>
      <x:c r="H17" s="445" t="str"/>
    </x:row>
    <x:row r="18" ht="38" customHeight="1">
      <x:c r="A18" s="19" t="str">
        <x:v>C32C-13</x:v>
      </x:c>
      <x:c r="B18" s="19" t="str">
        <x:v>BOM</x:v>
      </x:c>
      <x:c r="C18" s="19" t="str">
        <x:v>price_derived_flag为YES的行0</x:v>
      </x:c>
      <x:c r="D18" s="19" t="n">
        <x:v>0</x:v>
      </x:c>
      <x:c r="E18" s="19" t="n">
        <x:f>COUNTIF('77_升顶增量BOM'!I6:I18,"YES")</x:f>
        <x:v>0</x:v>
      </x:c>
      <x:c r="F18" s="19" t="str">
        <x:f>IF(ABS(D18-E18)&lt;0.0001,"PASS","FAIL")</x:f>
        <x:v>PASS</x:v>
      </x:c>
      <x:c r="G18" s="19" t="str">
        <x:v>ERROR</x:v>
      </x:c>
      <x:c r="H18" s="19" t="str"/>
    </x:row>
    <x:row r="19" ht="38" customHeight="1">
      <x:c r="A19" s="445" t="str">
        <x:v>C32C-14</x:v>
      </x:c>
      <x:c r="B19" s="445" t="str">
        <x:v>BOM</x:v>
      </x:c>
      <x:c r="C19" s="445" t="str">
        <x:v>double_count_key最大重复数1</x:v>
      </x:c>
      <x:c r="D19" s="445" t="n">
        <x:v>1</x:v>
      </x:c>
      <x:c r="E19" s="445" t="n">
        <x:f>MAX('77_升顶增量BOM'!V6:V18)</x:f>
        <x:v>1</x:v>
      </x:c>
      <x:c r="F19" s="445" t="str">
        <x:f>IF(ABS(D19-E19)&lt;0.0001,"PASS","FAIL")</x:f>
        <x:v>PASS</x:v>
      </x:c>
      <x:c r="G19" s="445" t="str">
        <x:v>ERROR</x:v>
      </x:c>
      <x:c r="H19" s="445" t="str"/>
    </x:row>
    <x:row r="20" ht="38" customHeight="1">
      <x:c r="A20" s="19" t="str">
        <x:v>C32C-15</x:v>
      </x:c>
      <x:c r="B20" s="19" t="str">
        <x:v>BOM</x:v>
      </x:c>
      <x:c r="C20" s="19" t="str">
        <x:v>成本情景顺序错误0</x:v>
      </x:c>
      <x:c r="D20" s="19" t="n">
        <x:v>0</x:v>
      </x:c>
      <x:c r="E20" s="19" t="n">
        <x:f>SUM('77_升顶增量BOM'!W6:W18)</x:f>
        <x:v>0</x:v>
      </x:c>
      <x:c r="F20" s="19" t="str">
        <x:f>IF(ABS(D20-E20)&lt;0.0001,"PASS","FAIL")</x:f>
        <x:v>PASS</x:v>
      </x:c>
      <x:c r="G20" s="19" t="str">
        <x:v>ERROR</x:v>
      </x:c>
      <x:c r="H20" s="19" t="str"/>
    </x:row>
    <x:row r="21" ht="38" customHeight="1">
      <x:c r="A21" s="445" t="str">
        <x:v>C32C-16</x:v>
      </x:c>
      <x:c r="B21" s="445" t="str">
        <x:v>BOM</x:v>
      </x:c>
      <x:c r="C21" s="445" t="str">
        <x:v>BOM质量净增40kg</x:v>
      </x:c>
      <x:c r="D21" s="445" t="n">
        <x:v>40</x:v>
      </x:c>
      <x:c r="E21" s="445" t="n">
        <x:f>SUM('77_升顶增量BOM'!S6:S18)</x:f>
        <x:v>40</x:v>
      </x:c>
      <x:c r="F21" s="445" t="str">
        <x:f>IF(ABS(D21-E21)&lt;0.0001,"PASS","FAIL")</x:f>
        <x:v>PASS</x:v>
      </x:c>
      <x:c r="G21" s="445" t="str">
        <x:v>ERROR</x:v>
      </x:c>
      <x:c r="H21" s="445" t="str"/>
    </x:row>
    <x:row r="22" ht="38" customHeight="1">
      <x:c r="A22" s="19" t="str">
        <x:v>C32C-17</x:v>
      </x:c>
      <x:c r="B22" s="19" t="str">
        <x:v>EXCLUSION</x:v>
      </x:c>
      <x:c r="C22" s="19" t="str">
        <x:v>排除池4项</x:v>
      </x:c>
      <x:c r="D22" s="19" t="n">
        <x:v>4</x:v>
      </x:c>
      <x:c r="E22" s="19" t="n">
        <x:f>COUNTA('77_升顶增量BOM'!A22:A25)</x:f>
        <x:v>4</x:v>
      </x:c>
      <x:c r="F22" s="19" t="str">
        <x:f>IF(ABS(D22-E22)&lt;0.0001,"PASS","FAIL")</x:f>
        <x:v>PASS</x:v>
      </x:c>
      <x:c r="G22" s="19" t="str">
        <x:v>ERROR</x:v>
      </x:c>
      <x:c r="H22" s="19" t="str"/>
    </x:row>
    <x:row r="23" ht="38" customHeight="1">
      <x:c r="A23" s="445" t="str">
        <x:v>C32C-18</x:v>
      </x:c>
      <x:c r="B23" s="445" t="str">
        <x:v>OVERLAY</x:v>
      </x:c>
      <x:c r="C23" s="445" t="str">
        <x:v>通用M09三情景权重均0</x:v>
      </x:c>
      <x:c r="D23" s="445" t="n">
        <x:v>0</x:v>
      </x:c>
      <x:c r="E23" s="445" t="n">
        <x:f>SUM('79_工程情景汇总'!C10:E10)</x:f>
        <x:v>0</x:v>
      </x:c>
      <x:c r="F23" s="445" t="str">
        <x:f>IF(ABS(D23-E23)&lt;0.0001,"PASS","FAIL")</x:f>
        <x:v>PASS</x:v>
      </x:c>
      <x:c r="G23" s="445" t="str">
        <x:v>ERROR</x:v>
      </x:c>
      <x:c r="H23" s="445" t="str"/>
    </x:row>
    <x:row r="24" ht="38" customHeight="1">
      <x:c r="A24" s="19" t="str">
        <x:v>C32C-19</x:v>
      </x:c>
      <x:c r="B24" s="19" t="str">
        <x:v>OVERLAY</x:v>
      </x:c>
      <x:c r="C24" s="19" t="str">
        <x:v>EOL Low 300元</x:v>
      </x:c>
      <x:c r="D24" s="19" t="n">
        <x:v>300</x:v>
      </x:c>
      <x:c r="E24" s="19" t="n">
        <x:f>'79_工程情景汇总'!C11</x:f>
        <x:v>300</x:v>
      </x:c>
      <x:c r="F24" s="19" t="str">
        <x:f>IF(ABS(D24-E24)&lt;0.0001,"PASS","FAIL")</x:f>
        <x:v>PASS</x:v>
      </x:c>
      <x:c r="G24" s="19" t="str">
        <x:v>ERROR</x:v>
      </x:c>
      <x:c r="H24" s="19" t="str"/>
    </x:row>
    <x:row r="25" ht="38" customHeight="1">
      <x:c r="A25" s="445" t="str">
        <x:v>C32C-20</x:v>
      </x:c>
      <x:c r="B25" s="445" t="str">
        <x:v>OVERLAY</x:v>
      </x:c>
      <x:c r="C25" s="445" t="str">
        <x:v>EOL Mid 1000元</x:v>
      </x:c>
      <x:c r="D25" s="445" t="n">
        <x:v>1000</x:v>
      </x:c>
      <x:c r="E25" s="445" t="n">
        <x:f>'79_工程情景汇总'!D11</x:f>
        <x:v>1000</x:v>
      </x:c>
      <x:c r="F25" s="445" t="str">
        <x:f>IF(ABS(D25-E25)&lt;0.0001,"PASS","FAIL")</x:f>
        <x:v>PASS</x:v>
      </x:c>
      <x:c r="G25" s="445" t="str">
        <x:v>ERROR</x:v>
      </x:c>
      <x:c r="H25" s="445" t="str"/>
    </x:row>
    <x:row r="26" ht="38" customHeight="1">
      <x:c r="A26" s="19" t="str">
        <x:v>C32C-21</x:v>
      </x:c>
      <x:c r="B26" s="19" t="str">
        <x:v>OVERLAY</x:v>
      </x:c>
      <x:c r="C26" s="19" t="str">
        <x:v>EOL High 2500元</x:v>
      </x:c>
      <x:c r="D26" s="19" t="n">
        <x:v>2500</x:v>
      </x:c>
      <x:c r="E26" s="19" t="n">
        <x:f>'79_工程情景汇总'!E11</x:f>
        <x:v>2500</x:v>
      </x:c>
      <x:c r="F26" s="19" t="str">
        <x:f>IF(ABS(D26-E26)&lt;0.0001,"PASS","FAIL")</x:f>
        <x:v>PASS</x:v>
      </x:c>
      <x:c r="G26" s="19" t="str">
        <x:v>ERROR</x:v>
      </x:c>
      <x:c r="H26" s="19" t="str"/>
    </x:row>
    <x:row r="27" ht="38" customHeight="1">
      <x:c r="A27" s="445" t="str">
        <x:v>C32C-22</x:v>
      </x:c>
      <x:c r="B27" s="445" t="str">
        <x:v>WARRANTY</x:v>
      </x:c>
      <x:c r="C27" s="445" t="str">
        <x:v>升顶风险总目标Low 3%</x:v>
      </x:c>
      <x:c r="D27" s="445" t="n">
        <x:v>0.03</x:v>
      </x:c>
      <x:c r="E27" s="445" t="n">
        <x:f>'76_特殊成本参数'!D8</x:f>
        <x:v>0.03</x:v>
      </x:c>
      <x:c r="F27" s="445" t="str">
        <x:f>IF(ABS(D27-E27)&lt;0.0001,"PASS","FAIL")</x:f>
        <x:v>PASS</x:v>
      </x:c>
      <x:c r="G27" s="445" t="str">
        <x:v>ERROR</x:v>
      </x:c>
      <x:c r="H27" s="445" t="str"/>
    </x:row>
    <x:row r="28" ht="38" customHeight="1">
      <x:c r="A28" s="19" t="str">
        <x:v>C32C-23</x:v>
      </x:c>
      <x:c r="B28" s="19" t="str">
        <x:v>WARRANTY</x:v>
      </x:c>
      <x:c r="C28" s="19" t="str">
        <x:v>升顶风险总目标Mid 7%</x:v>
      </x:c>
      <x:c r="D28" s="19" t="n">
        <x:v>0.07</x:v>
      </x:c>
      <x:c r="E28" s="19" t="n">
        <x:f>'76_特殊成本参数'!E8</x:f>
        <x:v>0.07</x:v>
      </x:c>
      <x:c r="F28" s="19" t="str">
        <x:f>IF(ABS(D28-E28)&lt;0.0001,"PASS","FAIL")</x:f>
        <x:v>PASS</x:v>
      </x:c>
      <x:c r="G28" s="19" t="str">
        <x:v>ERROR</x:v>
      </x:c>
      <x:c r="H28" s="19" t="str"/>
    </x:row>
    <x:row r="29" ht="38" customHeight="1">
      <x:c r="A29" s="445" t="str">
        <x:v>C32C-24</x:v>
      </x:c>
      <x:c r="B29" s="445" t="str">
        <x:v>WARRANTY</x:v>
      </x:c>
      <x:c r="C29" s="445" t="str">
        <x:v>升顶风险总目标High 15%</x:v>
      </x:c>
      <x:c r="D29" s="445" t="n">
        <x:v>0.15</x:v>
      </x:c>
      <x:c r="E29" s="445" t="n">
        <x:f>'76_特殊成本参数'!F8</x:f>
        <x:v>0.15</x:v>
      </x:c>
      <x:c r="F29" s="445" t="str">
        <x:f>IF(ABS(D29-E29)&lt;0.0001,"PASS","FAIL")</x:f>
        <x:v>PASS</x:v>
      </x:c>
      <x:c r="G29" s="445" t="str">
        <x:v>ERROR</x:v>
      </x:c>
      <x:c r="H29" s="445" t="str"/>
    </x:row>
    <x:row r="30" ht="38" customHeight="1">
      <x:c r="A30" s="19" t="str">
        <x:v>C32C-25</x:v>
      </x:c>
      <x:c r="B30" s="19" t="str">
        <x:v>NRE</x:v>
      </x:c>
      <x:c r="C30" s="19" t="str">
        <x:v>NRE Low 4000万元</x:v>
      </x:c>
      <x:c r="D30" s="19" t="n">
        <x:v>40000000</x:v>
      </x:c>
      <x:c r="E30" s="19" t="n">
        <x:f>'76_特殊成本参数'!D20</x:f>
        <x:v>40000000</x:v>
      </x:c>
      <x:c r="F30" s="19" t="str">
        <x:f>IF(ABS(D30-E30)&lt;0.0001,"PASS","FAIL")</x:f>
        <x:v>PASS</x:v>
      </x:c>
      <x:c r="G30" s="19" t="str">
        <x:v>ERROR</x:v>
      </x:c>
      <x:c r="H30" s="19" t="str"/>
    </x:row>
    <x:row r="31" ht="38" customHeight="1">
      <x:c r="A31" s="445" t="str">
        <x:v>C32C-26</x:v>
      </x:c>
      <x:c r="B31" s="445" t="str">
        <x:v>NRE</x:v>
      </x:c>
      <x:c r="C31" s="445" t="str">
        <x:v>NRE Mid 8500万元</x:v>
      </x:c>
      <x:c r="D31" s="445" t="n">
        <x:v>85000000</x:v>
      </x:c>
      <x:c r="E31" s="445" t="n">
        <x:f>'76_特殊成本参数'!E20</x:f>
        <x:v>85000000</x:v>
      </x:c>
      <x:c r="F31" s="445" t="str">
        <x:f>IF(ABS(D31-E31)&lt;0.0001,"PASS","FAIL")</x:f>
        <x:v>PASS</x:v>
      </x:c>
      <x:c r="G31" s="445" t="str">
        <x:v>ERROR</x:v>
      </x:c>
      <x:c r="H31" s="445" t="str"/>
    </x:row>
    <x:row r="32" ht="38" customHeight="1">
      <x:c r="A32" s="19" t="str">
        <x:v>C32C-27</x:v>
      </x:c>
      <x:c r="B32" s="19" t="str">
        <x:v>NRE</x:v>
      </x:c>
      <x:c r="C32" s="19" t="str">
        <x:v>NRE High 1.5亿元</x:v>
      </x:c>
      <x:c r="D32" s="19" t="n">
        <x:v>150000000</x:v>
      </x:c>
      <x:c r="E32" s="19" t="n">
        <x:f>'76_特殊成本参数'!F20</x:f>
        <x:v>150000000</x:v>
      </x:c>
      <x:c r="F32" s="19" t="str">
        <x:f>IF(ABS(D32-E32)&lt;0.0001,"PASS","FAIL")</x:f>
        <x:v>PASS</x:v>
      </x:c>
      <x:c r="G32" s="19" t="str">
        <x:v>ERROR</x:v>
      </x:c>
      <x:c r="H32" s="19" t="str"/>
    </x:row>
    <x:row r="33" ht="38" customHeight="1">
      <x:c r="A33" s="445" t="str">
        <x:v>C32C-28</x:v>
      </x:c>
      <x:c r="B33" s="445" t="str">
        <x:v>NRE</x:v>
      </x:c>
      <x:c r="C33" s="445" t="str">
        <x:v>销量Low 20000台</x:v>
      </x:c>
      <x:c r="D33" s="445" t="n">
        <x:v>20000</x:v>
      </x:c>
      <x:c r="E33" s="445" t="n">
        <x:f>'76_特殊成本参数'!D14</x:f>
        <x:v>20000</x:v>
      </x:c>
      <x:c r="F33" s="445" t="str">
        <x:f>IF(ABS(D33-E33)&lt;0.0001,"PASS","FAIL")</x:f>
        <x:v>PASS</x:v>
      </x:c>
      <x:c r="G33" s="445" t="str">
        <x:v>ERROR</x:v>
      </x:c>
      <x:c r="H33" s="445" t="str"/>
    </x:row>
    <x:row r="34" ht="38" customHeight="1">
      <x:c r="A34" s="19" t="str">
        <x:v>C32C-29</x:v>
      </x:c>
      <x:c r="B34" s="19" t="str">
        <x:v>NRE</x:v>
      </x:c>
      <x:c r="C34" s="19" t="str">
        <x:v>销量Mid 8000台</x:v>
      </x:c>
      <x:c r="D34" s="19" t="n">
        <x:v>8000</x:v>
      </x:c>
      <x:c r="E34" s="19" t="n">
        <x:f>'76_特殊成本参数'!E14</x:f>
        <x:v>8000</x:v>
      </x:c>
      <x:c r="F34" s="19" t="str">
        <x:f>IF(ABS(D34-E34)&lt;0.0001,"PASS","FAIL")</x:f>
        <x:v>PASS</x:v>
      </x:c>
      <x:c r="G34" s="19" t="str">
        <x:v>ERROR</x:v>
      </x:c>
      <x:c r="H34" s="19" t="str"/>
    </x:row>
    <x:row r="35" ht="38" customHeight="1">
      <x:c r="A35" s="445" t="str">
        <x:v>C32C-30</x:v>
      </x:c>
      <x:c r="B35" s="445" t="str">
        <x:v>NRE</x:v>
      </x:c>
      <x:c r="C35" s="445" t="str">
        <x:v>销量High 3000台</x:v>
      </x:c>
      <x:c r="D35" s="445" t="n">
        <x:v>3000</x:v>
      </x:c>
      <x:c r="E35" s="445" t="n">
        <x:f>'76_特殊成本参数'!F14</x:f>
        <x:v>3000</x:v>
      </x:c>
      <x:c r="F35" s="445" t="str">
        <x:f>IF(ABS(D35-E35)&lt;0.0001,"PASS","FAIL")</x:f>
        <x:v>PASS</x:v>
      </x:c>
      <x:c r="G35" s="445" t="str">
        <x:v>ERROR</x:v>
      </x:c>
      <x:c r="H35" s="445" t="str"/>
    </x:row>
    <x:row r="36" ht="38" customHeight="1">
      <x:c r="A36" s="19" t="str">
        <x:v>C32C-31</x:v>
      </x:c>
      <x:c r="B36" s="19" t="str">
        <x:v>NRE</x:v>
      </x:c>
      <x:c r="C36" s="19" t="str">
        <x:v>单车NRE Low 2000元</x:v>
      </x:c>
      <x:c r="D36" s="19" t="n">
        <x:v>2000</x:v>
      </x:c>
      <x:c r="E36" s="19" t="n">
        <x:f>'76_特殊成本参数'!D21</x:f>
        <x:v>2000</x:v>
      </x:c>
      <x:c r="F36" s="19" t="str">
        <x:f>IF(ABS(D36-E36)&lt;0.0001,"PASS","FAIL")</x:f>
        <x:v>PASS</x:v>
      </x:c>
      <x:c r="G36" s="19" t="str">
        <x:v>ERROR</x:v>
      </x:c>
      <x:c r="H36" s="19" t="str"/>
    </x:row>
    <x:row r="37" ht="38" customHeight="1">
      <x:c r="A37" s="445" t="str">
        <x:v>C32C-32</x:v>
      </x:c>
      <x:c r="B37" s="445" t="str">
        <x:v>NRE</x:v>
      </x:c>
      <x:c r="C37" s="445" t="str">
        <x:v>单车NRE Mid 10625元</x:v>
      </x:c>
      <x:c r="D37" s="445" t="n">
        <x:v>10625</x:v>
      </x:c>
      <x:c r="E37" s="445" t="n">
        <x:f>'76_特殊成本参数'!E21</x:f>
        <x:v>10625</x:v>
      </x:c>
      <x:c r="F37" s="445" t="str">
        <x:f>IF(ABS(D37-E37)&lt;0.0001,"PASS","FAIL")</x:f>
        <x:v>PASS</x:v>
      </x:c>
      <x:c r="G37" s="445" t="str">
        <x:v>ERROR</x:v>
      </x:c>
      <x:c r="H37" s="445" t="str"/>
    </x:row>
    <x:row r="38" ht="38" customHeight="1">
      <x:c r="A38" s="19" t="str">
        <x:v>C32C-33</x:v>
      </x:c>
      <x:c r="B38" s="19" t="str">
        <x:v>NRE</x:v>
      </x:c>
      <x:c r="C38" s="19" t="str">
        <x:v>单车NRE High 50000元</x:v>
      </x:c>
      <x:c r="D38" s="19" t="n">
        <x:v>50000</x:v>
      </x:c>
      <x:c r="E38" s="19" t="n">
        <x:f>'76_特殊成本参数'!F21</x:f>
        <x:v>50000</x:v>
      </x:c>
      <x:c r="F38" s="19" t="str">
        <x:f>IF(ABS(D38-E38)&lt;0.0001,"PASS","FAIL")</x:f>
        <x:v>PASS</x:v>
      </x:c>
      <x:c r="G38" s="19" t="str">
        <x:v>ERROR</x:v>
      </x:c>
      <x:c r="H38" s="19" t="str"/>
    </x:row>
    <x:row r="39" ht="38" customHeight="1">
      <x:c r="A39" s="445" t="str">
        <x:v>C32C-34</x:v>
      </x:c>
      <x:c r="B39" s="445" t="str">
        <x:v>PRICING</x:v>
      </x:c>
      <x:c r="C39" s="445" t="str">
        <x:v>普通κ沿用Low</x:v>
      </x:c>
      <x:c r="D39" s="445" t="n">
        <x:v>1.0254431631664882</x:v>
      </x:c>
      <x:c r="E39" s="445" t="n">
        <x:f>'76_特殊成本参数'!D11</x:f>
        <x:v>1.0254431631664882</x:v>
      </x:c>
      <x:c r="F39" s="445" t="str">
        <x:f>IF(ABS(D39-E39)&lt;0.0001,"PASS","FAIL")</x:f>
        <x:v>PASS</x:v>
      </x:c>
      <x:c r="G39" s="445" t="str">
        <x:v>ERROR</x:v>
      </x:c>
      <x:c r="H39" s="445" t="str"/>
    </x:row>
    <x:row r="40" ht="38" customHeight="1">
      <x:c r="A40" s="19" t="str">
        <x:v>C32C-35</x:v>
      </x:c>
      <x:c r="B40" s="19" t="str">
        <x:v>PRICING</x:v>
      </x:c>
      <x:c r="C40" s="19" t="str">
        <x:v>普通κ沿用Mid</x:v>
      </x:c>
      <x:c r="D40" s="19" t="n">
        <x:v>1.0694836789414475</x:v>
      </x:c>
      <x:c r="E40" s="19" t="n">
        <x:f>'76_特殊成本参数'!E11</x:f>
        <x:v>1.0694836789414475</x:v>
      </x:c>
      <x:c r="F40" s="19" t="str">
        <x:f>IF(ABS(D40-E40)&lt;0.0001,"PASS","FAIL")</x:f>
        <x:v>PASS</x:v>
      </x:c>
      <x:c r="G40" s="19" t="str">
        <x:v>ERROR</x:v>
      </x:c>
      <x:c r="H40" s="19" t="str"/>
    </x:row>
    <x:row r="41" ht="38" customHeight="1">
      <x:c r="A41" s="445" t="str">
        <x:v>C32C-36</x:v>
      </x:c>
      <x:c r="B41" s="445" t="str">
        <x:v>PRICING</x:v>
      </x:c>
      <x:c r="C41" s="445" t="str">
        <x:v>普通κ沿用High</x:v>
      </x:c>
      <x:c r="D41" s="445" t="n">
        <x:v>1.2206571280521978</x:v>
      </x:c>
      <x:c r="E41" s="445" t="n">
        <x:f>'76_特殊成本参数'!F11</x:f>
        <x:v>1.2206571280521978</x:v>
      </x:c>
      <x:c r="F41" s="445" t="str">
        <x:f>IF(ABS(D41-E41)&lt;0.0001,"PASS","FAIL")</x:f>
        <x:v>PASS</x:v>
      </x:c>
      <x:c r="G41" s="445" t="str">
        <x:v>ERROR</x:v>
      </x:c>
      <x:c r="H41" s="445" t="str"/>
    </x:row>
    <x:row r="42" ht="38" customHeight="1">
      <x:c r="A42" s="19" t="str">
        <x:v>C32C-37</x:v>
      </x:c>
      <x:c r="B42" s="19" t="str">
        <x:v>PRICING</x:v>
      </x:c>
      <x:c r="C42" s="19" t="str">
        <x:v>VAT 13%</x:v>
      </x:c>
      <x:c r="D42" s="19" t="n">
        <x:v>0.13</x:v>
      </x:c>
      <x:c r="E42" s="19" t="n">
        <x:f>'76_特殊成本参数'!E12</x:f>
        <x:v>0.13</x:v>
      </x:c>
      <x:c r="F42" s="19" t="str">
        <x:f>IF(ABS(D42-E42)&lt;0.0001,"PASS","FAIL")</x:f>
        <x:v>PASS</x:v>
      </x:c>
      <x:c r="G42" s="19" t="str">
        <x:v>ERROR</x:v>
      </x:c>
      <x:c r="H42" s="19" t="str"/>
    </x:row>
    <x:row r="43" ht="38" customHeight="1">
      <x:c r="A43" s="445" t="str">
        <x:v>C32C-38</x:v>
      </x:c>
      <x:c r="B43" s="445" t="str">
        <x:v>COMMERCIAL</x:v>
      </x:c>
      <x:c r="C43" s="445" t="str">
        <x:v>七座预售价锚点299900</x:v>
      </x:c>
      <x:c r="D43" s="445" t="n">
        <x:v>299900</x:v>
      </x:c>
      <x:c r="E43" s="445" t="n">
        <x:f>'80_商业价格口径'!C6</x:f>
        <x:v>299900</x:v>
      </x:c>
      <x:c r="F43" s="445" t="str">
        <x:f>IF(ABS(D43-E43)&lt;0.0001,"PASS","FAIL")</x:f>
        <x:v>PASS</x:v>
      </x:c>
      <x:c r="G43" s="445" t="str">
        <x:v>ERROR</x:v>
      </x:c>
      <x:c r="H43" s="445" t="str"/>
    </x:row>
    <x:row r="44" ht="38" customHeight="1">
      <x:c r="A44" s="19" t="str">
        <x:v>C32C-39</x:v>
      </x:c>
      <x:c r="B44" s="19" t="str">
        <x:v>COMMERCIAL</x:v>
      </x:c>
      <x:c r="C44" s="19" t="str">
        <x:v>升顶官方售价仍为空</x:v>
      </x:c>
      <x:c r="D44" s="19" t="n">
        <x:v>0</x:v>
      </x:c>
      <x:c r="E44" s="19" t="n">
        <x:f>COUNT('41_商业节点'!I9)</x:f>
        <x:v>0</x:v>
      </x:c>
      <x:c r="F44" s="19" t="str">
        <x:f>IF(ABS(D44-E44)&lt;0.0001,"PASS","FAIL")</x:f>
        <x:v>PASS</x:v>
      </x:c>
      <x:c r="G44" s="19" t="str">
        <x:v>ERROR</x:v>
      </x:c>
      <x:c r="H44" s="19" t="str"/>
    </x:row>
    <x:row r="45" ht="38" customHeight="1">
      <x:c r="A45" s="445" t="str">
        <x:v>C32C-40</x:v>
      </x:c>
      <x:c r="B45" s="445" t="str">
        <x:v>COMMERCIAL</x:v>
      </x:c>
      <x:c r="C45" s="445" t="str">
        <x:v>App车辆SKU闸门0</x:v>
      </x:c>
      <x:c r="D45" s="445" t="n">
        <x:v>0</x:v>
      </x:c>
      <x:c r="E45" s="445" t="n">
        <x:f>'80_商业价格口径'!C14</x:f>
        <x:v>0</x:v>
      </x:c>
      <x:c r="F45" s="445" t="str">
        <x:f>IF(ABS(D45-E45)&lt;0.0001,"PASS","FAIL")</x:f>
        <x:v>PASS</x:v>
      </x:c>
      <x:c r="G45" s="445" t="str">
        <x:v>ERROR</x:v>
      </x:c>
      <x:c r="H45" s="445" t="str"/>
    </x:row>
    <x:row r="46" ht="38" customHeight="1">
      <x:c r="A46" s="19" t="str">
        <x:v>C32C-41</x:v>
      </x:c>
      <x:c r="B46" s="19" t="str">
        <x:v>COMMERCIAL</x:v>
      </x:c>
      <x:c r="C46" s="19" t="str">
        <x:v>正式指导价桥0</x:v>
      </x:c>
      <x:c r="D46" s="19" t="n">
        <x:v>0</x:v>
      </x:c>
      <x:c r="E46" s="19" t="n">
        <x:f>'80_商业价格口径'!C15</x:f>
        <x:v>0</x:v>
      </x:c>
      <x:c r="F46" s="19" t="str">
        <x:f>IF(ABS(D46-E46)&lt;0.0001,"PASS","FAIL")</x:f>
        <x:v>PASS</x:v>
      </x:c>
      <x:c r="G46" s="19" t="str">
        <x:v>ERROR</x:v>
      </x:c>
      <x:c r="H46" s="19" t="str"/>
    </x:row>
    <x:row r="47" ht="38" customHeight="1">
      <x:c r="A47" s="445" t="str">
        <x:v>C32C-42</x:v>
      </x:c>
      <x:c r="B47" s="445" t="str">
        <x:v>COMMERCIAL</x:v>
      </x:c>
      <x:c r="C47" s="445" t="str">
        <x:v>主次算术口径差等于座椅信用</x:v>
      </x:c>
      <x:c r="D47" s="445" t="n">
        <x:v>0</x:v>
      </x:c>
      <x:c r="E47" s="445" t="n">
        <x:f>ABS(('80_商业价格口径'!C11-'80_商业价格口径'!C12)-'80_商业价格口径'!C10)</x:f>
        <x:v>7.275957614183426e-12</x:v>
      </x:c>
      <x:c r="F47" s="445" t="str">
        <x:f>IF(ABS(D47-E47)&lt;0.0001,"PASS","FAIL")</x:f>
        <x:v>PASS</x:v>
      </x:c>
      <x:c r="G47" s="445" t="str">
        <x:v>ERROR</x:v>
      </x:c>
      <x:c r="H47" s="445" t="str"/>
    </x:row>
    <x:row r="48" ht="38" customHeight="1">
      <x:c r="A48" s="19" t="str">
        <x:v>C32C-43</x:v>
      </x:c>
      <x:c r="B48" s="19" t="str">
        <x:v>RULES</x:v>
      </x:c>
      <x:c r="C48" s="19" t="str">
        <x:v>成本参数price_derived非NO行0</x:v>
      </x:c>
      <x:c r="D48" s="19" t="n">
        <x:v>0</x:v>
      </x:c>
      <x:c r="E48" s="19" t="n">
        <x:f>COUNTIF('76_特殊成本参数'!K6:K21,"&lt;&gt;NO")</x:f>
        <x:v>0</x:v>
      </x:c>
      <x:c r="F48" s="19" t="str">
        <x:f>IF(ABS(D48-E48)&lt;0.0001,"PASS","FAIL")</x:f>
        <x:v>PASS</x:v>
      </x:c>
      <x:c r="G48" s="19" t="str">
        <x:v>ERROR</x:v>
      </x:c>
      <x:c r="H48" s="19" t="str"/>
    </x:row>
    <x:row r="49" ht="38" customHeight="1">
      <x:c r="A49" s="445" t="str">
        <x:v>C32C-44</x:v>
      </x:c>
      <x:c r="B49" s="445" t="str">
        <x:v>SIGNOFF</x:v>
      </x:c>
      <x:c r="C49" s="445" t="str">
        <x:v>Phase3.2C工程签核1</x:v>
      </x:c>
      <x:c r="D49" s="445" t="n">
        <x:v>1</x:v>
      </x:c>
      <x:c r="E49" s="445" t="n">
        <x:f>COUNTIF('82_3.2C签核'!F6:F21,"READY_ENGINEERING_SPECIAL_VERSION")</x:f>
        <x:v>1</x:v>
      </x:c>
      <x:c r="F49" s="445" t="str">
        <x:f>IF(ABS(D49-E49)&lt;0.0001,"PASS","FAIL")</x:f>
        <x:v>PASS</x:v>
      </x:c>
      <x:c r="G49" s="445" t="str">
        <x:v>ERROR</x:v>
      </x:c>
      <x:c r="H49" s="445" t="str"/>
    </x:row>
    <x:row r="51" ht="24" customHeight="1">
      <x:c r="A51" s="448" t="str">
        <x:v>审计汇总</x:v>
      </x:c>
      <x:c r="B51" s="448"/>
      <x:c r="C51" s="448"/>
      <x:c r="D51" s="448"/>
      <x:c r="E51" s="448"/>
      <x:c r="F51" s="448"/>
      <x:c r="G51" s="448"/>
      <x:c r="H51" s="448"/>
    </x:row>
    <x:row r="52" ht="44" customHeight="1">
      <x:c r="A52" s="19" t="str">
        <x:v>检查总数</x:v>
      </x:c>
      <x:c r="B52" s="19" t="n">
        <x:f>COUNTA(A6:A49)</x:f>
        <x:v>44</x:v>
      </x:c>
      <x:c r="C52" s="19" t="str"/>
      <x:c r="D52" s="19" t="str"/>
      <x:c r="E52" s="19" t="str"/>
      <x:c r="F52" s="19" t="str"/>
      <x:c r="G52" s="19" t="str"/>
      <x:c r="H52" s="19" t="str"/>
    </x:row>
    <x:row r="53" ht="44" customHeight="1">
      <x:c r="A53" s="445" t="str">
        <x:v>失败检查</x:v>
      </x:c>
      <x:c r="B53" s="445" t="n">
        <x:f>COUNTIF(F6:F49,"FAIL")</x:f>
        <x:v>0</x:v>
      </x:c>
      <x:c r="C53" s="445" t="str"/>
      <x:c r="D53" s="445" t="str"/>
      <x:c r="E53" s="445" t="str"/>
      <x:c r="F53" s="445" t="str"/>
      <x:c r="G53" s="445" t="str"/>
      <x:c r="H53" s="445" t="str"/>
    </x:row>
    <x:row r="54" ht="44" customHeight="1">
      <x:c r="A54" s="19" t="str">
        <x:v>成本公式价格倒推违规</x:v>
      </x:c>
      <x:c r="B54" s="19" t="n">
        <x:v>0</x:v>
      </x:c>
      <x:c r="C54" s="19" t="str"/>
      <x:c r="D54" s="19" t="str"/>
      <x:c r="E54" s="19" t="str"/>
      <x:c r="F54" s="19" t="str"/>
      <x:c r="G54" s="19" t="str"/>
      <x:c r="H54" s="19" t="str"/>
    </x:row>
    <x:row r="55" ht="44" customHeight="1">
      <x:c r="A55" s="445" t="str">
        <x:v>公式错误</x:v>
      </x:c>
      <x:c r="B55" s="445" t="n">
        <x:v>0</x:v>
      </x:c>
      <x:c r="C55" s="445" t="str"/>
      <x:c r="D55" s="445" t="str"/>
      <x:c r="E55" s="445" t="str"/>
      <x:c r="F55" s="445" t="str"/>
      <x:c r="G55" s="445" t="str"/>
      <x:c r="H55" s="445" t="str"/>
    </x:row>
    <x:row r="56" ht="44" customHeight="1">
      <x:c r="A56" s="19" t="str">
        <x:v>正式价格桥</x:v>
      </x:c>
      <x:c r="B56" s="19" t="str">
        <x:f>IF('80_商业价格口径'!C15=0,"BLOCKED","READY")</x:f>
        <x:v>BLOCKED</x:v>
      </x:c>
      <x:c r="C56" s="19" t="str"/>
      <x:c r="D56" s="19" t="str"/>
      <x:c r="E56" s="19" t="str"/>
      <x:c r="F56" s="19" t="str"/>
      <x:c r="G56" s="19" t="str"/>
      <x:c r="H56" s="19" t="str"/>
    </x:row>
    <x:row r="57" ht="44" customHeight="1">
      <x:c r="A57" s="445" t="str">
        <x:v>阶段状态</x:v>
      </x:c>
      <x:c r="B57" s="445" t="str">
        <x:f>IF(AND(B53=0,B54=0,B55=0),"READY_ENGINEERING_SPECIAL_VERSION","REVIEW_REQUIRED")</x:f>
        <x:v>READY_ENGINEERING_SPECIAL_VERSION</x:v>
      </x:c>
      <x:c r="C57" s="445" t="str"/>
      <x:c r="D57" s="445" t="str"/>
      <x:c r="E57" s="445" t="str"/>
      <x:c r="F57" s="445" t="str"/>
      <x:c r="G57" s="445" t="str"/>
      <x:c r="H57" s="445" t="str"/>
    </x:row>
  </x:sheetData>
  <x:mergeCells>
    <x:mergeCell ref="A1:H1"/>
    <x:mergeCell ref="A2:H2"/>
    <x:mergeCell ref="A3:H3"/>
    <x:mergeCell ref="A51:H51"/>
  </x:mergeCells>
  <x:conditionalFormatting sqref="F6:G49">
    <x:cfRule type="containsText" dxfId="1710" priority="1" operator="containsText" text="PASS"/>
    <x:cfRule type="containsText" dxfId="1711" priority="2" operator="containsText" text="READY"/>
    <x:cfRule type="containsText" dxfId="1712" priority="3" operator="containsText" text="TRUE"/>
    <x:cfRule type="containsText" dxfId="1713" priority="4" operator="containsText" text="LOCKED"/>
    <x:cfRule type="containsText" dxfId="1714" priority="5" operator="containsText" text="MATCH"/>
    <x:cfRule type="containsText" dxfId="1715" priority="6" operator="containsText" text="CORE"/>
    <x:cfRule type="containsText" dxfId="1716" priority="7" operator="containsText" text="PROVISIONAL"/>
    <x:cfRule type="containsText" dxfId="1717" priority="8" operator="containsText" text="SCENARIO"/>
    <x:cfRule type="containsText" dxfId="1718" priority="9" operator="containsText" text="HOLD"/>
    <x:cfRule type="containsText" dxfId="1719" priority="10" operator="containsText" text="NOT_COMMERCIALIZED"/>
    <x:cfRule type="containsText" dxfId="1720" priority="11" operator="containsText" text="BLOCKED"/>
    <x:cfRule type="containsText" dxfId="1721" priority="12" operator="containsText" text="FAIL"/>
    <x:cfRule type="containsText" dxfId="1722" priority="13" operator="containsText" text="FALSE"/>
    <x:cfRule type="containsText" dxfId="1723" priority="14" operator="containsText" text="EXCLUDED"/>
    <x:cfRule type="containsText" dxfId="1724" priority="15" operator="containsText" text="OPTION"/>
    <x:cfRule type="containsText" dxfId="1725" priority="16" operator="containsText" text="SPECIAL"/>
    <x:cfRule type="containsText" dxfId="1726" priority="17" operator="containsText" text="ORDINARY"/>
  </x:conditionalFormatting>
  <x:conditionalFormatting sqref="B52:B57">
    <x:cfRule type="containsText" dxfId="1727" priority="18" operator="containsText" text="PASS"/>
    <x:cfRule type="containsText" dxfId="1728" priority="19" operator="containsText" text="READY"/>
    <x:cfRule type="containsText" dxfId="1729" priority="20" operator="containsText" text="TRUE"/>
    <x:cfRule type="containsText" dxfId="1730" priority="21" operator="containsText" text="LOCKED"/>
    <x:cfRule type="containsText" dxfId="1731" priority="22" operator="containsText" text="MATCH"/>
    <x:cfRule type="containsText" dxfId="1732" priority="23" operator="containsText" text="CORE"/>
    <x:cfRule type="containsText" dxfId="1733" priority="24" operator="containsText" text="PROVISIONAL"/>
    <x:cfRule type="containsText" dxfId="1734" priority="25" operator="containsText" text="SCENARIO"/>
    <x:cfRule type="containsText" dxfId="1735" priority="26" operator="containsText" text="HOLD"/>
    <x:cfRule type="containsText" dxfId="1736" priority="27" operator="containsText" text="NOT_COMMERCIALIZED"/>
    <x:cfRule type="containsText" dxfId="1737" priority="28" operator="containsText" text="BLOCKED"/>
    <x:cfRule type="containsText" dxfId="1738" priority="29" operator="containsText" text="FAIL"/>
    <x:cfRule type="containsText" dxfId="1739" priority="30" operator="containsText" text="FALSE"/>
    <x:cfRule type="containsText" dxfId="1740" priority="31" operator="containsText" text="EXCLUDED"/>
    <x:cfRule type="containsText" dxfId="1741" priority="32" operator="containsText" text="OPTION"/>
    <x:cfRule type="containsText" dxfId="1742" priority="33" operator="containsText" text="SPECIAL"/>
    <x:cfRule type="containsText" dxfId="1743" priority="34" operator="containsText" text="ORDINARY"/>
  </x:conditionalFormatting>
  <x:pageMargins left="0.7" right="0.7" top="0.75" bottom="0.75" header="0.3" footer="0.3"/>
</x:worksheet>
</file>

<file path=xl/worksheets/sheet8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0" hidden="0" customWidth="1"/>
    <x:col min="3" max="3" width="38" hidden="0" customWidth="1"/>
    <x:col min="4" max="4" width="18" hidden="0" customWidth="1"/>
    <x:col min="5" max="5" width="18" hidden="0" customWidth="1"/>
    <x:col min="6" max="6" width="18" hidden="0" customWidth="1"/>
    <x:col min="7" max="7" width="12" hidden="0" customWidth="1"/>
    <x:col min="8" max="8" width="25" hidden="0" customWidth="1"/>
    <x:col min="9" max="9" width="34" hidden="0" customWidth="1"/>
    <x:col min="10" max="10" width="38" hidden="0" customWidth="1"/>
    <x:col min="11" max="11" width="42" hidden="0" customWidth="1"/>
    <x:col min="12" max="12" width="36" hidden="0" customWidth="1"/>
  </x:cols>
  <x:sheetData>
    <x:row r="1" ht="30" customHeight="1">
      <x:c r="A1" s="473" t="str">
        <x:v>84｜最终综合口径：从工程桥到正式售价预测</x:v>
      </x:c>
      <x:c r="B1" s="473"/>
      <x:c r="C1" s="473"/>
      <x:c r="D1" s="473"/>
      <x:c r="E1" s="473"/>
      <x:c r="F1" s="473"/>
      <x:c r="G1" s="473"/>
      <x:c r="H1" s="473"/>
      <x:c r="I1" s="473"/>
      <x:c r="J1" s="473"/>
      <x:c r="K1" s="473"/>
      <x:c r="L1" s="473"/>
    </x:row>
    <x:row r="2" ht="22" customHeight="1">
      <x:c r="A2" s="476" t="str">
        <x:v>四个研究节点 × 预售转正式价 × 成本约束 × 心理价位 × 商品化闸门</x:v>
      </x:c>
      <x:c r="B2" s="476"/>
      <x:c r="C2" s="476"/>
      <x:c r="D2" s="476"/>
      <x:c r="E2" s="476"/>
      <x:c r="F2" s="476"/>
      <x:c r="G2" s="476"/>
      <x:c r="H2" s="476"/>
      <x:c r="I2" s="476"/>
      <x:c r="J2" s="476"/>
      <x:c r="K2" s="476"/>
      <x:c r="L2" s="476"/>
    </x:row>
    <x:row r="3" ht="72" customHeight="1">
      <x:c r="A3" s="480" t="str">
        <x:v>本阶段第一次给出“正式售价预测”，但仍不把预测写成官方结果。两款Max已有官方预售价；N70低阶和N90升顶仅为监管候选。价格点是最可能广告价，情景加权均值另列，区间也不是统计置信区间。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</x:row>
    <x:row r="5" ht="54" customHeight="1">
      <x:c r="A5" s="485" t="str">
        <x:v>规则ID</x:v>
      </x:c>
      <x:c r="B5" s="485" t="str">
        <x:v>主题</x:v>
      </x:c>
      <x:c r="C5" s="485" t="str">
        <x:v>模型动作</x:v>
      </x:c>
      <x:c r="D5" s="485" t="str">
        <x:v>Low/下沿</x:v>
      </x:c>
      <x:c r="E5" s="485" t="str">
        <x:v>Mid/主值</x:v>
      </x:c>
      <x:c r="F5" s="485" t="str">
        <x:v>High/上沿</x:v>
      </x:c>
      <x:c r="G5" s="485" t="str">
        <x:v>单位</x:v>
      </x:c>
      <x:c r="H5" s="485" t="str">
        <x:v>状态</x:v>
      </x:c>
      <x:c r="I5" s="485" t="str">
        <x:v>来源</x:v>
      </x:c>
      <x:c r="J5" s="485" t="str">
        <x:v>可以说</x:v>
      </x:c>
      <x:c r="K5" s="485" t="str">
        <x:v>不能说</x:v>
      </x:c>
      <x:c r="L5" s="485" t="str">
        <x:v>触发后动作</x:v>
      </x:c>
    </x:row>
    <x:row r="6" ht="58" customHeight="1">
      <x:c r="A6" s="19" t="str">
        <x:v>R-FIN-01</x:v>
      </x:c>
      <x:c r="B6" s="19" t="str">
        <x:v>目标价格</x:v>
      </x:c>
      <x:c r="C6" s="19" t="str">
        <x:v>预测正式上市含VAT直营基础售价</x:v>
      </x:c>
      <x:c r="D6" s="459" t="str">
        <x:v>情景下沿</x:v>
      </x:c>
      <x:c r="E6" s="459" t="str">
        <x:v>广告点/模式</x:v>
      </x:c>
      <x:c r="F6" s="459" t="str">
        <x:v>情景上沿</x:v>
      </x:c>
      <x:c r="G6" s="19" t="str">
        <x:v>元</x:v>
      </x:c>
      <x:c r="H6" s="19" t="str">
        <x:v>FORECAST_NOT_OFFICIAL</x:v>
      </x:c>
      <x:c r="I6" s="19" t="str">
        <x:v>02_价格时点与权益口径</x:v>
      </x:c>
      <x:c r="J6" s="19" t="str">
        <x:v>正式售价点估计和范围</x:v>
      </x:c>
      <x:c r="K6" s="19" t="str">
        <x:v>把预售价或权益后净价当正式价</x:v>
      </x:c>
      <x:c r="L6" s="19" t="str">
        <x:v>正式价格卡出现后替换</x:v>
      </x:c>
    </x:row>
    <x:row r="7" ht="58" customHeight="1">
      <x:c r="A7" s="486" t="str">
        <x:v>R-FIN-02</x:v>
      </x:c>
      <x:c r="B7" s="486" t="str">
        <x:v>Max预售转正式</x:v>
      </x:c>
      <x:c r="C7" s="486" t="str">
        <x:v>20%不降、26.7%降0.6万、53.3%降1万</x:v>
      </x:c>
      <x:c r="D7" s="487" t="n">
        <x:v>0</x:v>
      </x:c>
      <x:c r="E7" s="487" t="n">
        <x:v>-6000</x:v>
      </x:c>
      <x:c r="F7" s="487" t="n">
        <x:v>-10000</x:v>
      </x:c>
      <x:c r="G7" s="486" t="str">
        <x:v>元</x:v>
      </x:c>
      <x:c r="H7" s="486" t="str">
        <x:v>SCENARIO_WEIGHTED</x:v>
      </x:c>
      <x:c r="I7" s="486" t="str">
        <x:v>新一代SU7唯一预售样本</x:v>
      </x:c>
      <x:c r="J7" s="486" t="str">
        <x:v>24.99/28.99为模式</x:v>
      </x:c>
      <x:c r="K7" s="486" t="str">
        <x:v>预售价必降</x:v>
      </x:c>
      <x:c r="L7" s="486" t="str">
        <x:v>按官方正式价重跑</x:v>
      </x:c>
    </x:row>
    <x:row r="8" ht="58" customHeight="1">
      <x:c r="A8" s="19" t="str">
        <x:v>R-FIN-03</x:v>
      </x:c>
      <x:c r="B8" s="19" t="str">
        <x:v>情景均值</x:v>
      </x:c>
      <x:c r="C8" s="19" t="str">
        <x:v>用于风险管理，不替代广告点</x:v>
      </x:c>
      <x:c r="D8" s="459" t="str">
        <x:v>N/A</x:v>
      </x:c>
      <x:c r="E8" s="459" t="str">
        <x:v>25.30/29.30</x:v>
      </x:c>
      <x:c r="F8" s="459" t="str">
        <x:v>N/A</x:v>
      </x:c>
      <x:c r="G8" s="19" t="str">
        <x:v>万元</x:v>
      </x:c>
      <x:c r="H8" s="19" t="str">
        <x:v>EXPECTED_VALUE_ONLY</x:v>
      </x:c>
      <x:c r="I8" s="19" t="str">
        <x:v>86_预售转正式价</x:v>
      </x:c>
      <x:c r="J8" s="19" t="str">
        <x:v>均值与模式不同</x:v>
      </x:c>
      <x:c r="K8" s="19" t="str">
        <x:v>把主观权重称统计概率</x:v>
      </x:c>
      <x:c r="L8" s="19" t="str">
        <x:v>调整权重即自动更新</x:v>
      </x:c>
    </x:row>
    <x:row r="9" ht="58" customHeight="1">
      <x:c r="A9" s="486" t="str">
        <x:v>R-FIN-04</x:v>
      </x:c>
      <x:c r="B9" s="486" t="str">
        <x:v>N70低阶</x:v>
      </x:c>
      <x:c r="C9" s="486" t="str">
        <x:v>F3→A1先做电池/电驱/悬架条件成本桥</x:v>
      </x:c>
      <x:c r="D9" s="487" t="str">
        <x:v>19.99</x:v>
      </x:c>
      <x:c r="E9" s="487" t="str">
        <x:v>20.99</x:v>
      </x:c>
      <x:c r="F9" s="487" t="str">
        <x:v>22.99</x:v>
      </x:c>
      <x:c r="G9" s="486" t="str">
        <x:v>万元</x:v>
      </x:c>
      <x:c r="H9" s="486" t="str">
        <x:v>CONDITIONAL_CANDIDATE</x:v>
      </x:c>
      <x:c r="I9" s="486" t="str">
        <x:v>39/40/41 + 85表</x:v>
      </x:c>
      <x:c r="J9" s="486" t="str">
        <x:v>若商品化的价格预测</x:v>
      </x:c>
      <x:c r="K9" s="486" t="str">
        <x:v>称已发布版本或正式名</x:v>
      </x:c>
      <x:c r="L9" s="486" t="str">
        <x:v>独立商品卡出现后锁名</x:v>
      </x:c>
    </x:row>
    <x:row r="10" ht="58" customHeight="1">
      <x:c r="A10" s="19" t="str">
        <x:v>R-FIN-05</x:v>
      </x:c>
      <x:c r="B10" s="19" t="str">
        <x:v>N70低阶联动</x:v>
      </x:c>
      <x:c r="C10" s="19" t="str">
        <x:v>主值=N70 Max正式模式−4.00万</x:v>
      </x:c>
      <x:c r="D10" s="459" t="str">
        <x:v>-5.00万</x:v>
      </x:c>
      <x:c r="E10" s="459" t="str">
        <x:v>-4.00万</x:v>
      </x:c>
      <x:c r="F10" s="459" t="str">
        <x:v>上沿随不降价情景</x:v>
      </x:c>
      <x:c r="G10" s="19" t="str">
        <x:v>元</x:v>
      </x:c>
      <x:c r="H10" s="19" t="str">
        <x:v>COMMERCIAL_LINK</x:v>
      </x:c>
      <x:c r="I10" s="19" t="str">
        <x:v>85成本桥 + 内部价格围栏</x:v>
      </x:c>
      <x:c r="J10" s="19" t="str">
        <x:v>商业点高于纯成本中值一档</x:v>
      </x:c>
      <x:c r="K10" s="19" t="str">
        <x:v>用整齐梯度反填成本</x:v>
      </x:c>
      <x:c r="L10" s="19" t="str">
        <x:v>底盘/电池反证后重算</x:v>
      </x:c>
    </x:row>
    <x:row r="11" ht="58" customHeight="1">
      <x:c r="A11" s="486" t="str">
        <x:v>R-FIN-06</x:v>
      </x:c>
      <x:c r="B11" s="486" t="str">
        <x:v>N90升顶</x:v>
      </x:c>
      <x:c r="C11" s="486" t="str">
        <x:v>主值=N90 Max正式模式+5.00万</x:v>
      </x:c>
      <x:c r="D11" s="487" t="str">
        <x:v>+4.00万</x:v>
      </x:c>
      <x:c r="E11" s="487" t="str">
        <x:v>+5.00万</x:v>
      </x:c>
      <x:c r="F11" s="487" t="str">
        <x:v>38.99万压力尾</x:v>
      </x:c>
      <x:c r="G11" s="486" t="str">
        <x:v>元</x:v>
      </x:c>
      <x:c r="H11" s="486" t="str">
        <x:v>CONDITIONAL_CANDIDATE</x:v>
      </x:c>
      <x:c r="I11" s="486" t="str">
        <x:v>79/80 + 91表</x:v>
      </x:c>
      <x:c r="J11" s="486" t="str">
        <x:v>33.99是商品化条件下主点</x:v>
      </x:c>
      <x:c r="K11" s="486" t="str">
        <x:v>称官方价格或必然上市</x:v>
      </x:c>
      <x:c r="L11" s="486" t="str">
        <x:v>商品化后重建配置包</x:v>
      </x:c>
    </x:row>
    <x:row r="12" ht="58" customHeight="1">
      <x:c r="A12" s="19" t="str">
        <x:v>R-FIN-07</x:v>
      </x:c>
      <x:c r="B12" s="19" t="str">
        <x:v>普通硬件传导</x:v>
      </x:c>
      <x:c r="C12" s="19" t="str">
        <x:v>κ只乘可识别普通硬件</x:v>
      </x:c>
      <x:c r="D12" s="488" t="n">
        <x:v>1.0254431632</x:v>
      </x:c>
      <x:c r="E12" s="488" t="n">
        <x:v>1.0694836789</x:v>
      </x:c>
      <x:c r="F12" s="488" t="n">
        <x:v>1.2206571281</x:v>
      </x:c>
      <x:c r="G12" s="19" t="str">
        <x:v>x</x:v>
      </x:c>
      <x:c r="H12" s="19" t="str">
        <x:v>PROVISIONAL_IDENTIFIED</x:v>
      </x:c>
      <x:c r="I12" s="19" t="str">
        <x:v>35_澎程规则</x:v>
      </x:c>
      <x:c r="J12" s="19" t="str">
        <x:v>经验包络与稳健中心</x:v>
      </x:c>
      <x:c r="K12" s="19" t="str">
        <x:v>模块专属倍率或固定跨系常数</x:v>
      </x:c>
      <x:c r="L12" s="19" t="str">
        <x:v>新增样本后重估</x:v>
      </x:c>
    </x:row>
    <x:row r="13" ht="58" customHeight="1">
      <x:c r="A13" s="486" t="str">
        <x:v>R-FIN-08</x:v>
      </x:c>
      <x:c r="B13" s="486" t="str">
        <x:v>特殊机构</x:v>
      </x:c>
      <x:c r="C13" s="486" t="str">
        <x:v>升顶S_special、NRE、EOL不乘普通κ</x:v>
      </x:c>
      <x:c r="D13" s="487" t="str">
        <x:v>独立</x:v>
      </x:c>
      <x:c r="E13" s="487" t="str">
        <x:v>独立</x:v>
      </x:c>
      <x:c r="F13" s="487" t="str">
        <x:v>独立</x:v>
      </x:c>
      <x:c r="G13" s="486" t="str">
        <x:v>规则</x:v>
      </x:c>
      <x:c r="H13" s="486" t="str">
        <x:v>LOCKED_METHOD</x:v>
      </x:c>
      <x:c r="I13" s="486" t="str">
        <x:v>76–79表</x:v>
      </x:c>
      <x:c r="J13" s="486" t="str">
        <x:v>特殊结构bottom-up</x:v>
      </x:c>
      <x:c r="K13" s="486" t="str">
        <x:v>拿普通Max线性外推</x:v>
      </x:c>
      <x:c r="L13" s="486" t="str">
        <x:v>机构方案变化后重算</x:v>
      </x:c>
    </x:row>
    <x:row r="14" ht="58" customHeight="1">
      <x:c r="A14" s="19" t="str">
        <x:v>R-FIN-09</x:v>
      </x:c>
      <x:c r="B14" s="19" t="str">
        <x:v>配置陈述</x:v>
      </x:c>
      <x:c r="C14" s="19" t="str">
        <x:v>监管锁定/严格标配/工程高概率/选装附件/HOLD五层</x:v>
      </x:c>
      <x:c r="D14" s="459" t="n">
        <x:v>0</x:v>
      </x:c>
      <x:c r="E14" s="459" t="n">
        <x:v>17</x:v>
      </x:c>
      <x:c r="F14" s="459" t="n">
        <x:v>30</x:v>
      </x:c>
      <x:c r="G14" s="19" t="str">
        <x:v>项/根</x:v>
      </x:c>
      <x:c r="H14" s="19" t="str">
        <x:v>DUAL_AXIS</x:v>
      </x:c>
      <x:c r="I14" s="19" t="str">
        <x:v>58–63表</x:v>
      </x:c>
      <x:c r="J14" s="19" t="str">
        <x:v>0/9/8/0严格标配</x:v>
      </x:c>
      <x:c r="K14" s="19" t="str">
        <x:v>把官网展示写成标配</x:v>
      </x:c>
      <x:c r="L14" s="19" t="str">
        <x:v>App逐版本表替换</x:v>
      </x:c>
    </x:row>
    <x:row r="15" ht="58" customHeight="1">
      <x:c r="A15" s="486" t="str">
        <x:v>R-FIN-10</x:v>
      </x:c>
      <x:c r="B15" s="486" t="str">
        <x:v>正式价格闸门</x:v>
      </x:c>
      <x:c r="C15" s="486" t="str">
        <x:v>公开车辆SKU+完整配置修订+正式价格才算官方桥</x:v>
      </x:c>
      <x:c r="D15" s="487" t="n">
        <x:v>0</x:v>
      </x:c>
      <x:c r="E15" s="487" t="n">
        <x:v>0</x:v>
      </x:c>
      <x:c r="F15" s="487" t="n">
        <x:v>1</x:v>
      </x:c>
      <x:c r="G15" s="486" t="str">
        <x:v>0/1</x:v>
      </x:c>
      <x:c r="H15" s="486" t="str">
        <x:v>BLOCKED_OFFICIAL_PRICE</x:v>
      </x:c>
      <x:c r="I15" s="486" t="str">
        <x:v>62_App售价桥闸门</x:v>
      </x:c>
      <x:c r="J15" s="486" t="str">
        <x:v>当前仅输出预测</x:v>
      </x:c>
      <x:c r="K15" s="486" t="str">
        <x:v>称已取得正式指导价</x:v>
      </x:c>
      <x:c r="L15" s="486" t="str">
        <x:v>三个条件齐备后启用</x:v>
      </x:c>
    </x:row>
    <x:row r="18" ht="24" customHeight="1">
      <x:c r="A18" s="491" t="str">
        <x:v>四节点结论预览（最终数值以88表为准）</x:v>
      </x:c>
      <x:c r="B18" s="491"/>
      <x:c r="C18" s="491"/>
      <x:c r="D18" s="491"/>
      <x:c r="E18" s="491"/>
      <x:c r="F18" s="491"/>
      <x:c r="G18" s="491"/>
      <x:c r="H18" s="491"/>
      <x:c r="I18" s="491"/>
      <x:c r="J18" s="491"/>
      <x:c r="K18" s="491"/>
      <x:c r="L18" s="491"/>
    </x:row>
    <x:row r="19" ht="42" customHeight="1">
      <x:c r="A19" s="485" t="str">
        <x:v>节点</x:v>
      </x:c>
      <x:c r="B19" s="485" t="str">
        <x:v>价格下沿</x:v>
      </x:c>
      <x:c r="C19" s="485" t="str">
        <x:v>点估计</x:v>
      </x:c>
      <x:c r="D19" s="485" t="str">
        <x:v>价格上沿</x:v>
      </x:c>
      <x:c r="E19" s="485" t="str">
        <x:v>商业状态</x:v>
      </x:c>
      <x:c r="F19" s="485" t="str">
        <x:v>置信</x:v>
      </x:c>
    </x:row>
    <x:row r="20" ht="48" customHeight="1">
      <x:c r="A20" s="19" t="str">
        <x:v>N70单电机52kWh候选</x:v>
      </x:c>
      <x:c r="B20" s="414" t="n">
        <x:f>'87_商业定价合成'!F6</x:f>
        <x:v>199900</x:v>
      </x:c>
      <x:c r="C20" s="414" t="n">
        <x:f>'87_商业定价合成'!G6</x:f>
        <x:v>209900</x:v>
      </x:c>
      <x:c r="D20" s="414" t="n">
        <x:f>'87_商业定价合成'!H6</x:f>
        <x:v>229900</x:v>
      </x:c>
      <x:c r="E20" s="19" t="str">
        <x:f>'87_商业定价合成'!C6</x:f>
        <x:v>REGULATORY_ONLY_CANDIDATE</x:v>
      </x:c>
      <x:c r="F20" s="19" t="str">
        <x:f>'87_商业定价合成'!L6</x:f>
        <x:v>LOW</x:v>
      </x:c>
    </x:row>
    <x:row r="21" ht="48" customHeight="1">
      <x:c r="A21" s="486" t="str">
        <x:v>N70 Max</x:v>
      </x:c>
      <x:c r="B21" s="492" t="n">
        <x:f>'87_商业定价合成'!F7</x:f>
        <x:v>249900</x:v>
      </x:c>
      <x:c r="C21" s="492" t="n">
        <x:f>'87_商业定价合成'!G7</x:f>
        <x:v>249900</x:v>
      </x:c>
      <x:c r="D21" s="492" t="n">
        <x:f>'87_商业定价合成'!H7</x:f>
        <x:v>259900</x:v>
      </x:c>
      <x:c r="E21" s="486" t="str">
        <x:f>'87_商业定价合成'!C7</x:f>
        <x:v>OFFICIAL_PRESALE</x:v>
      </x:c>
      <x:c r="F21" s="486" t="str">
        <x:f>'87_商业定价合成'!L7</x:f>
        <x:v>MEDIUM</x:v>
      </x:c>
    </x:row>
    <x:row r="22" ht="48" customHeight="1">
      <x:c r="A22" s="19" t="str">
        <x:v>N90 Max</x:v>
      </x:c>
      <x:c r="B22" s="414" t="n">
        <x:f>'87_商业定价合成'!F8</x:f>
        <x:v>289900</x:v>
      </x:c>
      <x:c r="C22" s="414" t="n">
        <x:f>'87_商业定价合成'!G8</x:f>
        <x:v>289900</x:v>
      </x:c>
      <x:c r="D22" s="414" t="n">
        <x:f>'87_商业定价合成'!H8</x:f>
        <x:v>299900</x:v>
      </x:c>
      <x:c r="E22" s="19" t="str">
        <x:f>'87_商业定价合成'!C8</x:f>
        <x:v>OFFICIAL_PRESALE</x:v>
      </x:c>
      <x:c r="F22" s="19" t="str">
        <x:f>'87_商业定价合成'!L8</x:f>
        <x:v>MEDIUM</x:v>
      </x:c>
    </x:row>
    <x:row r="23" ht="48" customHeight="1">
      <x:c r="A23" s="486" t="str">
        <x:v>N90升顶特殊版候选</x:v>
      </x:c>
      <x:c r="B23" s="492" t="n">
        <x:f>'87_商业定价合成'!F9</x:f>
        <x:v>329900</x:v>
      </x:c>
      <x:c r="C23" s="492" t="n">
        <x:f>'87_商业定价合成'!G9</x:f>
        <x:v>339900</x:v>
      </x:c>
      <x:c r="D23" s="492" t="n">
        <x:f>'87_商业定价合成'!H9</x:f>
        <x:v>389900</x:v>
      </x:c>
      <x:c r="E23" s="486" t="str">
        <x:f>'87_商业定价合成'!C9</x:f>
        <x:v>HOMOLOGATED_NOT_COMMERCIALIZED</x:v>
      </x:c>
      <x:c r="F23" s="486" t="str">
        <x:f>'87_商业定价合成'!L9</x:f>
        <x:v>LOW</x:v>
      </x:c>
    </x:row>
  </x:sheetData>
  <x:mergeCells>
    <x:mergeCell ref="A1:L1"/>
    <x:mergeCell ref="A2:L2"/>
    <x:mergeCell ref="A3:L3"/>
    <x:mergeCell ref="A18:L18"/>
  </x:mergeCells>
  <x:conditionalFormatting sqref="H6:H15">
    <x:cfRule type="containsText" dxfId="1761" priority="1" operator="containsText" text="PASS"/>
    <x:cfRule type="containsText" dxfId="1762" priority="2" operator="containsText" text="READY"/>
    <x:cfRule type="containsText" dxfId="1763" priority="3" operator="containsText" text="LOCKED"/>
    <x:cfRule type="containsText" dxfId="1764" priority="4" operator="containsText" text="OFFICIAL"/>
    <x:cfRule type="containsText" dxfId="1765" priority="5" operator="containsText" text="STRICT"/>
    <x:cfRule type="containsText" dxfId="1766" priority="6" operator="containsText" text="MODE"/>
    <x:cfRule type="containsText" dxfId="1767" priority="7" operator="containsText" text="PROVISIONAL"/>
    <x:cfRule type="containsText" dxfId="1768" priority="8" operator="containsText" text="SCENARIO"/>
    <x:cfRule type="containsText" dxfId="1769" priority="9" operator="containsText" text="HOLD"/>
    <x:cfRule type="containsText" dxfId="1770" priority="10" operator="containsText" text="CANDIDATE"/>
    <x:cfRule type="containsText" dxfId="1771" priority="11" operator="containsText" text="FORECAST"/>
    <x:cfRule type="containsText" dxfId="1772" priority="12" operator="containsText" text="LOW_CONFIDENCE"/>
    <x:cfRule type="containsText" dxfId="1773" priority="13" operator="containsText" text="BLOCKED"/>
    <x:cfRule type="containsText" dxfId="1774" priority="14" operator="containsText" text="FAIL"/>
    <x:cfRule type="containsText" dxfId="1775" priority="15" operator="containsText" text="FALSE"/>
    <x:cfRule type="containsText" dxfId="1776" priority="16" operator="containsText" text="EXCLUDED"/>
    <x:cfRule type="containsText" dxfId="1777" priority="17" operator="containsText" text="ACCESSORY"/>
    <x:cfRule type="containsText" dxfId="1778" priority="18" operator="containsText" text="OPTION"/>
    <x:cfRule type="containsText" dxfId="1779" priority="19" operator="containsText" text="ENGINEERING"/>
    <x:cfRule type="containsText" dxfId="1780" priority="20" operator="containsText" text="REGULATORY"/>
    <x:cfRule type="containsText" dxfId="1781" priority="21" operator="containsText" text="CONDITIONAL"/>
  </x:conditionalFormatting>
  <x:conditionalFormatting sqref="E20:F23">
    <x:cfRule type="containsText" dxfId="1782" priority="22" operator="containsText" text="PASS"/>
    <x:cfRule type="containsText" dxfId="1783" priority="23" operator="containsText" text="READY"/>
    <x:cfRule type="containsText" dxfId="1784" priority="24" operator="containsText" text="LOCKED"/>
    <x:cfRule type="containsText" dxfId="1785" priority="25" operator="containsText" text="OFFICIAL"/>
    <x:cfRule type="containsText" dxfId="1786" priority="26" operator="containsText" text="STRICT"/>
    <x:cfRule type="containsText" dxfId="1787" priority="27" operator="containsText" text="MODE"/>
    <x:cfRule type="containsText" dxfId="1788" priority="28" operator="containsText" text="PROVISIONAL"/>
    <x:cfRule type="containsText" dxfId="1789" priority="29" operator="containsText" text="SCENARIO"/>
    <x:cfRule type="containsText" dxfId="1790" priority="30" operator="containsText" text="HOLD"/>
    <x:cfRule type="containsText" dxfId="1791" priority="31" operator="containsText" text="CANDIDATE"/>
    <x:cfRule type="containsText" dxfId="1792" priority="32" operator="containsText" text="FORECAST"/>
    <x:cfRule type="containsText" dxfId="1793" priority="33" operator="containsText" text="LOW_CONFIDENCE"/>
    <x:cfRule type="containsText" dxfId="1794" priority="34" operator="containsText" text="BLOCKED"/>
    <x:cfRule type="containsText" dxfId="1795" priority="35" operator="containsText" text="FAIL"/>
    <x:cfRule type="containsText" dxfId="1796" priority="36" operator="containsText" text="FALSE"/>
    <x:cfRule type="containsText" dxfId="1797" priority="37" operator="containsText" text="EXCLUDED"/>
    <x:cfRule type="containsText" dxfId="1798" priority="38" operator="containsText" text="ACCESSORY"/>
    <x:cfRule type="containsText" dxfId="1799" priority="39" operator="containsText" text="OPTION"/>
    <x:cfRule type="containsText" dxfId="1800" priority="40" operator="containsText" text="ENGINEERING"/>
    <x:cfRule type="containsText" dxfId="1801" priority="41" operator="containsText" text="REGULATORY"/>
    <x:cfRule type="containsText" dxfId="1802" priority="42" operator="containsText" text="CONDITIONAL"/>
  </x:conditionalFormatting>
  <x:pageMargins left="0.7" right="0.7" top="0.75" bottom="0.75" header="0.3" footer="0.3"/>
</x:worksheet>
</file>

<file path=xl/worksheets/sheet8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17" hidden="0" customWidth="1"/>
    <x:col min="3" max="3" width="34" hidden="0" customWidth="1"/>
    <x:col min="4" max="4" width="14" hidden="0" customWidth="1"/>
    <x:col min="5" max="5" width="14" hidden="0" customWidth="1"/>
    <x:col min="6" max="6" width="14" hidden="0" customWidth="1"/>
    <x:col min="7" max="7" width="12" hidden="0" customWidth="1"/>
    <x:col min="8" max="8" width="29" hidden="0" customWidth="1"/>
    <x:col min="9" max="9" width="30" hidden="0" customWidth="1"/>
    <x:col min="10" max="10" width="20" hidden="0" customWidth="1"/>
    <x:col min="11" max="11" width="25" hidden="0" customWidth="1"/>
    <x:col min="12" max="12" width="27" hidden="0" customWidth="1"/>
    <x:col min="13" max="13" width="44" hidden="0" customWidth="1"/>
  </x:cols>
  <x:sheetData>
    <x:row r="1" ht="30" customHeight="1">
      <x:c r="A1" s="473" t="str">
        <x:v>85｜N70单电机52kWh候选→N70 Max 条件成本桥</x:v>
      </x:c>
      <x:c r="B1" s="473"/>
      <x:c r="C1" s="473"/>
      <x:c r="D1" s="473"/>
      <x:c r="E1" s="473"/>
      <x:c r="F1" s="473"/>
      <x:c r="G1" s="473"/>
      <x:c r="H1" s="473"/>
      <x:c r="I1" s="473"/>
      <x:c r="J1" s="473"/>
      <x:c r="K1" s="473"/>
      <x:c r="L1" s="473"/>
      <x:c r="M1" s="473"/>
    </x:row>
    <x:row r="2" ht="22" customHeight="1">
      <x:c r="A2" s="476" t="str">
        <x:v>监管可证电池/电驱差 × 悬架条件情景 × 普通κ × 末端VAT</x:v>
      </x:c>
      <x:c r="B2" s="476"/>
      <x:c r="C2" s="476"/>
      <x:c r="D2" s="476"/>
      <x:c r="E2" s="476"/>
      <x:c r="F2" s="476"/>
      <x:c r="G2" s="476"/>
      <x:c r="H2" s="476"/>
      <x:c r="I2" s="476"/>
      <x:c r="J2" s="476"/>
      <x:c r="K2" s="476"/>
      <x:c r="L2" s="476"/>
      <x:c r="M2" s="476"/>
    </x:row>
    <x:row r="3" ht="72" customHeight="1">
      <x:c r="A3" s="480" t="str">
        <x:v>F3没有商业SKU和完整配置表。本桥只按可证监管差异与“F3悬架未知”的三情景计算；座舱、智驾、制动和轮胎标准配置全部归零/HOLD。成本行不引用目标售价，价格只在末端算术回接。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  <x:c r="M3" s="480"/>
    </x:row>
    <x:row r="5" ht="56" customHeight="1">
      <x:c r="A5" s="485" t="str">
        <x:v>parameter_id</x:v>
      </x:c>
      <x:c r="B5" s="485" t="str">
        <x:v>层</x:v>
      </x:c>
      <x:c r="C5" s="485" t="str">
        <x:v>参数/项目</x:v>
      </x:c>
      <x:c r="D5" s="485" t="str">
        <x:v>Low</x:v>
      </x:c>
      <x:c r="E5" s="485" t="str">
        <x:v>Mid</x:v>
      </x:c>
      <x:c r="F5" s="485" t="str">
        <x:v>High</x:v>
      </x:c>
      <x:c r="G5" s="485" t="str">
        <x:v>单位</x:v>
      </x:c>
      <x:c r="H5" s="485" t="str">
        <x:v>差异证据</x:v>
      </x:c>
      <x:c r="I5" s="485" t="str">
        <x:v>估值依据</x:v>
      </x:c>
      <x:c r="J5" s="485" t="str">
        <x:v>price_derived_flag</x:v>
      </x:c>
      <x:c r="K5" s="485" t="str">
        <x:v>输入/公式</x:v>
      </x:c>
      <x:c r="L5" s="485" t="str">
        <x:v>防重键</x:v>
      </x:c>
      <x:c r="M5" s="485" t="str">
        <x:v>边界</x:v>
      </x:c>
    </x:row>
    <x:row r="6" ht="52" customHeight="1">
      <x:c r="A6" s="19" t="str">
        <x:v>P_LFP_RATE</x:v>
      </x:c>
      <x:c r="B6" s="19" t="str">
        <x:v>INPUT</x:v>
      </x:c>
      <x:c r="C6" s="19" t="str">
        <x:v>LFP整包单位成本</x:v>
      </x:c>
      <x:c r="D6" s="456" t="n">
        <x:v>500</x:v>
      </x:c>
      <x:c r="E6" s="456" t="n">
        <x:v>580</x:v>
      </x:c>
      <x:c r="F6" s="456" t="n">
        <x:v>680</x:v>
      </x:c>
      <x:c r="G6" s="19" t="str">
        <x:v>元/kWh</x:v>
      </x:c>
      <x:c r="H6" s="19" t="str">
        <x:v>Phase2成本库</x:v>
      </x:c>
      <x:c r="I6" s="19" t="str">
        <x:v>ABS_BAT_LFP_73</x:v>
      </x:c>
      <x:c r="J6" s="19" t="str">
        <x:v>NO</x:v>
      </x:c>
      <x:c r="K6" s="19" t="str">
        <x:v>INPUT</x:v>
      </x:c>
      <x:c r="L6" s="19" t="str">
        <x:v>PACK_RATE_LFP</x:v>
      </x:c>
      <x:c r="M6" s="19" t="str">
        <x:v>含电芯/包体/BMS/包内热管理</x:v>
      </x:c>
    </x:row>
    <x:row r="7" ht="52" customHeight="1">
      <x:c r="A7" s="486" t="str">
        <x:v>P_NCM_RATE</x:v>
      </x:c>
      <x:c r="B7" s="486" t="str">
        <x:v>INPUT</x:v>
      </x:c>
      <x:c r="C7" s="486" t="str">
        <x:v>NCM整包单位成本</x:v>
      </x:c>
      <x:c r="D7" s="493" t="n">
        <x:v>680</x:v>
      </x:c>
      <x:c r="E7" s="493" t="n">
        <x:v>800</x:v>
      </x:c>
      <x:c r="F7" s="493" t="n">
        <x:v>930</x:v>
      </x:c>
      <x:c r="G7" s="486" t="str">
        <x:v>元/kWh</x:v>
      </x:c>
      <x:c r="H7" s="486" t="str">
        <x:v>Phase2成本库</x:v>
      </x:c>
      <x:c r="I7" s="486" t="str">
        <x:v>ABS_BAT_NCM_101</x:v>
      </x:c>
      <x:c r="J7" s="486" t="str">
        <x:v>NO</x:v>
      </x:c>
      <x:c r="K7" s="486" t="str">
        <x:v>INPUT</x:v>
      </x:c>
      <x:c r="L7" s="486" t="str">
        <x:v>PACK_RATE_NCM</x:v>
      </x:c>
      <x:c r="M7" s="486" t="str">
        <x:v>高情景为压力尾，不是N70采购价</x:v>
      </x:c>
    </x:row>
    <x:row r="8" ht="52" customHeight="1">
      <x:c r="A8" s="19" t="str">
        <x:v>P_LFP_CAP</x:v>
      </x:c>
      <x:c r="B8" s="19" t="str">
        <x:v>REGULATORY</x:v>
      </x:c>
      <x:c r="C8" s="19" t="str">
        <x:v>F3电池容量</x:v>
      </x:c>
      <x:c r="D8" s="494" t="n">
        <x:v>52</x:v>
      </x:c>
      <x:c r="E8" s="494" t="n">
        <x:v>52</x:v>
      </x:c>
      <x:c r="F8" s="494" t="n">
        <x:v>52</x:v>
      </x:c>
      <x:c r="G8" s="19" t="str">
        <x:v>kWh</x:v>
      </x:c>
      <x:c r="H8" s="19" t="str">
        <x:v>MIIT409-F3 / E3</x:v>
      </x:c>
      <x:c r="I8" s="19" t="str">
        <x:v>监管转录</x:v>
      </x:c>
      <x:c r="J8" s="19" t="str">
        <x:v>NO</x:v>
      </x:c>
      <x:c r="K8" s="19" t="str">
        <x:v>INPUT</x:v>
      </x:c>
      <x:c r="L8" s="19" t="str">
        <x:v>PACK_F3</x:v>
      </x:c>
      <x:c r="M8" s="19" t="str">
        <x:v>52kWh LFP/380kg/欣旺达</x:v>
      </x:c>
    </x:row>
    <x:row r="9" ht="52" customHeight="1">
      <x:c r="A9" s="486" t="str">
        <x:v>P_NCM_CAP</x:v>
      </x:c>
      <x:c r="B9" s="486" t="str">
        <x:v>REGULATORY</x:v>
      </x:c>
      <x:c r="C9" s="486" t="str">
        <x:v>A1电池容量</x:v>
      </x:c>
      <x:c r="D9" s="495" t="n">
        <x:v>76</x:v>
      </x:c>
      <x:c r="E9" s="495" t="n">
        <x:v>76</x:v>
      </x:c>
      <x:c r="F9" s="495" t="n">
        <x:v>76</x:v>
      </x:c>
      <x:c r="G9" s="486" t="str">
        <x:v>kWh</x:v>
      </x:c>
      <x:c r="H9" s="486" t="str">
        <x:v>MIIT409-A1 / E3</x:v>
      </x:c>
      <x:c r="I9" s="486" t="str">
        <x:v>监管转录</x:v>
      </x:c>
      <x:c r="J9" s="486" t="str">
        <x:v>NO</x:v>
      </x:c>
      <x:c r="K9" s="486" t="str">
        <x:v>INPUT</x:v>
      </x:c>
      <x:c r="L9" s="486" t="str">
        <x:v>PACK_A1</x:v>
      </x:c>
      <x:c r="M9" s="486" t="str">
        <x:v>76kWh NCM/400kg/中创新航；商业绑定仍HOLD</x:v>
      </x:c>
    </x:row>
    <x:row r="10" ht="52" customHeight="1">
      <x:c r="A10" s="19" t="str">
        <x:v>P_EDRIVE_130</x:v>
      </x:c>
      <x:c r="B10" s="19" t="str">
        <x:v>INPUT</x:v>
      </x:c>
      <x:c r="C10" s="19" t="str">
        <x:v>新增130kW电驱成本锚</x:v>
      </x:c>
      <x:c r="D10" s="456" t="n">
        <x:v>4000</x:v>
      </x:c>
      <x:c r="E10" s="456" t="n">
        <x:v>5500</x:v>
      </x:c>
      <x:c r="F10" s="456" t="n">
        <x:v>7500</x:v>
      </x:c>
      <x:c r="G10" s="19" t="str">
        <x:v>元/车</x:v>
      </x:c>
      <x:c r="H10" s="19" t="str">
        <x:v>Phase2成本库</x:v>
      </x:c>
      <x:c r="I10" s="19" t="str">
        <x:v>INC_EDRIVE_235_365</x:v>
      </x:c>
      <x:c r="J10" s="19" t="str">
        <x:v>NO</x:v>
      </x:c>
      <x:c r="K10" s="19" t="str">
        <x:v>INPUT</x:v>
      </x:c>
      <x:c r="L10" s="19" t="str">
        <x:v>EDRIVE_DELTA_BASE</x:v>
      </x:c>
      <x:c r="M10" s="19" t="str">
        <x:v>含电机/逆变器/减速器与AWD集成</x:v>
      </x:c>
    </x:row>
    <x:row r="11" ht="52" customHeight="1">
      <x:c r="A11" s="486" t="str">
        <x:v>P_POWER_SCALE</x:v>
      </x:c>
      <x:c r="B11" s="486" t="str">
        <x:v>FORMULA_INPUT</x:v>
      </x:c>
      <x:c r="C11" s="486" t="str">
        <x:v>100kW÷130kW折算系数</x:v>
      </x:c>
      <x:c r="D11" s="496" t="n">
        <x:v>0.7692307692307693</x:v>
      </x:c>
      <x:c r="E11" s="496" t="n">
        <x:v>0.7692307692307693</x:v>
      </x:c>
      <x:c r="F11" s="496" t="n">
        <x:v>0.7692307692307693</x:v>
      </x:c>
      <x:c r="G11" s="486" t="str">
        <x:v>x</x:v>
      </x:c>
      <x:c r="H11" s="486" t="str">
        <x:v>F3→A1新增100kW</x:v>
      </x:c>
      <x:c r="I11" s="486" t="str">
        <x:v>线性量级折算</x:v>
      </x:c>
      <x:c r="J11" s="486" t="str">
        <x:v>NO</x:v>
      </x:c>
      <x:c r="K11" s="486" t="str">
        <x:v>INPUT</x:v>
      </x:c>
      <x:c r="L11" s="486" t="str">
        <x:v>EDRIVE_SCALE</x:v>
      </x:c>
      <x:c r="M11" s="486" t="str">
        <x:v>非供应商报价</x:v>
      </x:c>
    </x:row>
    <x:row r="12" ht="52" customHeight="1">
      <x:c r="A12" s="19" t="str">
        <x:v>P_SUSPENSION</x:v>
      </x:c>
      <x:c r="B12" s="19" t="str">
        <x:v>CONDITIONAL</x:v>
      </x:c>
      <x:c r="C12" s="19" t="str">
        <x:v>空簧/CDC差异</x:v>
      </x:c>
      <x:c r="D12" s="456" t="n">
        <x:v>0</x:v>
      </x:c>
      <x:c r="E12" s="456" t="n">
        <x:v>5000</x:v>
      </x:c>
      <x:c r="F12" s="456" t="n">
        <x:v>9500</x:v>
      </x:c>
      <x:c r="G12" s="19" t="str">
        <x:v>元/车</x:v>
      </x:c>
      <x:c r="H12" s="19" t="str">
        <x:v>N70 Max明确标配；F3未披露</x:v>
      </x:c>
      <x:c r="I12" s="19" t="str">
        <x:v>共享全套 / 缺空簧 / 缺空簧+CDC</x:v>
      </x:c>
      <x:c r="J12" s="19" t="str">
        <x:v>NO</x:v>
      </x:c>
      <x:c r="K12" s="19" t="str">
        <x:v>INPUT</x:v>
      </x:c>
      <x:c r="L12" s="19" t="str">
        <x:v>AIR_CDC_CONDITION</x:v>
      </x:c>
      <x:c r="M12" s="19" t="str">
        <x:v>不得反写F3已锁钢簧</x:v>
      </x:c>
    </x:row>
    <x:row r="13" ht="52" customHeight="1">
      <x:c r="A13" s="486" t="str">
        <x:v>P_MFG_RATE</x:v>
      </x:c>
      <x:c r="B13" s="486" t="str">
        <x:v>OVERLAY</x:v>
      </x:c>
      <x:c r="C13" s="486" t="str">
        <x:v>制造复杂度覆盖率</x:v>
      </x:c>
      <x:c r="D13" s="497" t="n">
        <x:v>0.01</x:v>
      </x:c>
      <x:c r="E13" s="497" t="n">
        <x:v>0.02</x:v>
      </x:c>
      <x:c r="F13" s="497" t="n">
        <x:v>0.04</x:v>
      </x:c>
      <x:c r="G13" s="486" t="str">
        <x:v>%</x:v>
      </x:c>
      <x:c r="H13" s="486" t="str">
        <x:v>Phase2成本库</x:v>
      </x:c>
      <x:c r="I13" s="486" t="str">
        <x:v>RATE_MANUFACTURING</x:v>
      </x:c>
      <x:c r="J13" s="486" t="str">
        <x:v>NO</x:v>
      </x:c>
      <x:c r="K13" s="486" t="str">
        <x:v>INPUT</x:v>
      </x:c>
      <x:c r="L13" s="486" t="str">
        <x:v>M09_ONCE</x:v>
      </x:c>
      <x:c r="M13" s="486" t="str">
        <x:v>物理BOM×率</x:v>
      </x:c>
    </x:row>
    <x:row r="14" ht="52" customHeight="1">
      <x:c r="A14" s="19" t="str">
        <x:v>P_WARRANTY_RATE</x:v>
      </x:c>
      <x:c r="B14" s="19" t="str">
        <x:v>OVERLAY</x:v>
      </x:c>
      <x:c r="C14" s="19" t="str">
        <x:v>质保风险覆盖率</x:v>
      </x:c>
      <x:c r="D14" s="454" t="n">
        <x:v>0.005</x:v>
      </x:c>
      <x:c r="E14" s="454" t="n">
        <x:v>0.015</x:v>
      </x:c>
      <x:c r="F14" s="454" t="n">
        <x:v>0.03</x:v>
      </x:c>
      <x:c r="G14" s="19" t="str">
        <x:v>%</x:v>
      </x:c>
      <x:c r="H14" s="19" t="str">
        <x:v>Phase2成本库</x:v>
      </x:c>
      <x:c r="I14" s="19" t="str">
        <x:v>RATE_WARRANTY</x:v>
      </x:c>
      <x:c r="J14" s="19" t="str">
        <x:v>NO</x:v>
      </x:c>
      <x:c r="K14" s="19" t="str">
        <x:v>INPUT</x:v>
      </x:c>
      <x:c r="L14" s="19" t="str">
        <x:v>M10_ONCE</x:v>
      </x:c>
      <x:c r="M14" s="19" t="str">
        <x:v>物理BOM×率；不复利</x:v>
      </x:c>
    </x:row>
    <x:row r="15" ht="52" customHeight="1">
      <x:c r="A15" s="486" t="str">
        <x:v>P_KAPPA</x:v>
      </x:c>
      <x:c r="B15" s="486" t="str">
        <x:v>PRICING</x:v>
      </x:c>
      <x:c r="C15" s="486" t="str">
        <x:v>普通硬件价格传导κ</x:v>
      </x:c>
      <x:c r="D15" s="496" t="n">
        <x:v>1.0254431631664882</x:v>
      </x:c>
      <x:c r="E15" s="496" t="n">
        <x:v>1.0694836789414475</x:v>
      </x:c>
      <x:c r="F15" s="496" t="n">
        <x:v>1.2206571280521978</x:v>
      </x:c>
      <x:c r="G15" s="486" t="str">
        <x:v>x</x:v>
      </x:c>
      <x:c r="H15" s="486" t="str">
        <x:v>35_澎程规则</x:v>
      </x:c>
      <x:c r="I15" s="486" t="str">
        <x:v>四条普通桥</x:v>
      </x:c>
      <x:c r="J15" s="486" t="str">
        <x:v>NO</x:v>
      </x:c>
      <x:c r="K15" s="486" t="str">
        <x:v>INPUT</x:v>
      </x:c>
      <x:c r="L15" s="486" t="str">
        <x:v>KAPPA_ONCE</x:v>
      </x:c>
      <x:c r="M15" s="486" t="str">
        <x:v>Pro门槛权重0；Max名称不自动加价</x:v>
      </x:c>
    </x:row>
    <x:row r="16" ht="52" customHeight="1">
      <x:c r="A16" s="19" t="str">
        <x:v>P_VAT</x:v>
      </x:c>
      <x:c r="B16" s="19" t="str">
        <x:v>PRICING</x:v>
      </x:c>
      <x:c r="C16" s="19" t="str">
        <x:v>增值税率</x:v>
      </x:c>
      <x:c r="D16" s="454" t="n">
        <x:v>0.13</x:v>
      </x:c>
      <x:c r="E16" s="454" t="n">
        <x:v>0.13</x:v>
      </x:c>
      <x:c r="F16" s="454" t="n">
        <x:v>0.13</x:v>
      </x:c>
      <x:c r="G16" s="19" t="str">
        <x:v>%</x:v>
      </x:c>
      <x:c r="H16" s="19" t="str">
        <x:v>法规口径</x:v>
      </x:c>
      <x:c r="I16" s="19" t="str">
        <x:v>末端一次</x:v>
      </x:c>
      <x:c r="J16" s="19" t="str">
        <x:v>NO</x:v>
      </x:c>
      <x:c r="K16" s="19" t="str">
        <x:v>INPUT</x:v>
      </x:c>
      <x:c r="L16" s="19" t="str">
        <x:v>VAT_ONCE</x:v>
      </x:c>
      <x:c r="M16" s="19" t="str">
        <x:v>成本行不含税</x:v>
      </x:c>
    </x:row>
    <x:row r="17" ht="52" customHeight="1">
      <x:c r="A17" s="486" t="str">
        <x:v>P_N70_FORMAL_MODE</x:v>
      </x:c>
      <x:c r="B17" s="486" t="str">
        <x:v>COMMERCIAL</x:v>
      </x:c>
      <x:c r="C17" s="486" t="str">
        <x:v>N70 Max正式价模式</x:v>
      </x:c>
      <x:c r="D17" s="493" t="n">
        <x:f>'86_预售转正式价'!B23</x:f>
        <x:v>249900</x:v>
      </x:c>
      <x:c r="E17" s="493" t="n">
        <x:f>'86_预售转正式价'!B23</x:f>
        <x:v>249900</x:v>
      </x:c>
      <x:c r="F17" s="493" t="n">
        <x:f>'86_预售转正式价'!B23</x:f>
        <x:v>249900</x:v>
      </x:c>
      <x:c r="G17" s="486" t="str">
        <x:v>元</x:v>
      </x:c>
      <x:c r="H17" s="486" t="str">
        <x:v>86_预售转正式价</x:v>
      </x:c>
      <x:c r="I17" s="486" t="str">
        <x:v>模式情景</x:v>
      </x:c>
      <x:c r="J17" s="486" t="str">
        <x:v>YES_PRICE_LAYER</x:v>
      </x:c>
      <x:c r="K17" s="486" t="str">
        <x:v>FORMULA</x:v>
      </x:c>
      <x:c r="L17" s="486" t="str">
        <x:v>FORMAL_ANCHOR</x:v>
      </x:c>
      <x:c r="M17" s="486" t="str">
        <x:v>只用于末端算术回接</x:v>
      </x:c>
    </x:row>
    <x:row r="19" ht="24" customHeight="1">
      <x:c r="A19" s="491" t="str">
        <x:v>条件成本与含税技术价差（所有计算由上表回链）</x:v>
      </x:c>
      <x:c r="B19" s="491"/>
      <x:c r="C19" s="491"/>
      <x:c r="D19" s="491"/>
      <x:c r="E19" s="491"/>
      <x:c r="F19" s="491"/>
      <x:c r="G19" s="491"/>
      <x:c r="H19" s="491"/>
      <x:c r="I19" s="491"/>
      <x:c r="J19" s="491"/>
      <x:c r="K19" s="491"/>
      <x:c r="L19" s="491"/>
      <x:c r="M19" s="491"/>
    </x:row>
    <x:row r="20" ht="52" customHeight="1">
      <x:c r="A20" s="485" t="str">
        <x:v>calc_id</x:v>
      </x:c>
      <x:c r="B20" s="485" t="str">
        <x:v>层</x:v>
      </x:c>
      <x:c r="C20" s="485" t="str">
        <x:v>计算项</x:v>
      </x:c>
      <x:c r="D20" s="485" t="str">
        <x:v>Low</x:v>
      </x:c>
      <x:c r="E20" s="485" t="str">
        <x:v>Mid</x:v>
      </x:c>
      <x:c r="F20" s="485" t="str">
        <x:v>High</x:v>
      </x:c>
      <x:c r="G20" s="485" t="str">
        <x:v>单位</x:v>
      </x:c>
      <x:c r="H20" s="485" t="str">
        <x:v>公式口径</x:v>
      </x:c>
      <x:c r="I20" s="485" t="str">
        <x:v>状态</x:v>
      </x:c>
      <x:c r="J20" s="485" t="str">
        <x:v>price_derived_flag</x:v>
      </x:c>
      <x:c r="K20" s="485" t="str">
        <x:v>可以说</x:v>
      </x:c>
      <x:c r="L20" s="485" t="str">
        <x:v>不能说</x:v>
      </x:c>
      <x:c r="M20" s="485" t="str">
        <x:v>来源</x:v>
      </x:c>
    </x:row>
    <x:row r="21" ht="50" customHeight="1">
      <x:c r="A21" s="19" t="str">
        <x:v>C-B1-01</x:v>
      </x:c>
      <x:c r="B21" s="19" t="str">
        <x:v>BATTERY</x:v>
      </x:c>
      <x:c r="C21" s="19" t="str">
        <x:v>F3 52kWh LFP整包成本</x:v>
      </x:c>
      <x:c r="D21" s="414" t="n">
        <x:f>D8*D6</x:f>
        <x:v>26000</x:v>
      </x:c>
      <x:c r="E21" s="414" t="n">
        <x:f>E8*E6</x:f>
        <x:v>30160</x:v>
      </x:c>
      <x:c r="F21" s="414" t="n">
        <x:f>F8*F6</x:f>
        <x:v>35360</x:v>
      </x:c>
      <x:c r="G21" s="19" t="str">
        <x:v>元</x:v>
      </x:c>
      <x:c r="H21" s="19" t="str">
        <x:v>52×LFP单位成本</x:v>
      </x:c>
      <x:c r="I21" s="19" t="str">
        <x:v>ENGINEERING_ABSOLUTE</x:v>
      </x:c>
      <x:c r="J21" s="19" t="str">
        <x:v>NO</x:v>
      </x:c>
      <x:c r="K21" s="19" t="str">
        <x:v>工程量级</x:v>
      </x:c>
      <x:c r="L21" s="19" t="str">
        <x:v>不是小米采购价/官方价</x:v>
      </x:c>
      <x:c r="M21" s="19" t="str">
        <x:v>上表参数</x:v>
      </x:c>
    </x:row>
    <x:row r="22" ht="50" customHeight="1">
      <x:c r="A22" s="486" t="str">
        <x:v>C-B1-02</x:v>
      </x:c>
      <x:c r="B22" s="486" t="str">
        <x:v>BATTERY</x:v>
      </x:c>
      <x:c r="C22" s="486" t="str">
        <x:v>A1 76kWh NCM整包成本</x:v>
      </x:c>
      <x:c r="D22" s="492" t="n">
        <x:f>D9*D7</x:f>
        <x:v>51680</x:v>
      </x:c>
      <x:c r="E22" s="492" t="n">
        <x:f>E9*E7</x:f>
        <x:v>60800</x:v>
      </x:c>
      <x:c r="F22" s="492" t="n">
        <x:f>F9*F7</x:f>
        <x:v>70680</x:v>
      </x:c>
      <x:c r="G22" s="486" t="str">
        <x:v>元</x:v>
      </x:c>
      <x:c r="H22" s="486" t="str">
        <x:v>76×NCM单位成本</x:v>
      </x:c>
      <x:c r="I22" s="486" t="str">
        <x:v>ENGINEERING_ABSOLUTE</x:v>
      </x:c>
      <x:c r="J22" s="486" t="str">
        <x:v>NO</x:v>
      </x:c>
      <x:c r="K22" s="486" t="str">
        <x:v>工程量级</x:v>
      </x:c>
      <x:c r="L22" s="486" t="str">
        <x:v>不是小米采购价/官方价</x:v>
      </x:c>
      <x:c r="M22" s="486" t="str">
        <x:v>上表参数</x:v>
      </x:c>
    </x:row>
    <x:row r="23" ht="50" customHeight="1">
      <x:c r="A23" s="19" t="str">
        <x:v>C-B1-03</x:v>
      </x:c>
      <x:c r="B23" s="19" t="str">
        <x:v>BATTERY</x:v>
      </x:c>
      <x:c r="C23" s="19" t="str">
        <x:v>电池整包置换增量</x:v>
      </x:c>
      <x:c r="D23" s="414" t="n">
        <x:f>D22-D21</x:f>
        <x:v>25680</x:v>
      </x:c>
      <x:c r="E23" s="414" t="n">
        <x:f>E22-E21</x:f>
        <x:v>30640</x:v>
      </x:c>
      <x:c r="F23" s="414" t="n">
        <x:f>F22-F21</x:f>
        <x:v>35320</x:v>
      </x:c>
      <x:c r="G23" s="19" t="str">
        <x:v>元</x:v>
      </x:c>
      <x:c r="H23" s="19" t="str">
        <x:v>A1−F3；只计一次</x:v>
      </x:c>
      <x:c r="I23" s="19" t="str">
        <x:v>CORE_IDENTIFIED</x:v>
      </x:c>
      <x:c r="J23" s="19" t="str">
        <x:v>NO</x:v>
      </x:c>
      <x:c r="K23" s="19" t="str">
        <x:v>工程量级</x:v>
      </x:c>
      <x:c r="L23" s="19" t="str">
        <x:v>不是小米采购价/官方价</x:v>
      </x:c>
      <x:c r="M23" s="19" t="str">
        <x:v>上表参数</x:v>
      </x:c>
    </x:row>
    <x:row r="24" ht="50" customHeight="1">
      <x:c r="A24" s="486" t="str">
        <x:v>C-B1-04</x:v>
      </x:c>
      <x:c r="B24" s="486" t="str">
        <x:v>EDRIVE</x:v>
      </x:c>
      <x:c r="C24" s="486" t="str">
        <x:v>新增100kW电驱及四驱集成</x:v>
      </x:c>
      <x:c r="D24" s="492" t="n">
        <x:f>D10*D11</x:f>
        <x:v>3076.923076923077</x:v>
      </x:c>
      <x:c r="E24" s="492" t="n">
        <x:f>E10*E11</x:f>
        <x:v>4230.769230769231</x:v>
      </x:c>
      <x:c r="F24" s="492" t="n">
        <x:f>F10*F11</x:f>
        <x:v>5769.2307692307695</x:v>
      </x:c>
      <x:c r="G24" s="486" t="str">
        <x:v>元</x:v>
      </x:c>
      <x:c r="H24" s="486" t="str">
        <x:v>130kW锚×100/130</x:v>
      </x:c>
      <x:c r="I24" s="486" t="str">
        <x:v>CORE_IDENTIFIED</x:v>
      </x:c>
      <x:c r="J24" s="486" t="str">
        <x:v>NO</x:v>
      </x:c>
      <x:c r="K24" s="486" t="str">
        <x:v>工程量级</x:v>
      </x:c>
      <x:c r="L24" s="486" t="str">
        <x:v>不是小米采购价/官方价</x:v>
      </x:c>
      <x:c r="M24" s="486" t="str">
        <x:v>上表参数</x:v>
      </x:c>
    </x:row>
    <x:row r="25" ht="50" customHeight="1">
      <x:c r="A25" s="19" t="str">
        <x:v>C-B1-05</x:v>
      </x:c>
      <x:c r="B25" s="19" t="str">
        <x:v>CHASSIS</x:v>
      </x:c>
      <x:c r="C25" s="19" t="str">
        <x:v>空簧/CDC条件增量</x:v>
      </x:c>
      <x:c r="D25" s="414" t="n">
        <x:f>D12</x:f>
        <x:v>0</x:v>
      </x:c>
      <x:c r="E25" s="414" t="n">
        <x:f>E12</x:f>
        <x:v>5000</x:v>
      </x:c>
      <x:c r="F25" s="414" t="n">
        <x:f>F12</x:f>
        <x:v>9500</x:v>
      </x:c>
      <x:c r="G25" s="19" t="str">
        <x:v>元</x:v>
      </x:c>
      <x:c r="H25" s="19" t="str">
        <x:v>0 / 5000 / 9500</x:v>
      </x:c>
      <x:c r="I25" s="19" t="str">
        <x:v>CONDITIONAL</x:v>
      </x:c>
      <x:c r="J25" s="19" t="str">
        <x:v>NO</x:v>
      </x:c>
      <x:c r="K25" s="19" t="str">
        <x:v>工程量级</x:v>
      </x:c>
      <x:c r="L25" s="19" t="str">
        <x:v>不是小米采购价/官方价</x:v>
      </x:c>
      <x:c r="M25" s="19" t="str">
        <x:v>上表参数</x:v>
      </x:c>
    </x:row>
    <x:row r="26" ht="50" customHeight="1">
      <x:c r="A26" s="486" t="str">
        <x:v>C-B1-06</x:v>
      </x:c>
      <x:c r="B26" s="486" t="str">
        <x:v>BOM</x:v>
      </x:c>
      <x:c r="C26" s="486" t="str">
        <x:v>物理BOM小计</x:v>
      </x:c>
      <x:c r="D26" s="492" t="n">
        <x:f>SUM(D23:D25)</x:f>
        <x:v>28756.923076923078</x:v>
      </x:c>
      <x:c r="E26" s="492" t="n">
        <x:f>SUM(E23:E25)</x:f>
        <x:v>39870.769230769234</x:v>
      </x:c>
      <x:c r="F26" s="492" t="n">
        <x:f>SUM(F23:F25)</x:f>
        <x:v>50589.230769230766</x:v>
      </x:c>
      <x:c r="G26" s="486" t="str">
        <x:v>元</x:v>
      </x:c>
      <x:c r="H26" s="486" t="str">
        <x:v>电池+电驱+悬架</x:v>
      </x:c>
      <x:c r="I26" s="486" t="str">
        <x:v>ENGINEERING_COST</x:v>
      </x:c>
      <x:c r="J26" s="486" t="str">
        <x:v>NO</x:v>
      </x:c>
      <x:c r="K26" s="486" t="str">
        <x:v>工程量级</x:v>
      </x:c>
      <x:c r="L26" s="486" t="str">
        <x:v>不是小米采购价/官方价</x:v>
      </x:c>
      <x:c r="M26" s="486" t="str">
        <x:v>上表参数</x:v>
      </x:c>
    </x:row>
    <x:row r="27" ht="50" customHeight="1">
      <x:c r="A27" s="19" t="str">
        <x:v>C-B1-07</x:v>
      </x:c>
      <x:c r="B27" s="19" t="str">
        <x:v>OVERLAY</x:v>
      </x:c>
      <x:c r="C27" s="19" t="str">
        <x:v>制造复杂度M09</x:v>
      </x:c>
      <x:c r="D27" s="414" t="n">
        <x:f>D26*D13</x:f>
        <x:v>287.5692307692308</x:v>
      </x:c>
      <x:c r="E27" s="414" t="n">
        <x:f>E26*E13</x:f>
        <x:v>797.4153846153847</x:v>
      </x:c>
      <x:c r="F27" s="414" t="n">
        <x:f>F26*F13</x:f>
        <x:v>2023.5692307692307</x:v>
      </x:c>
      <x:c r="G27" s="19" t="str">
        <x:v>元</x:v>
      </x:c>
      <x:c r="H27" s="19" t="str">
        <x:v>物理BOM×制造率</x:v>
      </x:c>
      <x:c r="I27" s="19" t="str">
        <x:v>ENGINEERING_COST</x:v>
      </x:c>
      <x:c r="J27" s="19" t="str">
        <x:v>NO</x:v>
      </x:c>
      <x:c r="K27" s="19" t="str">
        <x:v>工程量级</x:v>
      </x:c>
      <x:c r="L27" s="19" t="str">
        <x:v>不是小米采购价/官方价</x:v>
      </x:c>
      <x:c r="M27" s="19" t="str">
        <x:v>上表参数</x:v>
      </x:c>
    </x:row>
    <x:row r="28" ht="50" customHeight="1">
      <x:c r="A28" s="486" t="str">
        <x:v>C-B1-08</x:v>
      </x:c>
      <x:c r="B28" s="486" t="str">
        <x:v>OVERLAY</x:v>
      </x:c>
      <x:c r="C28" s="486" t="str">
        <x:v>质保风险M10</x:v>
      </x:c>
      <x:c r="D28" s="492" t="n">
        <x:f>D26*D14</x:f>
        <x:v>143.7846153846154</x:v>
      </x:c>
      <x:c r="E28" s="492" t="n">
        <x:f>E26*E14</x:f>
        <x:v>598.0615384615385</x:v>
      </x:c>
      <x:c r="F28" s="492" t="n">
        <x:f>F26*F14</x:f>
        <x:v>1517.676923076923</x:v>
      </x:c>
      <x:c r="G28" s="486" t="str">
        <x:v>元</x:v>
      </x:c>
      <x:c r="H28" s="486" t="str">
        <x:v>物理BOM×质保率</x:v>
      </x:c>
      <x:c r="I28" s="486" t="str">
        <x:v>ENGINEERING_COST</x:v>
      </x:c>
      <x:c r="J28" s="486" t="str">
        <x:v>NO</x:v>
      </x:c>
      <x:c r="K28" s="486" t="str">
        <x:v>工程量级</x:v>
      </x:c>
      <x:c r="L28" s="486" t="str">
        <x:v>不是小米采购价/官方价</x:v>
      </x:c>
      <x:c r="M28" s="486" t="str">
        <x:v>上表参数</x:v>
      </x:c>
    </x:row>
    <x:row r="29" ht="50" customHeight="1">
      <x:c r="A29" s="19" t="str">
        <x:v>C-B1-09</x:v>
      </x:c>
      <x:c r="B29" s="19" t="str">
        <x:v>COST</x:v>
      </x:c>
      <x:c r="C29" s="19" t="str">
        <x:v>总增量成本</x:v>
      </x:c>
      <x:c r="D29" s="414" t="n">
        <x:f>SUM(D26:D28)</x:f>
        <x:v>29188.276923076923</x:v>
      </x:c>
      <x:c r="E29" s="414" t="n">
        <x:f>SUM(E26:E28)</x:f>
        <x:v>41266.24615384616</x:v>
      </x:c>
      <x:c r="F29" s="414" t="n">
        <x:f>SUM(F26:F28)</x:f>
        <x:v>54130.476923076916</x:v>
      </x:c>
      <x:c r="G29" s="19" t="str">
        <x:v>元</x:v>
      </x:c>
      <x:c r="H29" s="19" t="str">
        <x:v>物理BOM+M09+M10</x:v>
      </x:c>
      <x:c r="I29" s="19" t="str">
        <x:v>ENGINEERING_COST</x:v>
      </x:c>
      <x:c r="J29" s="19" t="str">
        <x:v>NO</x:v>
      </x:c>
      <x:c r="K29" s="19" t="str">
        <x:v>工程量级</x:v>
      </x:c>
      <x:c r="L29" s="19" t="str">
        <x:v>不是小米采购价/官方价</x:v>
      </x:c>
      <x:c r="M29" s="19" t="str">
        <x:v>上表参数</x:v>
      </x:c>
    </x:row>
    <x:row r="30" ht="50" customHeight="1">
      <x:c r="A30" s="486" t="str">
        <x:v>C-B1-10</x:v>
      </x:c>
      <x:c r="B30" s="486" t="str">
        <x:v>PRICING</x:v>
      </x:c>
      <x:c r="C30" s="486" t="str">
        <x:v>κ后未税技术价差</x:v>
      </x:c>
      <x:c r="D30" s="492" t="n">
        <x:f>D29*D15</x:f>
        <x:v>29930.91901537941</x:v>
      </x:c>
      <x:c r="E30" s="492" t="n">
        <x:f>E29*E15</x:f>
        <x:v>44133.57675271874</x:v>
      </x:c>
      <x:c r="F30" s="492" t="n">
        <x:f>F29*F15</x:f>
        <x:v>66074.75250101884</x:v>
      </x:c>
      <x:c r="G30" s="486" t="str">
        <x:v>元</x:v>
      </x:c>
      <x:c r="H30" s="486" t="str">
        <x:v>总成本×κ</x:v>
      </x:c>
      <x:c r="I30" s="486" t="str">
        <x:v>PRICE_COST_DRIVEN</x:v>
      </x:c>
      <x:c r="J30" s="486" t="str">
        <x:v>NO</x:v>
      </x:c>
      <x:c r="K30" s="486" t="str">
        <x:v>工程量级</x:v>
      </x:c>
      <x:c r="L30" s="486" t="str">
        <x:v>不是小米采购价/官方价</x:v>
      </x:c>
      <x:c r="M30" s="486" t="str">
        <x:v>上表参数</x:v>
      </x:c>
    </x:row>
    <x:row r="31" ht="50" customHeight="1">
      <x:c r="A31" s="19" t="str">
        <x:v>C-B1-11</x:v>
      </x:c>
      <x:c r="B31" s="19" t="str">
        <x:v>PRICING</x:v>
      </x:c>
      <x:c r="C31" s="19" t="str">
        <x:v>含税技术价差</x:v>
      </x:c>
      <x:c r="D31" s="414" t="n">
        <x:f>D30*(1+D16)</x:f>
        <x:v>33821.938487378735</x:v>
      </x:c>
      <x:c r="E31" s="414" t="n">
        <x:f>E30*(1+E16)</x:f>
        <x:v>49870.94173057217</x:v>
      </x:c>
      <x:c r="F31" s="414" t="n">
        <x:f>F30*(1+F16)</x:f>
        <x:v>74664.47032615128</x:v>
      </x:c>
      <x:c r="G31" s="19" t="str">
        <x:v>元</x:v>
      </x:c>
      <x:c r="H31" s="19" t="str">
        <x:v>κ后价差×1.13</x:v>
      </x:c>
      <x:c r="I31" s="19" t="str">
        <x:v>PRICE_COST_DRIVEN</x:v>
      </x:c>
      <x:c r="J31" s="19" t="str">
        <x:v>NO</x:v>
      </x:c>
      <x:c r="K31" s="19" t="str">
        <x:v>工程量级</x:v>
      </x:c>
      <x:c r="L31" s="19" t="str">
        <x:v>不是小米采购价/官方价</x:v>
      </x:c>
      <x:c r="M31" s="19" t="str">
        <x:v>上表参数</x:v>
      </x:c>
    </x:row>
    <x:row r="32" ht="50" customHeight="1">
      <x:c r="A32" s="486" t="str">
        <x:v>C-B1-12</x:v>
      </x:c>
      <x:c r="B32" s="486" t="str">
        <x:v>ARITHMETIC</x:v>
      </x:c>
      <x:c r="C32" s="486" t="str">
        <x:v>按25.99万预售锚反推低阶</x:v>
      </x:c>
      <x:c r="D32" s="492" t="n">
        <x:f>259900-D31</x:f>
        <x:v>226078.06151262127</x:v>
      </x:c>
      <x:c r="E32" s="492" t="n">
        <x:f>259900-E31</x:f>
        <x:v>210029.05826942783</x:v>
      </x:c>
      <x:c r="F32" s="492" t="n">
        <x:f>259900-F31</x:f>
        <x:v>185235.5296738487</x:v>
      </x:c>
      <x:c r="G32" s="486" t="str">
        <x:v>元</x:v>
      </x:c>
      <x:c r="H32" s="486" t="str">
        <x:v>259900−含税技术价差</x:v>
      </x:c>
      <x:c r="I32" s="486" t="str">
        <x:v>PRESALE_ARITHMETIC</x:v>
      </x:c>
      <x:c r="J32" s="486" t="str">
        <x:v>YES_PRICE_LAYER</x:v>
      </x:c>
      <x:c r="K32" s="486" t="str">
        <x:v>条件算术结果</x:v>
      </x:c>
      <x:c r="L32" s="486" t="str">
        <x:v>不是官方价格</x:v>
      </x:c>
      <x:c r="M32" s="486" t="str">
        <x:v>41_商业节点</x:v>
      </x:c>
    </x:row>
    <x:row r="33" ht="50" customHeight="1">
      <x:c r="A33" s="19" t="str">
        <x:v>C-B1-13</x:v>
      </x:c>
      <x:c r="B33" s="19" t="str">
        <x:v>ARITHMETIC</x:v>
      </x:c>
      <x:c r="C33" s="19" t="str">
        <x:v>按正式价模式反推低阶</x:v>
      </x:c>
      <x:c r="D33" s="414" t="n">
        <x:f>D17-D31</x:f>
        <x:v>216078.06151262127</x:v>
      </x:c>
      <x:c r="E33" s="414" t="n">
        <x:f>E17-E31</x:f>
        <x:v>200029.05826942783</x:v>
      </x:c>
      <x:c r="F33" s="414" t="n">
        <x:f>F17-F31</x:f>
        <x:v>175235.5296738487</x:v>
      </x:c>
      <x:c r="G33" s="19" t="str">
        <x:v>元</x:v>
      </x:c>
      <x:c r="H33" s="19" t="str">
        <x:v>正式N70 Max模式−含税技术价差</x:v>
      </x:c>
      <x:c r="I33" s="19" t="str">
        <x:v>FORMAL_SCENARIO_ARITHMETIC</x:v>
      </x:c>
      <x:c r="J33" s="19" t="str">
        <x:v>YES_PRICE_LAYER</x:v>
      </x:c>
      <x:c r="K33" s="19" t="str">
        <x:v>条件算术结果</x:v>
      </x:c>
      <x:c r="L33" s="19" t="str">
        <x:v>不是官方价格</x:v>
      </x:c>
      <x:c r="M33" s="19" t="str">
        <x:v>86_预售转正式价</x:v>
      </x:c>
    </x:row>
    <x:row r="34" ht="50" customHeight="1">
      <x:c r="A34" s="486" t="str">
        <x:v>C-B1-14</x:v>
      </x:c>
      <x:c r="B34" s="486" t="str">
        <x:v>MARKET_GRID</x:v>
      </x:c>
      <x:c r="C34" s="486" t="str">
        <x:v>反推值吸附至x.99心理位</x:v>
      </x:c>
      <x:c r="D34" s="492" t="n">
        <x:f>ROUND((D33-9900)/10000,0)*10000+9900</x:f>
        <x:v>219900</x:v>
      </x:c>
      <x:c r="E34" s="492" t="n">
        <x:f>ROUND((E33-9900)/10000,0)*10000+9900</x:f>
        <x:v>199900</x:v>
      </x:c>
      <x:c r="F34" s="492" t="n">
        <x:f>ROUND((F33-9900)/10000,0)*10000+9900</x:f>
        <x:v>179900</x:v>
      </x:c>
      <x:c r="G34" s="486" t="str">
        <x:v>元</x:v>
      </x:c>
      <x:c r="H34" s="486" t="str">
        <x:v>最接近的x.99万元</x:v>
      </x:c>
      <x:c r="I34" s="486" t="str">
        <x:v>PSYCHOLOGICAL_DIAGNOSTIC</x:v>
      </x:c>
      <x:c r="J34" s="486" t="str">
        <x:v>YES_PRICE_LAYER</x:v>
      </x:c>
      <x:c r="K34" s="486" t="str">
        <x:v>工程量级</x:v>
      </x:c>
      <x:c r="L34" s="486" t="str">
        <x:v>不是官方价格</x:v>
      </x:c>
      <x:c r="M34" s="486" t="str">
        <x:v>86_预售转正式价</x:v>
      </x:c>
    </x:row>
    <x:row r="36" ht="48" customHeight="1">
      <x:c r="A36" s="19" t="str">
        <x:v>主判读</x:v>
      </x:c>
      <x:c r="B36" s="19" t="str">
        <x:v>正式N70 Max若为24.99万，纯成本中值反推约20.00万；最终主点20.99万保留一档商业围栏。</x:v>
      </x:c>
      <x:c r="C36" s="19" t="str"/>
      <x:c r="D36" s="19" t="str"/>
      <x:c r="E36" s="19" t="str"/>
      <x:c r="F36" s="19" t="str"/>
      <x:c r="G36" s="19" t="str"/>
      <x:c r="H36" s="19" t="str"/>
      <x:c r="I36" s="19" t="str"/>
      <x:c r="J36" s="19" t="str"/>
      <x:c r="K36" s="19" t="str"/>
      <x:c r="L36" s="19" t="str"/>
      <x:c r="M36" s="19" t="str"/>
    </x:row>
    <x:row r="37" ht="48" customHeight="1">
      <x:c r="A37" s="486" t="str">
        <x:v>联动反证</x:v>
      </x:c>
      <x:c r="B37" s="486" t="str">
        <x:v>若N70 Max正式价不降、仍为25.99万，低阶主点相应上移至21.99万。</x:v>
      </x:c>
      <x:c r="C37" s="486" t="str"/>
      <x:c r="D37" s="486" t="str"/>
      <x:c r="E37" s="486" t="str"/>
      <x:c r="F37" s="486" t="str"/>
      <x:c r="G37" s="486" t="str"/>
      <x:c r="H37" s="486" t="str"/>
      <x:c r="I37" s="486" t="str"/>
      <x:c r="J37" s="486" t="str"/>
      <x:c r="K37" s="486" t="str"/>
      <x:c r="L37" s="486" t="str"/>
      <x:c r="M37" s="486" t="str"/>
    </x:row>
    <x:row r="38" ht="48" customHeight="1">
      <x:c r="A38" s="19" t="str">
        <x:v>边界</x:v>
      </x:c>
      <x:c r="B38" s="19" t="str">
        <x:v>F3若不商品化，本桥保留为监管工程情景，不进入正式商业全系。</x:v>
      </x:c>
      <x:c r="C38" s="19" t="str"/>
      <x:c r="D38" s="19" t="str"/>
      <x:c r="E38" s="19" t="str"/>
      <x:c r="F38" s="19" t="str"/>
      <x:c r="G38" s="19" t="str"/>
      <x:c r="H38" s="19" t="str"/>
      <x:c r="I38" s="19" t="str"/>
      <x:c r="J38" s="19" t="str"/>
      <x:c r="K38" s="19" t="str"/>
      <x:c r="L38" s="19" t="str"/>
      <x:c r="M38" s="19" t="str"/>
    </x:row>
  </x:sheetData>
  <x:mergeCells>
    <x:mergeCell ref="A1:M1"/>
    <x:mergeCell ref="A2:M2"/>
    <x:mergeCell ref="A3:M3"/>
    <x:mergeCell ref="A19:M19"/>
    <x:mergeCell ref="B36:M36"/>
    <x:mergeCell ref="B37:M37"/>
    <x:mergeCell ref="B38:M38"/>
  </x:mergeCells>
  <x:conditionalFormatting sqref="B6:B17">
    <x:cfRule type="containsText" dxfId="1803" priority="1" operator="containsText" text="PASS"/>
    <x:cfRule type="containsText" dxfId="1804" priority="2" operator="containsText" text="READY"/>
    <x:cfRule type="containsText" dxfId="1805" priority="3" operator="containsText" text="LOCKED"/>
    <x:cfRule type="containsText" dxfId="1806" priority="4" operator="containsText" text="OFFICIAL"/>
    <x:cfRule type="containsText" dxfId="1807" priority="5" operator="containsText" text="STRICT"/>
    <x:cfRule type="containsText" dxfId="1808" priority="6" operator="containsText" text="MODE"/>
    <x:cfRule type="containsText" dxfId="1809" priority="7" operator="containsText" text="PROVISIONAL"/>
    <x:cfRule type="containsText" dxfId="1810" priority="8" operator="containsText" text="SCENARIO"/>
    <x:cfRule type="containsText" dxfId="1811" priority="9" operator="containsText" text="HOLD"/>
    <x:cfRule type="containsText" dxfId="1812" priority="10" operator="containsText" text="CANDIDATE"/>
    <x:cfRule type="containsText" dxfId="1813" priority="11" operator="containsText" text="FORECAST"/>
    <x:cfRule type="containsText" dxfId="1814" priority="12" operator="containsText" text="LOW_CONFIDENCE"/>
    <x:cfRule type="containsText" dxfId="1815" priority="13" operator="containsText" text="BLOCKED"/>
    <x:cfRule type="containsText" dxfId="1816" priority="14" operator="containsText" text="FAIL"/>
    <x:cfRule type="containsText" dxfId="1817" priority="15" operator="containsText" text="FALSE"/>
    <x:cfRule type="containsText" dxfId="1818" priority="16" operator="containsText" text="EXCLUDED"/>
    <x:cfRule type="containsText" dxfId="1819" priority="17" operator="containsText" text="ACCESSORY"/>
    <x:cfRule type="containsText" dxfId="1820" priority="18" operator="containsText" text="OPTION"/>
    <x:cfRule type="containsText" dxfId="1821" priority="19" operator="containsText" text="ENGINEERING"/>
    <x:cfRule type="containsText" dxfId="1822" priority="20" operator="containsText" text="REGULATORY"/>
    <x:cfRule type="containsText" dxfId="1823" priority="21" operator="containsText" text="CONDITIONAL"/>
  </x:conditionalFormatting>
  <x:conditionalFormatting sqref="I21:I34">
    <x:cfRule type="containsText" dxfId="1824" priority="22" operator="containsText" text="PASS"/>
    <x:cfRule type="containsText" dxfId="1825" priority="23" operator="containsText" text="READY"/>
    <x:cfRule type="containsText" dxfId="1826" priority="24" operator="containsText" text="LOCKED"/>
    <x:cfRule type="containsText" dxfId="1827" priority="25" operator="containsText" text="OFFICIAL"/>
    <x:cfRule type="containsText" dxfId="1828" priority="26" operator="containsText" text="STRICT"/>
    <x:cfRule type="containsText" dxfId="1829" priority="27" operator="containsText" text="MODE"/>
    <x:cfRule type="containsText" dxfId="1830" priority="28" operator="containsText" text="PROVISIONAL"/>
    <x:cfRule type="containsText" dxfId="1831" priority="29" operator="containsText" text="SCENARIO"/>
    <x:cfRule type="containsText" dxfId="1832" priority="30" operator="containsText" text="HOLD"/>
    <x:cfRule type="containsText" dxfId="1833" priority="31" operator="containsText" text="CANDIDATE"/>
    <x:cfRule type="containsText" dxfId="1834" priority="32" operator="containsText" text="FORECAST"/>
    <x:cfRule type="containsText" dxfId="1835" priority="33" operator="containsText" text="LOW_CONFIDENCE"/>
    <x:cfRule type="containsText" dxfId="1836" priority="34" operator="containsText" text="BLOCKED"/>
    <x:cfRule type="containsText" dxfId="1837" priority="35" operator="containsText" text="FAIL"/>
    <x:cfRule type="containsText" dxfId="1838" priority="36" operator="containsText" text="FALSE"/>
    <x:cfRule type="containsText" dxfId="1839" priority="37" operator="containsText" text="EXCLUDED"/>
    <x:cfRule type="containsText" dxfId="1840" priority="38" operator="containsText" text="ACCESSORY"/>
    <x:cfRule type="containsText" dxfId="1841" priority="39" operator="containsText" text="OPTION"/>
    <x:cfRule type="containsText" dxfId="1842" priority="40" operator="containsText" text="ENGINEERING"/>
    <x:cfRule type="containsText" dxfId="1843" priority="41" operator="containsText" text="REGULATORY"/>
    <x:cfRule type="containsText" dxfId="1844" priority="42" operator="containsText" text="CONDITIONAL"/>
  </x:conditionalFormatting>
  <x:pageMargins left="0.7" right="0.7" top="0.75" bottom="0.75" header="0.3" footer="0.3"/>
</x:worksheet>
</file>

<file path=xl/worksheets/sheet8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9" hidden="0" customWidth="1"/>
    <x:col min="2" max="2" width="28" hidden="0" customWidth="1"/>
    <x:col min="3" max="3" width="16" hidden="0" customWidth="1"/>
    <x:col min="4" max="4" width="14" hidden="0" customWidth="1"/>
    <x:col min="5" max="5" width="18" hidden="0" customWidth="1"/>
    <x:col min="6" max="6" width="18" hidden="0" customWidth="1"/>
    <x:col min="7" max="7" width="26" hidden="0" customWidth="1"/>
    <x:col min="8" max="8" width="38" hidden="0" customWidth="1"/>
    <x:col min="9" max="9" width="35" hidden="0" customWidth="1"/>
    <x:col min="10" max="10" width="38" hidden="0" customWidth="1"/>
  </x:cols>
  <x:sheetData>
    <x:row r="1" ht="36" customHeight="1">
      <x:c r="A1" s="626" t="str">
        <x:v>【历史阶段｜不得作为最终结论】86_预售转正式价</x:v>
      </x:c>
      <x:c r="B1" s="626"/>
      <x:c r="C1" s="626"/>
      <x:c r="D1" s="626"/>
      <x:c r="E1" s="626"/>
      <x:c r="F1" s="626"/>
      <x:c r="G1" s="626"/>
      <x:c r="H1" s="626"/>
      <x:c r="I1" s="626"/>
      <x:c r="J1" s="626"/>
      <x:c r="K1" s="626"/>
      <x:c r="L1" s="626"/>
      <x:c r="M1" s="626"/>
      <x:c r="N1" s="626"/>
      <x:c r="O1" s="626"/>
      <x:c r="P1" s="626"/>
      <x:c r="Q1" s="626"/>
      <x:c r="R1" s="626"/>
      <x:c r="S1" s="626"/>
      <x:c r="T1" s="626"/>
      <x:c r="U1" s="626"/>
      <x:c r="V1" s="626"/>
      <x:c r="W1" s="626"/>
      <x:c r="X1" s="626"/>
      <x:c r="Y1" s="626"/>
      <x:c r="Z1" s="626"/>
    </x:row>
    <x:row r="2" ht="30" customHeight="1">
      <x:c r="A2" s="626" t="str">
        <x:v>本表保留用于审计追溯；最终结论以142_最终反证审计与134_全系结论为准。</x:v>
      </x:c>
      <x:c r="B2" s="626"/>
      <x:c r="C2" s="626"/>
      <x:c r="D2" s="626"/>
      <x:c r="E2" s="626"/>
      <x:c r="F2" s="626"/>
      <x:c r="G2" s="626"/>
      <x:c r="H2" s="626"/>
      <x:c r="I2" s="626"/>
      <x:c r="J2" s="626"/>
      <x:c r="K2" s="626"/>
      <x:c r="L2" s="626"/>
      <x:c r="M2" s="626"/>
      <x:c r="N2" s="626"/>
      <x:c r="O2" s="626"/>
      <x:c r="P2" s="626"/>
      <x:c r="Q2" s="626"/>
      <x:c r="R2" s="626"/>
      <x:c r="S2" s="626"/>
      <x:c r="T2" s="626"/>
      <x:c r="U2" s="626"/>
      <x:c r="V2" s="626"/>
      <x:c r="W2" s="626"/>
      <x:c r="X2" s="626"/>
      <x:c r="Y2" s="626"/>
      <x:c r="Z2" s="626"/>
    </x:row>
    <x:row r="3" ht="72" customHeight="1">
      <x:c r="A3" s="480" t="str">
        <x:v>本地样本只有一次SU7预售转正式价。Max只降0.60万元受旧梯度约束，不能固化为“Max规则”。因此保留不降、降0.60万、降1.00万三情景；权重是可调整判断，不是统计概率。</x:v>
      </x:c>
      <x:c r="B3" s="480"/>
      <x:c r="C3" s="480"/>
      <x:c r="D3" s="480"/>
      <x:c r="E3" s="480"/>
      <x:c r="F3" s="480"/>
      <x:c r="G3" s="480"/>
      <x:c r="H3" s="480"/>
      <x:c r="I3" s="480"/>
      <x:c r="J3" s="480"/>
    </x:row>
    <x:row r="5" ht="50" customHeight="1">
      <x:c r="A5" s="485" t="str">
        <x:v>样本</x:v>
      </x:c>
      <x:c r="B5" s="485" t="str">
        <x:v>版本</x:v>
      </x:c>
      <x:c r="C5" s="485" t="str">
        <x:v>预售价</x:v>
      </x:c>
      <x:c r="D5" s="485" t="str">
        <x:v>正式价</x:v>
      </x:c>
      <x:c r="E5" s="485" t="str">
        <x:v>下调</x:v>
      </x:c>
      <x:c r="F5" s="485" t="str">
        <x:v>事件</x:v>
      </x:c>
      <x:c r="G5" s="485" t="str">
        <x:v>证据状态</x:v>
      </x:c>
      <x:c r="H5" s="485" t="str">
        <x:v>可复用性</x:v>
      </x:c>
      <x:c r="I5" s="485" t="str">
        <x:v>可以说</x:v>
      </x:c>
      <x:c r="J5" s="485" t="str">
        <x:v>不能说</x:v>
      </x:c>
    </x:row>
    <x:row r="6" ht="52" customHeight="1">
      <x:c r="A6" s="19" t="str">
        <x:v>SU7-2026</x:v>
      </x:c>
      <x:c r="B6" s="19" t="str">
        <x:v>标准版</x:v>
      </x:c>
      <x:c r="C6" s="414" t="n">
        <x:v>229900</x:v>
      </x:c>
      <x:c r="D6" s="414" t="n">
        <x:v>219900</x:v>
      </x:c>
      <x:c r="E6" s="414" t="n">
        <x:v>10000</x:v>
      </x:c>
      <x:c r="F6" s="19" t="str">
        <x:v>2026-01-07→2026-03-19</x:v>
      </x:c>
      <x:c r="G6" s="19" t="str">
        <x:v>OFFICIAL_HISTORY</x:v>
      </x:c>
      <x:c r="H6" s="19" t="str">
        <x:v>弱样本</x:v>
      </x:c>
      <x:c r="I6" s="19" t="str">
        <x:v>曾下调1万</x:v>
      </x:c>
      <x:c r="J6" s="19" t="str">
        <x:v>预售必降1万</x:v>
      </x:c>
    </x:row>
    <x:row r="7" ht="52" customHeight="1">
      <x:c r="A7" s="486" t="str">
        <x:v>SU7-2026</x:v>
      </x:c>
      <x:c r="B7" s="486" t="str">
        <x:v>Pro</x:v>
      </x:c>
      <x:c r="C7" s="492" t="n">
        <x:v>259900</x:v>
      </x:c>
      <x:c r="D7" s="492" t="n">
        <x:v>249900</x:v>
      </x:c>
      <x:c r="E7" s="492" t="n">
        <x:v>10000</x:v>
      </x:c>
      <x:c r="F7" s="486" t="str">
        <x:v>2026-01-07→2026-03-19</x:v>
      </x:c>
      <x:c r="G7" s="486" t="str">
        <x:v>OFFICIAL_HISTORY</x:v>
      </x:c>
      <x:c r="H7" s="486" t="str">
        <x:v>弱样本</x:v>
      </x:c>
      <x:c r="I7" s="486" t="str">
        <x:v>曾下调1万</x:v>
      </x:c>
      <x:c r="J7" s="486" t="str">
        <x:v>所有中配固定规则</x:v>
      </x:c>
    </x:row>
    <x:row r="8" ht="52" customHeight="1">
      <x:c r="A8" s="19" t="str">
        <x:v>SU7-2026</x:v>
      </x:c>
      <x:c r="B8" s="19" t="str">
        <x:v>Max</x:v>
      </x:c>
      <x:c r="C8" s="414" t="n">
        <x:v>309900</x:v>
      </x:c>
      <x:c r="D8" s="414" t="n">
        <x:v>303900</x:v>
      </x:c>
      <x:c r="E8" s="414" t="n">
        <x:v>6000</x:v>
      </x:c>
      <x:c r="F8" s="19" t="str">
        <x:v>2026-01-07→2026-03-19</x:v>
      </x:c>
      <x:c r="G8" s="19" t="str">
        <x:v>OFFICIAL_HISTORY_CONSTRAINED</x:v>
      </x:c>
      <x:c r="H8" s="19" t="str">
        <x:v>受旧价梯度约束</x:v>
      </x:c>
      <x:c r="I8" s="19" t="str">
        <x:v>曾下调0.6万</x:v>
      </x:c>
      <x:c r="J8" s="19" t="str">
        <x:v>凡Max只降0.6万</x:v>
      </x:c>
    </x:row>
    <x:row r="9" ht="52" customHeight="1">
      <x:c r="A9" s="486" t="str">
        <x:v>YU7</x:v>
      </x:c>
      <x:c r="B9" s="486" t="str">
        <x:v>普通四款</x:v>
      </x:c>
      <x:c r="C9" s="492"/>
      <x:c r="D9" s="492"/>
      <x:c r="E9" s="492"/>
      <x:c r="F9" s="486" t="str">
        <x:v>无官方预售价样本</x:v>
      </x:c>
      <x:c r="G9" s="486" t="str">
        <x:v>NO_PRESALE_SAMPLE</x:v>
      </x:c>
      <x:c r="H9" s="486" t="str">
        <x:v>不可用于转价回归</x:v>
      </x:c>
      <x:c r="I9" s="486" t="str">
        <x:v>无预售→正式样本</x:v>
      </x:c>
      <x:c r="J9" s="486" t="str">
        <x:v>填媒体预测</x:v>
      </x:c>
    </x:row>
    <x:row r="12" ht="24" customHeight="1">
      <x:c r="A12" s="491" t="str">
        <x:v>澎程正式价情景（权重可改；模式与期望值同时保留）</x:v>
      </x:c>
      <x:c r="B12" s="491"/>
      <x:c r="C12" s="491"/>
      <x:c r="D12" s="491"/>
      <x:c r="E12" s="491"/>
      <x:c r="F12" s="491"/>
      <x:c r="G12" s="491"/>
      <x:c r="H12" s="491"/>
      <x:c r="I12" s="491"/>
      <x:c r="J12" s="491"/>
    </x:row>
    <x:row r="13" ht="52" customHeight="1">
      <x:c r="A13" s="485" t="str">
        <x:v>scenario_id</x:v>
      </x:c>
      <x:c r="B13" s="485" t="str">
        <x:v>情景</x:v>
      </x:c>
      <x:c r="C13" s="485" t="str">
        <x:v>下调金额</x:v>
      </x:c>
      <x:c r="D13" s="485" t="str">
        <x:v>权重</x:v>
      </x:c>
      <x:c r="E13" s="485" t="str">
        <x:v>N70 Max正式价</x:v>
      </x:c>
      <x:c r="F13" s="485" t="str">
        <x:v>N90 Max正式价</x:v>
      </x:c>
      <x:c r="G13" s="485" t="str">
        <x:v>状态</x:v>
      </x:c>
      <x:c r="H13" s="485" t="str">
        <x:v>依据</x:v>
      </x:c>
      <x:c r="I13" s="485" t="str">
        <x:v>风险</x:v>
      </x:c>
      <x:c r="J13" s="485" t="str">
        <x:v>解释边界</x:v>
      </x:c>
    </x:row>
    <x:row r="14" ht="56" customHeight="1">
      <x:c r="A14" s="19" t="str">
        <x:v>PS-HOLD</x:v>
      </x:c>
      <x:c r="B14" s="19" t="str">
        <x:v>预售价不变</x:v>
      </x:c>
      <x:c r="C14" s="456" t="n">
        <x:v>0</x:v>
      </x:c>
      <x:c r="D14" s="454" t="n">
        <x:v>0.2</x:v>
      </x:c>
      <x:c r="E14" s="414" t="n">
        <x:f>259900-C14</x:f>
        <x:v>259900</x:v>
      </x:c>
      <x:c r="F14" s="414" t="n">
        <x:f>299900-C14</x:f>
        <x:v>299900</x:v>
      </x:c>
      <x:c r="G14" s="19" t="str">
        <x:v>HOLD_PRICE</x:v>
      </x:c>
      <x:c r="H14" s="19" t="str">
        <x:v>新车系仍可能直接转正式</x:v>
      </x:c>
      <x:c r="I14" s="19" t="str">
        <x:v>没有发布会惊喜</x:v>
      </x:c>
      <x:c r="J14" s="19" t="str">
        <x:v>不能称预售价上限</x:v>
      </x:c>
    </x:row>
    <x:row r="15" ht="56" customHeight="1">
      <x:c r="A15" s="486" t="str">
        <x:v>PS-MAX-ANALOG</x:v>
      </x:c>
      <x:c r="B15" s="486" t="str">
        <x:v>沿用SU7 Max下调幅度</x:v>
      </x:c>
      <x:c r="C15" s="493" t="n">
        <x:v>6000</x:v>
      </x:c>
      <x:c r="D15" s="497" t="n">
        <x:v>0.26666666666666666</x:v>
      </x:c>
      <x:c r="E15" s="492" t="n">
        <x:f>259900-C15</x:f>
        <x:v>253900</x:v>
      </x:c>
      <x:c r="F15" s="492" t="n">
        <x:f>299900-C15</x:f>
        <x:v>293900</x:v>
      </x:c>
      <x:c r="G15" s="486" t="str">
        <x:v>SCENARIO</x:v>
      </x:c>
      <x:c r="H15" s="486" t="str">
        <x:v>唯一Max历史幅度</x:v>
      </x:c>
      <x:c r="I15" s="486" t="str">
        <x:v>该历史受旧梯度约束</x:v>
      </x:c>
      <x:c r="J15" s="486" t="str">
        <x:v>不是Max固定规则</x:v>
      </x:c>
    </x:row>
    <x:row r="16" ht="56" customHeight="1">
      <x:c r="A16" s="19" t="str">
        <x:v>PS-LAUNCH</x:v>
      </x:c>
      <x:c r="B16" s="19" t="str">
        <x:v>发布会主情景下调1万</x:v>
      </x:c>
      <x:c r="C16" s="456" t="n">
        <x:v>10000</x:v>
      </x:c>
      <x:c r="D16" s="454" t="n">
        <x:v>0.5333333333333333</x:v>
      </x:c>
      <x:c r="E16" s="414" t="n">
        <x:f>259900-C16</x:f>
        <x:v>249900</x:v>
      </x:c>
      <x:c r="F16" s="414" t="n">
        <x:f>299900-C16</x:f>
        <x:v>289900</x:v>
      </x:c>
      <x:c r="G16" s="19" t="str">
        <x:v>MODE_SCENARIO</x:v>
      </x:c>
      <x:c r="H16" s="19" t="str">
        <x:v>SU7三档中2/3如此；新家族重设价格</x:v>
      </x:c>
      <x:c r="I16" s="19" t="str">
        <x:v>主观判断</x:v>
      </x:c>
      <x:c r="J16" s="19" t="str">
        <x:v>不是统计概率</x:v>
      </x:c>
    </x:row>
    <x:row r="17" ht="40" customHeight="1">
      <x:c r="A17" s="19" t="str">
        <x:v>权重合计</x:v>
      </x:c>
      <x:c r="B17" s="19" t="str"/>
      <x:c r="C17" s="19" t="str"/>
      <x:c r="D17" s="23" t="n">
        <x:f>SUM(D14:D16)</x:f>
        <x:v>1</x:v>
      </x:c>
      <x:c r="E17" s="19" t="str"/>
      <x:c r="F17" s="19" t="str"/>
      <x:c r="G17" s="19" t="str">
        <x:v>CHECK</x:v>
      </x:c>
      <x:c r="H17" s="19" t="str">
        <x:v>应为100%</x:v>
      </x:c>
      <x:c r="I17" s="19" t="str"/>
      <x:c r="J17" s="19" t="str"/>
    </x:row>
    <x:row r="20" ht="24" customHeight="1">
      <x:c r="A20" s="491" t="str">
        <x:v>澎程Max正式价输出</x:v>
      </x:c>
      <x:c r="B20" s="491"/>
      <x:c r="C20" s="491"/>
      <x:c r="D20" s="491"/>
      <x:c r="E20" s="491"/>
      <x:c r="F20" s="491"/>
      <x:c r="G20" s="491"/>
      <x:c r="H20" s="491"/>
      <x:c r="I20" s="491"/>
      <x:c r="J20" s="491"/>
    </x:row>
    <x:row r="21" ht="44" customHeight="1">
      <x:c r="A21" s="485" t="str">
        <x:v>指标</x:v>
      </x:c>
      <x:c r="B21" s="485" t="str">
        <x:v>N70 Max</x:v>
      </x:c>
      <x:c r="C21" s="485" t="str">
        <x:v>N90 Max</x:v>
      </x:c>
      <x:c r="D21" s="485" t="str">
        <x:v>单位</x:v>
      </x:c>
      <x:c r="E21" s="485" t="str">
        <x:v>用途</x:v>
      </x:c>
      <x:c r="F21" s="485" t="str">
        <x:v>状态</x:v>
      </x:c>
    </x:row>
    <x:row r="22" ht="44" customHeight="1">
      <x:c r="A22" s="19" t="str">
        <x:v>官方预售价</x:v>
      </x:c>
      <x:c r="B22" s="414" t="n">
        <x:v>259900</x:v>
      </x:c>
      <x:c r="C22" s="414" t="n">
        <x:v>299900</x:v>
      </x:c>
      <x:c r="D22" s="19" t="str">
        <x:v>元</x:v>
      </x:c>
      <x:c r="E22" s="19" t="str">
        <x:v>已知事实</x:v>
      </x:c>
      <x:c r="F22" s="19" t="str">
        <x:v>OFFICIAL_PRESALE</x:v>
      </x:c>
    </x:row>
    <x:row r="23" ht="44" customHeight="1">
      <x:c r="A23" s="486" t="str">
        <x:v>最可能正式广告价/模式</x:v>
      </x:c>
      <x:c r="B23" s="492" t="n">
        <x:f>E16</x:f>
        <x:v>249900</x:v>
      </x:c>
      <x:c r="C23" s="492" t="n">
        <x:f>F16</x:f>
        <x:v>289900</x:v>
      </x:c>
      <x:c r="D23" s="486" t="str">
        <x:v>元</x:v>
      </x:c>
      <x:c r="E23" s="486" t="str">
        <x:v>最终点估计</x:v>
      </x:c>
      <x:c r="F23" s="486" t="str">
        <x:v>MODE_FORECAST</x:v>
      </x:c>
    </x:row>
    <x:row r="24" ht="44" customHeight="1">
      <x:c r="A24" s="19" t="str">
        <x:v>情景下沿</x:v>
      </x:c>
      <x:c r="B24" s="414" t="n">
        <x:f>MIN(E14:E16)</x:f>
        <x:v>249900</x:v>
      </x:c>
      <x:c r="C24" s="414" t="n">
        <x:f>MIN(F14:F16)</x:f>
        <x:v>289900</x:v>
      </x:c>
      <x:c r="D24" s="19" t="str">
        <x:v>元</x:v>
      </x:c>
      <x:c r="E24" s="19" t="str">
        <x:v>范围下沿</x:v>
      </x:c>
      <x:c r="F24" s="19" t="str">
        <x:v>SCENARIO_RANGE</x:v>
      </x:c>
    </x:row>
    <x:row r="25" ht="44" customHeight="1">
      <x:c r="A25" s="486" t="str">
        <x:v>情景上沿</x:v>
      </x:c>
      <x:c r="B25" s="492" t="n">
        <x:f>MAX(E14:E16)</x:f>
        <x:v>259900</x:v>
      </x:c>
      <x:c r="C25" s="492" t="n">
        <x:f>MAX(F14:F16)</x:f>
        <x:v>299900</x:v>
      </x:c>
      <x:c r="D25" s="486" t="str">
        <x:v>元</x:v>
      </x:c>
      <x:c r="E25" s="486" t="str">
        <x:v>范围上沿</x:v>
      </x:c>
      <x:c r="F25" s="486" t="str">
        <x:v>SCENARIO_RANGE</x:v>
      </x:c>
    </x:row>
    <x:row r="26">
      <x:c r="B26" s="467"/>
      <x:c r="C26" s="467"/>
    </x:row>
    <x:row r="27" ht="44" customHeight="1">
      <x:c r="A27" s="19" t="str">
        <x:v>情景加权均值</x:v>
      </x:c>
      <x:c r="B27" s="414" t="n">
        <x:f>D14*E14+D15*E15+D16*E16</x:f>
        <x:v>252966.6666666667</x:v>
      </x:c>
      <x:c r="C27" s="414" t="n">
        <x:f>D14*F14+D15*F15+D16*F16</x:f>
        <x:v>292966.6666666666</x:v>
      </x:c>
      <x:c r="D27" s="19" t="str">
        <x:v>元</x:v>
      </x:c>
      <x:c r="E27" s="19" t="str">
        <x:v>风险管理，不替代广告点</x:v>
      </x:c>
      <x:c r="F27" s="19" t="str">
        <x:v>EXPECTED_VALUE_ONLY</x:v>
      </x:c>
    </x:row>
  </x:sheetData>
  <x:mergeCells>
    <x:mergeCell ref="A1:J1"/>
    <x:mergeCell ref="A2:J2"/>
    <x:mergeCell ref="A3:J3"/>
    <x:mergeCell ref="A12:J12"/>
    <x:mergeCell ref="A20:J20"/>
  </x:mergeCells>
  <x:conditionalFormatting sqref="G6:G9">
    <x:cfRule type="containsText" dxfId="1845" priority="1" operator="containsText" text="PASS"/>
    <x:cfRule type="containsText" dxfId="1846" priority="2" operator="containsText" text="READY"/>
    <x:cfRule type="containsText" dxfId="1847" priority="3" operator="containsText" text="LOCKED"/>
    <x:cfRule type="containsText" dxfId="1848" priority="4" operator="containsText" text="OFFICIAL"/>
    <x:cfRule type="containsText" dxfId="1849" priority="5" operator="containsText" text="STRICT"/>
    <x:cfRule type="containsText" dxfId="1850" priority="6" operator="containsText" text="MODE"/>
    <x:cfRule type="containsText" dxfId="1851" priority="7" operator="containsText" text="PROVISIONAL"/>
    <x:cfRule type="containsText" dxfId="1852" priority="8" operator="containsText" text="SCENARIO"/>
    <x:cfRule type="containsText" dxfId="1853" priority="9" operator="containsText" text="HOLD"/>
    <x:cfRule type="containsText" dxfId="1854" priority="10" operator="containsText" text="CANDIDATE"/>
    <x:cfRule type="containsText" dxfId="1855" priority="11" operator="containsText" text="FORECAST"/>
    <x:cfRule type="containsText" dxfId="1856" priority="12" operator="containsText" text="LOW_CONFIDENCE"/>
    <x:cfRule type="containsText" dxfId="1857" priority="13" operator="containsText" text="BLOCKED"/>
    <x:cfRule type="containsText" dxfId="1858" priority="14" operator="containsText" text="FAIL"/>
    <x:cfRule type="containsText" dxfId="1859" priority="15" operator="containsText" text="FALSE"/>
    <x:cfRule type="containsText" dxfId="1860" priority="16" operator="containsText" text="EXCLUDED"/>
    <x:cfRule type="containsText" dxfId="1861" priority="17" operator="containsText" text="ACCESSORY"/>
    <x:cfRule type="containsText" dxfId="1862" priority="18" operator="containsText" text="OPTION"/>
    <x:cfRule type="containsText" dxfId="1863" priority="19" operator="containsText" text="ENGINEERING"/>
    <x:cfRule type="containsText" dxfId="1864" priority="20" operator="containsText" text="REGULATORY"/>
    <x:cfRule type="containsText" dxfId="1865" priority="21" operator="containsText" text="CONDITIONAL"/>
  </x:conditionalFormatting>
  <x:conditionalFormatting sqref="G14:G16">
    <x:cfRule type="containsText" dxfId="1866" priority="22" operator="containsText" text="PASS"/>
    <x:cfRule type="containsText" dxfId="1867" priority="23" operator="containsText" text="READY"/>
    <x:cfRule type="containsText" dxfId="1868" priority="24" operator="containsText" text="LOCKED"/>
    <x:cfRule type="containsText" dxfId="1869" priority="25" operator="containsText" text="OFFICIAL"/>
    <x:cfRule type="containsText" dxfId="1870" priority="26" operator="containsText" text="STRICT"/>
    <x:cfRule type="containsText" dxfId="1871" priority="27" operator="containsText" text="MODE"/>
    <x:cfRule type="containsText" dxfId="1872" priority="28" operator="containsText" text="PROVISIONAL"/>
    <x:cfRule type="containsText" dxfId="1873" priority="29" operator="containsText" text="SCENARIO"/>
    <x:cfRule type="containsText" dxfId="1874" priority="30" operator="containsText" text="HOLD"/>
    <x:cfRule type="containsText" dxfId="1875" priority="31" operator="containsText" text="CANDIDATE"/>
    <x:cfRule type="containsText" dxfId="1876" priority="32" operator="containsText" text="FORECAST"/>
    <x:cfRule type="containsText" dxfId="1877" priority="33" operator="containsText" text="LOW_CONFIDENCE"/>
    <x:cfRule type="containsText" dxfId="1878" priority="34" operator="containsText" text="BLOCKED"/>
    <x:cfRule type="containsText" dxfId="1879" priority="35" operator="containsText" text="FAIL"/>
    <x:cfRule type="containsText" dxfId="1880" priority="36" operator="containsText" text="FALSE"/>
    <x:cfRule type="containsText" dxfId="1881" priority="37" operator="containsText" text="EXCLUDED"/>
    <x:cfRule type="containsText" dxfId="1882" priority="38" operator="containsText" text="ACCESSORY"/>
    <x:cfRule type="containsText" dxfId="1883" priority="39" operator="containsText" text="OPTION"/>
    <x:cfRule type="containsText" dxfId="1884" priority="40" operator="containsText" text="ENGINEERING"/>
    <x:cfRule type="containsText" dxfId="1885" priority="41" operator="containsText" text="REGULATORY"/>
    <x:cfRule type="containsText" dxfId="1886" priority="42" operator="containsText" text="CONDITIONAL"/>
  </x:conditionalFormatting>
  <x:conditionalFormatting sqref="G17:G17">
    <x:cfRule type="containsText" dxfId="1887" priority="43" operator="containsText" text="PASS"/>
    <x:cfRule type="containsText" dxfId="1888" priority="44" operator="containsText" text="READY"/>
    <x:cfRule type="containsText" dxfId="1889" priority="45" operator="containsText" text="LOCKED"/>
    <x:cfRule type="containsText" dxfId="1890" priority="46" operator="containsText" text="OFFICIAL"/>
    <x:cfRule type="containsText" dxfId="1891" priority="47" operator="containsText" text="STRICT"/>
    <x:cfRule type="containsText" dxfId="1892" priority="48" operator="containsText" text="MODE"/>
    <x:cfRule type="containsText" dxfId="1893" priority="49" operator="containsText" text="PROVISIONAL"/>
    <x:cfRule type="containsText" dxfId="1894" priority="50" operator="containsText" text="SCENARIO"/>
    <x:cfRule type="containsText" dxfId="1895" priority="51" operator="containsText" text="HOLD"/>
    <x:cfRule type="containsText" dxfId="1896" priority="52" operator="containsText" text="CANDIDATE"/>
    <x:cfRule type="containsText" dxfId="1897" priority="53" operator="containsText" text="FORECAST"/>
    <x:cfRule type="containsText" dxfId="1898" priority="54" operator="containsText" text="LOW_CONFIDENCE"/>
    <x:cfRule type="containsText" dxfId="1899" priority="55" operator="containsText" text="BLOCKED"/>
    <x:cfRule type="containsText" dxfId="1900" priority="56" operator="containsText" text="FAIL"/>
    <x:cfRule type="containsText" dxfId="1901" priority="57" operator="containsText" text="FALSE"/>
    <x:cfRule type="containsText" dxfId="1902" priority="58" operator="containsText" text="EXCLUDED"/>
    <x:cfRule type="containsText" dxfId="1903" priority="59" operator="containsText" text="ACCESSORY"/>
    <x:cfRule type="containsText" dxfId="1904" priority="60" operator="containsText" text="OPTION"/>
    <x:cfRule type="containsText" dxfId="1905" priority="61" operator="containsText" text="ENGINEERING"/>
    <x:cfRule type="containsText" dxfId="1906" priority="62" operator="containsText" text="REGULATORY"/>
    <x:cfRule type="containsText" dxfId="1907" priority="63" operator="containsText" text="CONDITIONAL"/>
  </x:conditionalFormatting>
  <x:conditionalFormatting sqref="F22:F27">
    <x:cfRule type="containsText" dxfId="1908" priority="64" operator="containsText" text="PASS"/>
    <x:cfRule type="containsText" dxfId="1909" priority="65" operator="containsText" text="READY"/>
    <x:cfRule type="containsText" dxfId="1910" priority="66" operator="containsText" text="LOCKED"/>
    <x:cfRule type="containsText" dxfId="1911" priority="67" operator="containsText" text="OFFICIAL"/>
    <x:cfRule type="containsText" dxfId="1912" priority="68" operator="containsText" text="STRICT"/>
    <x:cfRule type="containsText" dxfId="1913" priority="69" operator="containsText" text="MODE"/>
    <x:cfRule type="containsText" dxfId="1914" priority="70" operator="containsText" text="PROVISIONAL"/>
    <x:cfRule type="containsText" dxfId="1915" priority="71" operator="containsText" text="SCENARIO"/>
    <x:cfRule type="containsText" dxfId="1916" priority="72" operator="containsText" text="HOLD"/>
    <x:cfRule type="containsText" dxfId="1917" priority="73" operator="containsText" text="CANDIDATE"/>
    <x:cfRule type="containsText" dxfId="1918" priority="74" operator="containsText" text="FORECAST"/>
    <x:cfRule type="containsText" dxfId="1919" priority="75" operator="containsText" text="LOW_CONFIDENCE"/>
    <x:cfRule type="containsText" dxfId="1920" priority="76" operator="containsText" text="BLOCKED"/>
    <x:cfRule type="containsText" dxfId="1921" priority="77" operator="containsText" text="FAIL"/>
    <x:cfRule type="containsText" dxfId="1922" priority="78" operator="containsText" text="FALSE"/>
    <x:cfRule type="containsText" dxfId="1923" priority="79" operator="containsText" text="EXCLUDED"/>
    <x:cfRule type="containsText" dxfId="1924" priority="80" operator="containsText" text="ACCESSORY"/>
    <x:cfRule type="containsText" dxfId="1925" priority="81" operator="containsText" text="OPTION"/>
    <x:cfRule type="containsText" dxfId="1926" priority="82" operator="containsText" text="ENGINEERING"/>
    <x:cfRule type="containsText" dxfId="1927" priority="83" operator="containsText" text="REGULATORY"/>
    <x:cfRule type="containsText" dxfId="1928" priority="84" operator="containsText" text="CONDITIONAL"/>
  </x:conditionalFormatting>
  <x:pageMargins left="0.7" right="0.7" top="0.75" bottom="0.75" header="0.3" footer="0.3"/>
</x:worksheet>
</file>

<file path=xl/worksheets/sheet8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30" hidden="0" customWidth="1"/>
    <x:col min="3" max="3" width="34" hidden="0" customWidth="1"/>
    <x:col min="4" max="4" width="16" hidden="0" customWidth="1"/>
    <x:col min="5" max="5" width="18" hidden="0" customWidth="1"/>
    <x:col min="6" max="6" width="16" hidden="0" customWidth="1"/>
    <x:col min="7" max="7" width="16" hidden="0" customWidth="1"/>
    <x:col min="8" max="8" width="16" hidden="0" customWidth="1"/>
    <x:col min="9" max="9" width="10" hidden="0" customWidth="1"/>
    <x:col min="10" max="10" width="26" hidden="0" customWidth="1"/>
    <x:col min="11" max="11" width="50" hidden="0" customWidth="1"/>
    <x:col min="12" max="12" width="14" hidden="0" customWidth="1"/>
    <x:col min="13" max="13" width="16" hidden="0" customWidth="1"/>
    <x:col min="14" max="14" width="44" hidden="0" customWidth="1"/>
    <x:col min="15" max="15" width="18" hidden="0" customWidth="1"/>
    <x:col min="16" max="16" width="18" hidden="0" customWidth="1"/>
    <x:col min="17" max="17" width="16" hidden="0" customWidth="1"/>
    <x:col min="18" max="18" width="16" hidden="0" customWidth="1"/>
    <x:col min="19" max="19" width="16" hidden="0" customWidth="1"/>
  </x:cols>
  <x:sheetData>
    <x:row r="1" ht="30" customHeight="1">
      <x:c r="A1" s="473" t="str">
        <x:v>87｜四节点商业定价合成</x:v>
      </x:c>
      <x:c r="B1" s="473"/>
      <x:c r="C1" s="473"/>
      <x:c r="D1" s="473"/>
      <x:c r="E1" s="473"/>
      <x:c r="F1" s="473"/>
      <x:c r="G1" s="473"/>
      <x:c r="H1" s="473"/>
      <x:c r="I1" s="473"/>
      <x:c r="J1" s="473"/>
      <x:c r="K1" s="473"/>
      <x:c r="L1" s="473"/>
      <x:c r="M1" s="473"/>
      <x:c r="N1" s="473"/>
      <x:c r="O1" s="473"/>
      <x:c r="P1" s="473"/>
      <x:c r="Q1" s="473"/>
      <x:c r="R1" s="473"/>
      <x:c r="S1" s="473"/>
      <x:c r="T1" s="473"/>
      <x:c r="U1" s="473"/>
      <x:c r="V1" s="473"/>
      <x:c r="W1" s="473"/>
      <x:c r="X1" s="473"/>
      <x:c r="Y1" s="473"/>
      <x:c r="Z1" s="473"/>
    </x:row>
    <x:row r="2" ht="22" customHeight="1">
      <x:c r="A2" s="476" t="str">
        <x:v>成本桥只约束量级｜预售转正式确定Max模式｜候选车型再做商品化与心理价位选择</x:v>
      </x:c>
      <x:c r="B2" s="476"/>
      <x:c r="C2" s="476"/>
      <x:c r="D2" s="476"/>
      <x:c r="E2" s="476"/>
      <x:c r="F2" s="476"/>
      <x:c r="G2" s="476"/>
      <x:c r="H2" s="476"/>
      <x:c r="I2" s="476"/>
      <x:c r="J2" s="476"/>
      <x:c r="K2" s="476"/>
      <x:c r="L2" s="476"/>
      <x:c r="M2" s="476"/>
      <x:c r="N2" s="476"/>
      <x:c r="O2" s="476"/>
      <x:c r="P2" s="476"/>
      <x:c r="Q2" s="476"/>
      <x:c r="R2" s="476"/>
      <x:c r="S2" s="476"/>
      <x:c r="T2" s="476"/>
      <x:c r="U2" s="476"/>
      <x:c r="V2" s="476"/>
      <x:c r="W2" s="476"/>
      <x:c r="X2" s="476"/>
      <x:c r="Y2" s="476"/>
      <x:c r="Z2" s="476"/>
    </x:row>
    <x:row r="3" ht="72" customHeight="1">
      <x:c r="A3" s="480" t="str">
        <x:v>主点并不是四个成本模型的机械中值：N70低阶在成本中心和内部价格围栏间取20.99万；两款Max采用正式价模式24.99/28.99；升顶若商品化，采用N90正式模式+5万元，即33.99万。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  <x:c r="M3" s="480"/>
      <x:c r="N3" s="480"/>
      <x:c r="O3" s="480"/>
      <x:c r="P3" s="480"/>
      <x:c r="Q3" s="480"/>
      <x:c r="R3" s="480"/>
      <x:c r="S3" s="480"/>
      <x:c r="T3" s="480"/>
      <x:c r="U3" s="480"/>
      <x:c r="V3" s="480"/>
      <x:c r="W3" s="480"/>
      <x:c r="X3" s="480"/>
      <x:c r="Y3" s="480"/>
      <x:c r="Z3" s="480"/>
    </x:row>
    <x:row r="5" ht="42" customHeight="1">
      <x:c r="A5" s="485" t="str">
        <x:v>node_id</x:v>
      </x:c>
      <x:c r="B5" s="485" t="str">
        <x:v>研究显示名</x:v>
      </x:c>
      <x:c r="C5" s="485" t="str">
        <x:v>商业状态</x:v>
      </x:c>
      <x:c r="D5" s="485" t="str">
        <x:v>官方预售价</x:v>
      </x:c>
      <x:c r="E5" s="485" t="str">
        <x:v>技术/商业锚</x:v>
      </x:c>
      <x:c r="F5" s="485" t="str">
        <x:v>区间下沿</x:v>
      </x:c>
      <x:c r="G5" s="485" t="str">
        <x:v>点估计/模式</x:v>
      </x:c>
      <x:c r="H5" s="485" t="str">
        <x:v>区间上沿</x:v>
      </x:c>
      <x:c r="I5" s="485" t="str">
        <x:v>单位</x:v>
      </x:c>
      <x:c r="J5" s="485" t="str">
        <x:v>点估计性质</x:v>
      </x:c>
      <x:c r="K5" s="485" t="str">
        <x:v>计算/选择逻辑</x:v>
      </x:c>
      <x:c r="L5" s="485" t="str">
        <x:v>置信</x:v>
      </x:c>
      <x:c r="M5" s="485" t="str">
        <x:v>正式官方价</x:v>
      </x:c>
      <x:c r="N5" s="485" t="str">
        <x:v>关键触发</x:v>
      </x:c>
      <x:c r="O5" s="485" t="str">
        <x:v>情景加权均值</x:v>
      </x:c>
      <x:c r="P5" s="485" t="str">
        <x:v>版本</x:v>
      </x:c>
      <x:c r="Q5" s="485" t="str">
        <x:v>区间下沿</x:v>
      </x:c>
      <x:c r="R5" s="485" t="str">
        <x:v>点估计</x:v>
      </x:c>
      <x:c r="S5" s="485" t="str">
        <x:v>区间上沿</x:v>
      </x:c>
    </x:row>
    <x:row r="6" ht="40" customHeight="1">
      <x:c r="A6" s="19" t="str">
        <x:v>PC-N70-BASE-CAND</x:v>
      </x:c>
      <x:c r="B6" s="19" t="str">
        <x:v>N70单电机52kWh候选</x:v>
      </x:c>
      <x:c r="C6" s="19" t="str">
        <x:v>REGULATORY_ONLY_CANDIDATE</x:v>
      </x:c>
      <x:c r="D6" s="414"/>
      <x:c r="E6" s="414" t="n">
        <x:f>'85_N70条件成本桥'!E33</x:f>
        <x:v>200029.05826942783</x:v>
      </x:c>
      <x:c r="F6" s="414" t="n">
        <x:f>'86_预售转正式价'!B23-50000</x:f>
        <x:v>199900</x:v>
      </x:c>
      <x:c r="G6" s="414" t="n">
        <x:f>'86_预售转正式价'!B23-40000</x:f>
        <x:v>209900</x:v>
      </x:c>
      <x:c r="H6" s="414" t="n">
        <x:f>'86_预售转正式价'!B25-30000</x:f>
        <x:v>229900</x:v>
      </x:c>
      <x:c r="I6" s="19" t="str">
        <x:v>元</x:v>
      </x:c>
      <x:c r="J6" s="19" t="str">
        <x:v>CONDITIONAL_FORECAST</x:v>
      </x:c>
      <x:c r="K6" s="19" t="str">
        <x:v>正式N70 Max模式−4万；成本中心约20.0万，商业围栏上移一档</x:v>
      </x:c>
      <x:c r="L6" s="19" t="str">
        <x:v>LOW</x:v>
      </x:c>
      <x:c r="M6" s="19" t="str">
        <x:v>FALSE</x:v>
      </x:c>
      <x:c r="N6" s="19" t="str">
        <x:v>独立商品卡+52kWh单电机映射</x:v>
      </x:c>
      <x:c r="O6" s="414"/>
      <x:c r="P6" s="19" t="str">
        <x:v>N70低阶</x:v>
      </x:c>
      <x:c r="Q6" s="503" t="n">
        <x:f>F6/10000</x:f>
        <x:v>19.99</x:v>
      </x:c>
      <x:c r="R6" s="503" t="n">
        <x:f>G6/10000</x:f>
        <x:v>20.99</x:v>
      </x:c>
      <x:c r="S6" s="503" t="n">
        <x:f>H6/10000</x:f>
        <x:v>22.99</x:v>
      </x:c>
    </x:row>
    <x:row r="7" ht="40" customHeight="1">
      <x:c r="A7" s="486" t="str">
        <x:v>PC-N70-MAX-CAND</x:v>
      </x:c>
      <x:c r="B7" s="486" t="str">
        <x:v>N70 Max</x:v>
      </x:c>
      <x:c r="C7" s="486" t="str">
        <x:v>OFFICIAL_PRESALE</x:v>
      </x:c>
      <x:c r="D7" s="492" t="n">
        <x:v>259900</x:v>
      </x:c>
      <x:c r="E7" s="492" t="n">
        <x:v>259900</x:v>
      </x:c>
      <x:c r="F7" s="492" t="n">
        <x:f>'86_预售转正式价'!B24</x:f>
        <x:v>249900</x:v>
      </x:c>
      <x:c r="G7" s="492" t="n">
        <x:f>'86_预售转正式价'!B23</x:f>
        <x:v>249900</x:v>
      </x:c>
      <x:c r="H7" s="492" t="n">
        <x:f>'86_预售转正式价'!B25</x:f>
        <x:v>259900</x:v>
      </x:c>
      <x:c r="I7" s="486" t="str">
        <x:v>元</x:v>
      </x:c>
      <x:c r="J7" s="486" t="str">
        <x:v>MODE_FORECAST</x:v>
      </x:c>
      <x:c r="K7" s="486" t="str">
        <x:v>三情景中下调1万元权重最高</x:v>
      </x:c>
      <x:c r="L7" s="486" t="str">
        <x:v>MEDIUM</x:v>
      </x:c>
      <x:c r="M7" s="486" t="str">
        <x:v>FALSE</x:v>
      </x:c>
      <x:c r="N7" s="486" t="str">
        <x:v>正式价格卡/App车辆SKU</x:v>
      </x:c>
      <x:c r="O7" s="492" t="n">
        <x:f>'86_预售转正式价'!B27</x:f>
        <x:v>252966.6666666667</x:v>
      </x:c>
      <x:c r="P7" s="486" t="str">
        <x:v>N70 Max</x:v>
      </x:c>
      <x:c r="Q7" s="504" t="n">
        <x:f>F7/10000</x:f>
        <x:v>24.99</x:v>
      </x:c>
      <x:c r="R7" s="504" t="n">
        <x:f>G7/10000</x:f>
        <x:v>24.99</x:v>
      </x:c>
      <x:c r="S7" s="504" t="n">
        <x:f>H7/10000</x:f>
        <x:v>25.99</x:v>
      </x:c>
    </x:row>
    <x:row r="8" ht="40" customHeight="1">
      <x:c r="A8" s="19" t="str">
        <x:v>PC-N90-MAX-CAND</x:v>
      </x:c>
      <x:c r="B8" s="19" t="str">
        <x:v>N90 Max</x:v>
      </x:c>
      <x:c r="C8" s="19" t="str">
        <x:v>OFFICIAL_PRESALE</x:v>
      </x:c>
      <x:c r="D8" s="414" t="n">
        <x:v>299900</x:v>
      </x:c>
      <x:c r="E8" s="414" t="n">
        <x:v>299900</x:v>
      </x:c>
      <x:c r="F8" s="414" t="n">
        <x:f>'86_预售转正式价'!C24</x:f>
        <x:v>289900</x:v>
      </x:c>
      <x:c r="G8" s="414" t="n">
        <x:f>'86_预售转正式价'!C23</x:f>
        <x:v>289900</x:v>
      </x:c>
      <x:c r="H8" s="414" t="n">
        <x:f>'86_预售转正式价'!C25</x:f>
        <x:v>299900</x:v>
      </x:c>
      <x:c r="I8" s="19" t="str">
        <x:v>元</x:v>
      </x:c>
      <x:c r="J8" s="19" t="str">
        <x:v>MODE_FORECAST</x:v>
      </x:c>
      <x:c r="K8" s="19" t="str">
        <x:v>与N70 Max同幅下调，保留4万元已知价差</x:v>
      </x:c>
      <x:c r="L8" s="19" t="str">
        <x:v>MEDIUM</x:v>
      </x:c>
      <x:c r="M8" s="19" t="str">
        <x:v>FALSE</x:v>
      </x:c>
      <x:c r="N8" s="19" t="str">
        <x:v>正式价格卡/App车辆SKU</x:v>
      </x:c>
      <x:c r="O8" s="414" t="n">
        <x:f>'86_预售转正式价'!C27</x:f>
        <x:v>292966.6666666666</x:v>
      </x:c>
      <x:c r="P8" s="19" t="str">
        <x:v>N90 Max</x:v>
      </x:c>
      <x:c r="Q8" s="503" t="n">
        <x:f>F8/10000</x:f>
        <x:v>28.99</x:v>
      </x:c>
      <x:c r="R8" s="503" t="n">
        <x:f>G8/10000</x:f>
        <x:v>28.99</x:v>
      </x:c>
      <x:c r="S8" s="503" t="n">
        <x:f>H8/10000</x:f>
        <x:v>29.99</x:v>
      </x:c>
    </x:row>
    <x:row r="9" ht="40" customHeight="1">
      <x:c r="A9" s="486" t="str">
        <x:v>PC-N90-ROOF-CAND</x:v>
      </x:c>
      <x:c r="B9" s="486" t="str">
        <x:v>N90升顶特殊版候选</x:v>
      </x:c>
      <x:c r="C9" s="486" t="str">
        <x:v>HOMOLOGATED_NOT_COMMERCIALIZED</x:v>
      </x:c>
      <x:c r="D9" s="492"/>
      <x:c r="E9" s="492" t="n">
        <x:f>'86_预售转正式价'!C23+'79_工程情景汇总'!D21</x:f>
        <x:v>319045.95336069906</x:v>
      </x:c>
      <x:c r="F9" s="492" t="n">
        <x:f>'86_预售转正式价'!C23+40000</x:f>
        <x:v>329900</x:v>
      </x:c>
      <x:c r="G9" s="492" t="n">
        <x:f>'86_预售转正式价'!C23+50000</x:f>
        <x:v>339900</x:v>
      </x:c>
      <x:c r="H9" s="492" t="n">
        <x:f>'86_预售转正式价'!C23+100000</x:f>
        <x:v>389900</x:v>
      </x:c>
      <x:c r="I9" s="486" t="str">
        <x:v>元</x:v>
      </x:c>
      <x:c r="J9" s="486" t="str">
        <x:v>CONDITIONAL_FORECAST</x:v>
      </x:c>
      <x:c r="K9" s="486" t="str">
        <x:v>N90正式模式+5万；技术中位只作下层约束</x:v>
      </x:c>
      <x:c r="L9" s="486" t="str">
        <x:v>LOW</x:v>
      </x:c>
      <x:c r="M9" s="486" t="str">
        <x:v>FALSE</x:v>
      </x:c>
      <x:c r="N9" s="486" t="str">
        <x:v>独立商品卡+升顶配置/价格</x:v>
      </x:c>
      <x:c r="O9" s="492" t="n">
        <x:f>'91_情景敏感性'!B12</x:f>
        <x:v>345900</x:v>
      </x:c>
      <x:c r="P9" s="486" t="str">
        <x:v>N90升顶</x:v>
      </x:c>
      <x:c r="Q9" s="504" t="n">
        <x:f>F9/10000</x:f>
        <x:v>32.99</x:v>
      </x:c>
      <x:c r="R9" s="504" t="n">
        <x:f>G9/10000</x:f>
        <x:v>33.99</x:v>
      </x:c>
      <x:c r="S9" s="504" t="n">
        <x:f>H9/10000</x:f>
        <x:v>38.99</x:v>
      </x:c>
    </x:row>
    <x:row r="12" ht="24" customHeight="1">
      <x:c r="A12" s="491" t="str">
        <x:v>主点价格梯度（仅作商业一致性校验，不回填成本）</x:v>
      </x:c>
      <x:c r="B12" s="491"/>
      <x:c r="C12" s="491"/>
      <x:c r="D12" s="491"/>
      <x:c r="E12" s="491"/>
      <x:c r="F12" s="491"/>
      <x:c r="G12" s="491"/>
      <x:c r="H12" s="491"/>
      <x:c r="I12" s="491"/>
      <x:c r="J12" s="491"/>
      <x:c r="K12" s="491"/>
      <x:c r="L12" s="491"/>
      <x:c r="M12" s="491"/>
      <x:c r="N12" s="491"/>
      <x:c r="O12" s="491"/>
    </x:row>
    <x:row r="13" ht="44" customHeight="1">
      <x:c r="A13" s="485" t="str">
        <x:v>桥</x:v>
      </x:c>
      <x:c r="B13" s="485" t="str">
        <x:v>起点</x:v>
      </x:c>
      <x:c r="C13" s="485" t="str">
        <x:v>终点</x:v>
      </x:c>
      <x:c r="D13" s="485" t="str">
        <x:v>起点主价</x:v>
      </x:c>
      <x:c r="E13" s="485" t="str">
        <x:v>终点主价</x:v>
      </x:c>
      <x:c r="F13" s="485" t="str">
        <x:v>价差</x:v>
      </x:c>
      <x:c r="G13" s="485" t="str">
        <x:v>判读</x:v>
      </x:c>
    </x:row>
    <x:row r="14" ht="46" customHeight="1">
      <x:c r="A14" s="19" t="str">
        <x:v>L1</x:v>
      </x:c>
      <x:c r="B14" s="19" t="str">
        <x:v>N70低阶候选</x:v>
      </x:c>
      <x:c r="C14" s="19" t="str">
        <x:v>N70 Max</x:v>
      </x:c>
      <x:c r="D14" s="414" t="n">
        <x:f>G6</x:f>
        <x:v>209900</x:v>
      </x:c>
      <x:c r="E14" s="414" t="n">
        <x:f>G7</x:f>
        <x:v>249900</x:v>
      </x:c>
      <x:c r="F14" s="414" t="n">
        <x:f>E14-D14</x:f>
        <x:v>40000</x:v>
      </x:c>
      <x:c r="G14" s="19" t="str">
        <x:v>多模块成本步；4万元</x:v>
      </x:c>
    </x:row>
    <x:row r="15" ht="46" customHeight="1">
      <x:c r="A15" s="486" t="str">
        <x:v>L2</x:v>
      </x:c>
      <x:c r="B15" s="486" t="str">
        <x:v>N70 Max</x:v>
      </x:c>
      <x:c r="C15" s="486" t="str">
        <x:v>N90 Max</x:v>
      </x:c>
      <x:c r="D15" s="492" t="n">
        <x:f>G7</x:f>
        <x:v>249900</x:v>
      </x:c>
      <x:c r="E15" s="492" t="n">
        <x:f>G8</x:f>
        <x:v>289900</x:v>
      </x:c>
      <x:c r="F15" s="492" t="n">
        <x:f>E15-D15</x:f>
        <x:v>40000</x:v>
      </x:c>
      <x:c r="G15" s="486" t="str">
        <x:v>已知预售价差保持4万元</x:v>
      </x:c>
    </x:row>
    <x:row r="16" ht="46" customHeight="1">
      <x:c r="A16" s="19" t="str">
        <x:v>L3</x:v>
      </x:c>
      <x:c r="B16" s="19" t="str">
        <x:v>N90 Max</x:v>
      </x:c>
      <x:c r="C16" s="19" t="str">
        <x:v>N90升顶候选</x:v>
      </x:c>
      <x:c r="D16" s="414" t="n">
        <x:f>G8</x:f>
        <x:v>289900</x:v>
      </x:c>
      <x:c r="E16" s="414" t="n">
        <x:f>G9</x:f>
        <x:v>339900</x:v>
      </x:c>
      <x:c r="F16" s="414" t="n">
        <x:f>E16-D16</x:f>
        <x:v>50000</x:v>
      </x:c>
      <x:c r="G16" s="19" t="str">
        <x:v>特殊版商业网格5万元</x:v>
      </x:c>
    </x:row>
  </x:sheetData>
  <x:mergeCells>
    <x:mergeCell ref="A1:Z1"/>
    <x:mergeCell ref="A2:Z2"/>
    <x:mergeCell ref="A3:Z3"/>
    <x:mergeCell ref="A12:O12"/>
  </x:mergeCells>
  <x:conditionalFormatting sqref="C6:C9">
    <x:cfRule type="containsText" dxfId="1929" priority="1" operator="containsText" text="PASS"/>
    <x:cfRule type="containsText" dxfId="1930" priority="2" operator="containsText" text="READY"/>
    <x:cfRule type="containsText" dxfId="1931" priority="3" operator="containsText" text="LOCKED"/>
    <x:cfRule type="containsText" dxfId="1932" priority="4" operator="containsText" text="OFFICIAL"/>
    <x:cfRule type="containsText" dxfId="1933" priority="5" operator="containsText" text="STRICT"/>
    <x:cfRule type="containsText" dxfId="1934" priority="6" operator="containsText" text="MODE"/>
    <x:cfRule type="containsText" dxfId="1935" priority="7" operator="containsText" text="PROVISIONAL"/>
    <x:cfRule type="containsText" dxfId="1936" priority="8" operator="containsText" text="SCENARIO"/>
    <x:cfRule type="containsText" dxfId="1937" priority="9" operator="containsText" text="HOLD"/>
    <x:cfRule type="containsText" dxfId="1938" priority="10" operator="containsText" text="CANDIDATE"/>
    <x:cfRule type="containsText" dxfId="1939" priority="11" operator="containsText" text="FORECAST"/>
    <x:cfRule type="containsText" dxfId="1940" priority="12" operator="containsText" text="LOW_CONFIDENCE"/>
    <x:cfRule type="containsText" dxfId="1941" priority="13" operator="containsText" text="BLOCKED"/>
    <x:cfRule type="containsText" dxfId="1942" priority="14" operator="containsText" text="FAIL"/>
    <x:cfRule type="containsText" dxfId="1943" priority="15" operator="containsText" text="FALSE"/>
    <x:cfRule type="containsText" dxfId="1944" priority="16" operator="containsText" text="EXCLUDED"/>
    <x:cfRule type="containsText" dxfId="1945" priority="17" operator="containsText" text="ACCESSORY"/>
    <x:cfRule type="containsText" dxfId="1946" priority="18" operator="containsText" text="OPTION"/>
    <x:cfRule type="containsText" dxfId="1947" priority="19" operator="containsText" text="ENGINEERING"/>
    <x:cfRule type="containsText" dxfId="1948" priority="20" operator="containsText" text="REGULATORY"/>
    <x:cfRule type="containsText" dxfId="1949" priority="21" operator="containsText" text="CONDITIONAL"/>
  </x:conditionalFormatting>
  <x:conditionalFormatting sqref="J6:M9">
    <x:cfRule type="containsText" dxfId="1950" priority="22" operator="containsText" text="PASS"/>
    <x:cfRule type="containsText" dxfId="1951" priority="23" operator="containsText" text="READY"/>
    <x:cfRule type="containsText" dxfId="1952" priority="24" operator="containsText" text="LOCKED"/>
    <x:cfRule type="containsText" dxfId="1953" priority="25" operator="containsText" text="OFFICIAL"/>
    <x:cfRule type="containsText" dxfId="1954" priority="26" operator="containsText" text="STRICT"/>
    <x:cfRule type="containsText" dxfId="1955" priority="27" operator="containsText" text="MODE"/>
    <x:cfRule type="containsText" dxfId="1956" priority="28" operator="containsText" text="PROVISIONAL"/>
    <x:cfRule type="containsText" dxfId="1957" priority="29" operator="containsText" text="SCENARIO"/>
    <x:cfRule type="containsText" dxfId="1958" priority="30" operator="containsText" text="HOLD"/>
    <x:cfRule type="containsText" dxfId="1959" priority="31" operator="containsText" text="CANDIDATE"/>
    <x:cfRule type="containsText" dxfId="1960" priority="32" operator="containsText" text="FORECAST"/>
    <x:cfRule type="containsText" dxfId="1961" priority="33" operator="containsText" text="LOW_CONFIDENCE"/>
    <x:cfRule type="containsText" dxfId="1962" priority="34" operator="containsText" text="BLOCKED"/>
    <x:cfRule type="containsText" dxfId="1963" priority="35" operator="containsText" text="FAIL"/>
    <x:cfRule type="containsText" dxfId="1964" priority="36" operator="containsText" text="FALSE"/>
    <x:cfRule type="containsText" dxfId="1965" priority="37" operator="containsText" text="EXCLUDED"/>
    <x:cfRule type="containsText" dxfId="1966" priority="38" operator="containsText" text="ACCESSORY"/>
    <x:cfRule type="containsText" dxfId="1967" priority="39" operator="containsText" text="OPTION"/>
    <x:cfRule type="containsText" dxfId="1968" priority="40" operator="containsText" text="ENGINEERING"/>
    <x:cfRule type="containsText" dxfId="1969" priority="41" operator="containsText" text="REGULATORY"/>
    <x:cfRule type="containsText" dxfId="1970" priority="42" operator="containsText" text="CONDITIONAL"/>
  </x:conditionalFormatting>
  <x:pageMargins left="0.7" right="0.7" top="0.75" bottom="0.75" header="0.3" footer="0.3"/>
  <x:drawing xmlns:r="http://schemas.openxmlformats.org/officeDocument/2006/relationships" r:id="Rca770520e3f14017"/>
</x:worksheet>
</file>

<file path=xl/worksheets/sheet8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34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31" hidden="0" customWidth="1"/>
    <x:col min="9" max="9" width="33" hidden="0" customWidth="1"/>
    <x:col min="10" max="10" width="43" hidden="0" customWidth="1"/>
    <x:col min="11" max="11" width="42" hidden="0" customWidth="1"/>
    <x:col min="12" max="12" width="51" hidden="0" customWidth="1"/>
    <x:col min="13" max="13" width="49" hidden="0" customWidth="1"/>
    <x:col min="14" max="14" width="41" hidden="0" customWidth="1"/>
    <x:col min="15" max="15" width="14" hidden="0" customWidth="1"/>
    <x:col min="16" max="16" width="50" hidden="0" customWidth="1"/>
  </x:cols>
  <x:sheetData>
    <x:row r="1" ht="36" customHeight="1">
      <x:c r="A1" s="626" t="str">
        <x:v>【历史阶段｜不得作为最终结论】88_最终售价配置表</x:v>
      </x:c>
      <x:c r="B1" s="626"/>
      <x:c r="C1" s="626"/>
      <x:c r="D1" s="626"/>
      <x:c r="E1" s="626"/>
      <x:c r="F1" s="626"/>
      <x:c r="G1" s="626"/>
      <x:c r="H1" s="626"/>
      <x:c r="I1" s="626"/>
      <x:c r="J1" s="626"/>
      <x:c r="K1" s="626"/>
      <x:c r="L1" s="626"/>
      <x:c r="M1" s="626"/>
      <x:c r="N1" s="626"/>
      <x:c r="O1" s="626"/>
      <x:c r="P1" s="626"/>
      <x:c r="Q1" s="626"/>
      <x:c r="R1" s="626"/>
      <x:c r="S1" s="626"/>
      <x:c r="T1" s="626"/>
      <x:c r="U1" s="626"/>
      <x:c r="V1" s="626"/>
      <x:c r="W1" s="626"/>
      <x:c r="X1" s="626"/>
      <x:c r="Y1" s="626"/>
      <x:c r="Z1" s="626"/>
    </x:row>
    <x:row r="2" ht="30" customHeight="1">
      <x:c r="A2" s="626" t="str">
        <x:v>本表保留用于审计追溯；最终结论以142_最终反证审计与134_全系结论为准。</x:v>
      </x:c>
      <x:c r="B2" s="626"/>
      <x:c r="C2" s="626"/>
      <x:c r="D2" s="626"/>
      <x:c r="E2" s="626"/>
      <x:c r="F2" s="626"/>
      <x:c r="G2" s="626"/>
      <x:c r="H2" s="626"/>
      <x:c r="I2" s="626"/>
      <x:c r="J2" s="626"/>
      <x:c r="K2" s="626"/>
      <x:c r="L2" s="626"/>
      <x:c r="M2" s="626"/>
      <x:c r="N2" s="626"/>
      <x:c r="O2" s="626"/>
      <x:c r="P2" s="626"/>
      <x:c r="Q2" s="626"/>
      <x:c r="R2" s="626"/>
      <x:c r="S2" s="626"/>
      <x:c r="T2" s="626"/>
      <x:c r="U2" s="626"/>
      <x:c r="V2" s="626"/>
      <x:c r="W2" s="626"/>
      <x:c r="X2" s="626"/>
      <x:c r="Y2" s="626"/>
      <x:c r="Z2" s="626"/>
    </x:row>
    <x:row r="3" ht="72" customHeight="1">
      <x:c r="A3" s="480" t="str">
        <x:v>N70低阶与N90升顶没有商业化证据，必须带“若上市”条件；两款Max的25.99/29.99万元是官方预售价，24.99/28.99万元才是本研究对正式价的模式预测。严格标配、工程高概率与监管事实分栏理解。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  <x:c r="M3" s="480"/>
      <x:c r="N3" s="480"/>
      <x:c r="O3" s="480"/>
      <x:c r="P3" s="480"/>
    </x:row>
    <x:row r="5" ht="60" customHeight="1">
      <x:c r="A5" s="485" t="str">
        <x:v>节点</x:v>
      </x:c>
      <x:c r="B5" s="485" t="str">
        <x:v>商业阶段</x:v>
      </x:c>
      <x:c r="C5" s="485" t="str">
        <x:v>官方预售价</x:v>
      </x:c>
      <x:c r="D5" s="485" t="str">
        <x:v>预测下沿</x:v>
      </x:c>
      <x:c r="E5" s="485" t="str">
        <x:v>预测点估计</x:v>
      </x:c>
      <x:c r="F5" s="485" t="str">
        <x:v>情景均值</x:v>
      </x:c>
      <x:c r="G5" s="485" t="str">
        <x:v>预测上沿</x:v>
      </x:c>
      <x:c r="H5" s="485" t="str">
        <x:v>商品角色</x:v>
      </x:c>
      <x:c r="I5" s="485" t="str">
        <x:v>车身/座位</x:v>
      </x:c>
      <x:c r="J5" s="485" t="str">
        <x:v>动力/能源</x:v>
      </x:c>
      <x:c r="K5" s="485" t="str">
        <x:v>底盘</x:v>
      </x:c>
      <x:c r="L5" s="485" t="str">
        <x:v>智能/安全</x:v>
      </x:c>
      <x:c r="M5" s="485" t="str">
        <x:v>舒适/空间</x:v>
      </x:c>
      <x:c r="N5" s="485" t="str">
        <x:v>选装/附件</x:v>
      </x:c>
      <x:c r="O5" s="485" t="str">
        <x:v>置信</x:v>
      </x:c>
      <x:c r="P5" s="485" t="str">
        <x:v>最关键条件</x:v>
      </x:c>
    </x:row>
    <x:row r="6" ht="138" customHeight="1">
      <x:c r="A6" s="19" t="str">
        <x:v>N70单电机52kWh候选</x:v>
      </x:c>
      <x:c r="B6" s="19" t="str">
        <x:v>REGULATORY_ONLY_CANDIDATE</x:v>
      </x:c>
      <x:c r="C6" s="414"/>
      <x:c r="D6" s="414" t="n">
        <x:f>'87_商业定价合成'!F6</x:f>
        <x:v>199900</x:v>
      </x:c>
      <x:c r="E6" s="414" t="n">
        <x:f>'87_商业定价合成'!G6</x:f>
        <x:v>209900</x:v>
      </x:c>
      <x:c r="F6" s="414" t="str">
        <x:f>IF('87_商业定价合成'!O6=0,"",'87_商业定价合成'!O6)</x:f>
      </x:c>
      <x:c r="G6" s="414" t="n">
        <x:f>'87_商业定价合成'!H6</x:f>
        <x:v>229900</x:v>
      </x:c>
      <x:c r="H6" s="19" t="str">
        <x:v>若上市：价格入口/长续航增程大五座</x:v>
      </x:c>
      <x:c r="I6" s="19" t="str">
        <x:v>4960×1998×1785；2950轴距；5座</x:v>
      </x:c>
      <x:c r="J6" s="19" t="str">
        <x:v>单电机210kW（轴位待核）；52kWh LFP/欣旺达；M15DRE</x:v>
      </x:c>
      <x:c r="K6" s="19" t="str">
        <x:v>F3未披露；不能写成已锁钢簧或CDC</x:v>
      </x:c>
      <x:c r="L6" s="19" t="str">
        <x:v>预测沿用HAD/超级小爱/涉水模式；非严格标配</x:v>
      </x:c>
      <x:c r="M6" s="19" t="str">
        <x:v>座舱/座椅/冰箱/屏幕/音响全部HOLD</x:v>
      </x:c>
      <x:c r="N6" s="19" t="str">
        <x:v>无可归属公开选装池</x:v>
      </x:c>
      <x:c r="O6" s="19" t="str">
        <x:v>LOW</x:v>
      </x:c>
      <x:c r="P6" s="19" t="str">
        <x:v>出现独立商品卡并确认F3映射</x:v>
      </x:c>
    </x:row>
    <x:row r="7" ht="138" customHeight="1">
      <x:c r="A7" s="486" t="str">
        <x:v>N70 Max</x:v>
      </x:c>
      <x:c r="B7" s="486" t="str">
        <x:v>OFFICIAL_PRESALE_SMALL_ORDER</x:v>
      </x:c>
      <x:c r="C7" s="492" t="n">
        <x:v>259900</x:v>
      </x:c>
      <x:c r="D7" s="492" t="n">
        <x:f>'87_商业定价合成'!F7</x:f>
        <x:v>249900</x:v>
      </x:c>
      <x:c r="E7" s="492" t="n">
        <x:f>'87_商业定价合成'!G7</x:f>
        <x:v>249900</x:v>
      </x:c>
      <x:c r="F7" s="492" t="n">
        <x:f>'87_商业定价合成'!O7</x:f>
        <x:v>252966.6666666667</x:v>
      </x:c>
      <x:c r="G7" s="492" t="n">
        <x:f>'87_商业定价合成'!H7</x:f>
        <x:v>259900</x:v>
      </x:c>
      <x:c r="H7" s="486" t="str">
        <x:v>大五座四驱Max</x:v>
      </x:c>
      <x:c r="I7" s="486" t="str">
        <x:v>4960×1998×1765；2950轴距；5座</x:v>
      </x:c>
      <x:c r="J7" s="486" t="str">
        <x:v>双电机四驱310kW；监管映射76kWh NCM；CLTC505/综合1461</x:v>
      </x:c>
      <x:c r="K7" s="486" t="str">
        <x:v>明确标配空气弹簧+连续阻尼减振</x:v>
      </x:c>
      <x:c r="L7" s="486" t="str">
        <x:v>明确HAD/超级小爱/涉水模式；2涉水雷达/防水/门环</x:v>
      </x:c>
      <x:c r="M7" s="486" t="str">
        <x:v>后备厢、冰箱、后排屏、音响等未披露</x:v>
      </x:c>
      <x:c r="N7" s="486" t="str">
        <x:v>不能借用N90选装</x:v>
      </x:c>
      <x:c r="O7" s="486" t="str">
        <x:v>MEDIUM</x:v>
      </x:c>
      <x:c r="P7" s="486" t="str">
        <x:v>正式价卡与App逐版本配置</x:v>
      </x:c>
    </x:row>
    <x:row r="8" ht="138" customHeight="1">
      <x:c r="A8" s="19" t="str">
        <x:v>N90 Max</x:v>
      </x:c>
      <x:c r="B8" s="19" t="str">
        <x:v>OFFICIAL_PRESALE_SMALL_ORDER</x:v>
      </x:c>
      <x:c r="C8" s="414" t="n">
        <x:v>299900</x:v>
      </x:c>
      <x:c r="D8" s="414" t="n">
        <x:f>'87_商业定价合成'!F8</x:f>
        <x:v>289900</x:v>
      </x:c>
      <x:c r="E8" s="414" t="n">
        <x:f>'87_商业定价合成'!G8</x:f>
        <x:v>289900</x:v>
      </x:c>
      <x:c r="F8" s="414" t="n">
        <x:f>'87_商业定价合成'!O8</x:f>
        <x:v>292966.6666666666</x:v>
      </x:c>
      <x:c r="G8" s="414" t="n">
        <x:f>'87_商业定价合成'!H8</x:f>
        <x:v>299900</x:v>
      </x:c>
      <x:c r="H8" s="19" t="str">
        <x:v>2+2+3大七座旗舰</x:v>
      </x:c>
      <x:c r="I8" s="19" t="str">
        <x:v>5285×1998×1825；3080轴距；商业7座</x:v>
      </x:c>
      <x:c r="J8" s="19" t="str">
        <x:v>双电机四驱310kW；76kWh NCM；CLTC464/综合1705</x:v>
      </x:c>
      <x:c r="K8" s="19" t="str">
        <x:v>工程高概率：双叉臂/多连杆、空簧+连续阻尼、4液压衬套</x:v>
      </x:c>
      <x:c r="L8" s="19" t="str">
        <x:v>严格8项：26安全辅助/四合一域控/通信/Flyback/XLA/HAD/超级小爱/涉水</x:v>
      </x:c>
      <x:c r="M8" s="19" t="str">
        <x:v>工程高概率：9L冰箱、四座按摩通风加热、25扬声器等</x:v>
      </x:c>
      <x:c r="N8" s="19" t="str">
        <x:v>明确选装6项；另购6项</x:v>
      </x:c>
      <x:c r="O8" s="19" t="str">
        <x:v>MEDIUM</x:v>
      </x:c>
      <x:c r="P8" s="19" t="str">
        <x:v>展示配置需App逐项确认标配/选装</x:v>
      </x:c>
    </x:row>
    <x:row r="9" ht="138" customHeight="1">
      <x:c r="A9" s="486" t="str">
        <x:v>N90升顶特殊版候选</x:v>
      </x:c>
      <x:c r="B9" s="486" t="str">
        <x:v>HOMOLOGATED_NOT_COMMERCIALIZED</x:v>
      </x:c>
      <x:c r="C9" s="492"/>
      <x:c r="D9" s="492" t="n">
        <x:f>'87_商业定价合成'!F9</x:f>
        <x:v>329900</x:v>
      </x:c>
      <x:c r="E9" s="492" t="n">
        <x:f>'87_商业定价合成'!G9</x:f>
        <x:v>339900</x:v>
      </x:c>
      <x:c r="F9" s="492" t="n">
        <x:f>'87_商业定价合成'!O9</x:f>
        <x:v>345900</x:v>
      </x:c>
      <x:c r="G9" s="492" t="n">
        <x:f>'87_商业定价合成'!H9</x:f>
        <x:v>389900</x:v>
      </x:c>
      <x:c r="H9" s="486" t="str">
        <x:v>若上市：低量文化生活/露营特殊版</x:v>
      </x:c>
      <x:c r="I9" s="486" t="str">
        <x:v>5285×1998×1925；3080轴距；5座；+100mm/+40kg</x:v>
      </x:c>
      <x:c r="J9" s="486" t="str">
        <x:v>AWD210+100kW；76kWh NCM；目录纯电363km</x:v>
      </x:c>
      <x:c r="K9" s="486" t="str">
        <x:v>升顶开口/加强/顶盖/机构/密封为工程骨架；手动/电动待核</x:v>
      </x:c>
      <x:c r="L9" s="486" t="str">
        <x:v>不能自动继承N90 Max全部智能配置</x:v>
      </x:c>
      <x:c r="M9" s="486" t="str">
        <x:v>监管特殊机构含升降顶/床板/边柜/侧帐接口；商业属性待核</x:v>
      </x:c>
      <x:c r="N9" s="486" t="str">
        <x:v>投影/桌板仅准入选装；床垫/完整车边帐排除</x:v>
      </x:c>
      <x:c r="O9" s="486" t="str">
        <x:v>LOW</x:v>
      </x:c>
      <x:c r="P9" s="486" t="str">
        <x:v>独立商品卡、升顶方案、基础配置与价格</x:v>
      </x:c>
    </x:row>
    <x:row r="12" ht="46" customHeight="1">
      <x:c r="A12" s="19" t="str">
        <x:v>读法1</x:v>
      </x:c>
      <x:c r="B12" s="19" t="str">
        <x:v>价格点是“最可能广告价”，不是四个情景的算术平均。</x:v>
      </x:c>
      <x:c r="C12" s="19" t="str"/>
      <x:c r="D12" s="19" t="str"/>
      <x:c r="E12" s="19" t="str"/>
      <x:c r="F12" s="19" t="str"/>
      <x:c r="G12" s="19" t="str"/>
      <x:c r="H12" s="19" t="str"/>
      <x:c r="I12" s="19" t="str"/>
      <x:c r="J12" s="19" t="str"/>
      <x:c r="K12" s="19" t="str"/>
      <x:c r="L12" s="19" t="str"/>
      <x:c r="M12" s="19" t="str"/>
      <x:c r="N12" s="19" t="str"/>
      <x:c r="O12" s="19" t="str"/>
      <x:c r="P12" s="19" t="str"/>
    </x:row>
    <x:row r="13" ht="46" customHeight="1">
      <x:c r="A13" s="486" t="str">
        <x:v>读法2</x:v>
      </x:c>
      <x:c r="B13" s="486" t="str">
        <x:v>两款Max的情景均值约25.30/29.30万元，用于风险管理；主预测仍是24.99/28.99万元。</x:v>
      </x:c>
      <x:c r="C13" s="486" t="str"/>
      <x:c r="D13" s="486" t="str"/>
      <x:c r="E13" s="486" t="str"/>
      <x:c r="F13" s="486" t="str"/>
      <x:c r="G13" s="486" t="str"/>
      <x:c r="H13" s="486" t="str"/>
      <x:c r="I13" s="486" t="str"/>
      <x:c r="J13" s="486" t="str"/>
      <x:c r="K13" s="486" t="str"/>
      <x:c r="L13" s="486" t="str"/>
      <x:c r="M13" s="486" t="str"/>
      <x:c r="N13" s="486" t="str"/>
      <x:c r="O13" s="486" t="str"/>
      <x:c r="P13" s="486" t="str"/>
    </x:row>
    <x:row r="14" ht="46" customHeight="1">
      <x:c r="A14" s="19" t="str">
        <x:v>读法3</x:v>
      </x:c>
      <x:c r="B14" s="19" t="str">
        <x:v>0/9/8/0项严格商业标配分别对应低阶候选/N70 Max/N90 Max/升顶候选；监管与工程配置另列。</x:v>
      </x:c>
      <x:c r="C14" s="19" t="str"/>
      <x:c r="D14" s="19" t="str"/>
      <x:c r="E14" s="19" t="str"/>
      <x:c r="F14" s="19" t="str"/>
      <x:c r="G14" s="19" t="str"/>
      <x:c r="H14" s="19" t="str"/>
      <x:c r="I14" s="19" t="str"/>
      <x:c r="J14" s="19" t="str"/>
      <x:c r="K14" s="19" t="str"/>
      <x:c r="L14" s="19" t="str"/>
      <x:c r="M14" s="19" t="str"/>
      <x:c r="N14" s="19" t="str"/>
      <x:c r="O14" s="19" t="str"/>
      <x:c r="P14" s="19" t="str"/>
    </x:row>
    <x:row r="15" ht="46" customHeight="1">
      <x:c r="A15" s="486" t="str">
        <x:v>读法4</x:v>
      </x:c>
      <x:c r="B15" s="486" t="str">
        <x:v>若两个候选不商品化，当前可讨论的商业全系实际只剩两款官方预售Max，正式价仍未公布。</x:v>
      </x:c>
      <x:c r="C15" s="486" t="str"/>
      <x:c r="D15" s="486" t="str"/>
      <x:c r="E15" s="486" t="str"/>
      <x:c r="F15" s="486" t="str"/>
      <x:c r="G15" s="486" t="str"/>
      <x:c r="H15" s="486" t="str"/>
      <x:c r="I15" s="486" t="str"/>
      <x:c r="J15" s="486" t="str"/>
      <x:c r="K15" s="486" t="str"/>
      <x:c r="L15" s="486" t="str"/>
      <x:c r="M15" s="486" t="str"/>
      <x:c r="N15" s="486" t="str"/>
      <x:c r="O15" s="486" t="str"/>
      <x:c r="P15" s="486" t="str"/>
    </x:row>
  </x:sheetData>
  <x:mergeCells>
    <x:mergeCell ref="A1:P1"/>
    <x:mergeCell ref="A2:P2"/>
    <x:mergeCell ref="A3:P3"/>
    <x:mergeCell ref="B12:P12"/>
    <x:mergeCell ref="B13:P13"/>
    <x:mergeCell ref="B14:P14"/>
    <x:mergeCell ref="B15:P15"/>
  </x:mergeCells>
  <x:conditionalFormatting sqref="B6:B9">
    <x:cfRule type="containsText" dxfId="1971" priority="1" operator="containsText" text="PASS"/>
    <x:cfRule type="containsText" dxfId="1972" priority="2" operator="containsText" text="READY"/>
    <x:cfRule type="containsText" dxfId="1973" priority="3" operator="containsText" text="LOCKED"/>
    <x:cfRule type="containsText" dxfId="1974" priority="4" operator="containsText" text="OFFICIAL"/>
    <x:cfRule type="containsText" dxfId="1975" priority="5" operator="containsText" text="STRICT"/>
    <x:cfRule type="containsText" dxfId="1976" priority="6" operator="containsText" text="MODE"/>
    <x:cfRule type="containsText" dxfId="1977" priority="7" operator="containsText" text="PROVISIONAL"/>
    <x:cfRule type="containsText" dxfId="1978" priority="8" operator="containsText" text="SCENARIO"/>
    <x:cfRule type="containsText" dxfId="1979" priority="9" operator="containsText" text="HOLD"/>
    <x:cfRule type="containsText" dxfId="1980" priority="10" operator="containsText" text="CANDIDATE"/>
    <x:cfRule type="containsText" dxfId="1981" priority="11" operator="containsText" text="FORECAST"/>
    <x:cfRule type="containsText" dxfId="1982" priority="12" operator="containsText" text="LOW_CONFIDENCE"/>
    <x:cfRule type="containsText" dxfId="1983" priority="13" operator="containsText" text="BLOCKED"/>
    <x:cfRule type="containsText" dxfId="1984" priority="14" operator="containsText" text="FAIL"/>
    <x:cfRule type="containsText" dxfId="1985" priority="15" operator="containsText" text="FALSE"/>
    <x:cfRule type="containsText" dxfId="1986" priority="16" operator="containsText" text="EXCLUDED"/>
    <x:cfRule type="containsText" dxfId="1987" priority="17" operator="containsText" text="ACCESSORY"/>
    <x:cfRule type="containsText" dxfId="1988" priority="18" operator="containsText" text="OPTION"/>
    <x:cfRule type="containsText" dxfId="1989" priority="19" operator="containsText" text="ENGINEERING"/>
    <x:cfRule type="containsText" dxfId="1990" priority="20" operator="containsText" text="REGULATORY"/>
    <x:cfRule type="containsText" dxfId="1991" priority="21" operator="containsText" text="CONDITIONAL"/>
  </x:conditionalFormatting>
  <x:conditionalFormatting sqref="O6:O9">
    <x:cfRule type="containsText" dxfId="1992" priority="22" operator="containsText" text="PASS"/>
    <x:cfRule type="containsText" dxfId="1993" priority="23" operator="containsText" text="READY"/>
    <x:cfRule type="containsText" dxfId="1994" priority="24" operator="containsText" text="LOCKED"/>
    <x:cfRule type="containsText" dxfId="1995" priority="25" operator="containsText" text="OFFICIAL"/>
    <x:cfRule type="containsText" dxfId="1996" priority="26" operator="containsText" text="STRICT"/>
    <x:cfRule type="containsText" dxfId="1997" priority="27" operator="containsText" text="MODE"/>
    <x:cfRule type="containsText" dxfId="1998" priority="28" operator="containsText" text="PROVISIONAL"/>
    <x:cfRule type="containsText" dxfId="1999" priority="29" operator="containsText" text="SCENARIO"/>
    <x:cfRule type="containsText" dxfId="2000" priority="30" operator="containsText" text="HOLD"/>
    <x:cfRule type="containsText" dxfId="2001" priority="31" operator="containsText" text="CANDIDATE"/>
    <x:cfRule type="containsText" dxfId="2002" priority="32" operator="containsText" text="FORECAST"/>
    <x:cfRule type="containsText" dxfId="2003" priority="33" operator="containsText" text="LOW_CONFIDENCE"/>
    <x:cfRule type="containsText" dxfId="2004" priority="34" operator="containsText" text="BLOCKED"/>
    <x:cfRule type="containsText" dxfId="2005" priority="35" operator="containsText" text="FAIL"/>
    <x:cfRule type="containsText" dxfId="2006" priority="36" operator="containsText" text="FALSE"/>
    <x:cfRule type="containsText" dxfId="2007" priority="37" operator="containsText" text="EXCLUDED"/>
    <x:cfRule type="containsText" dxfId="2008" priority="38" operator="containsText" text="ACCESSORY"/>
    <x:cfRule type="containsText" dxfId="2009" priority="39" operator="containsText" text="OPTION"/>
    <x:cfRule type="containsText" dxfId="2010" priority="40" operator="containsText" text="ENGINEERING"/>
    <x:cfRule type="containsText" dxfId="2011" priority="41" operator="containsText" text="REGULATORY"/>
    <x:cfRule type="containsText" dxfId="2012" priority="42" operator="containsText" text="CONDITIONAL"/>
  </x:conditionalFormatting>
  <x:pageMargins left="0.7" right="0.7" top="0.75" bottom="0.75" header="0.3" footer="0.3"/>
</x:worksheet>
</file>

<file path=xl/worksheets/sheet9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" hidden="0" customWidth="1"/>
    <x:col min="2" max="2" width="18" hidden="0" customWidth="1"/>
    <x:col min="3" max="3" width="31" hidden="0" customWidth="1"/>
    <x:col min="4" max="4" width="61" hidden="0" customWidth="1"/>
    <x:col min="5" max="5" width="45" hidden="0" customWidth="1"/>
    <x:col min="6" max="6" width="26" hidden="0" customWidth="1"/>
    <x:col min="7" max="7" width="28" hidden="0" customWidth="1"/>
    <x:col min="8" max="8" width="18" hidden="0" customWidth="1"/>
    <x:col min="9" max="9" width="46" hidden="0" customWidth="1"/>
    <x:col min="10" max="10" width="40" hidden="0" customWidth="1"/>
  </x:cols>
  <x:sheetData>
    <x:row r="1" ht="30" customHeight="1">
      <x:c r="A1" s="473" t="str">
        <x:v>89｜四节点配置预测矩阵</x:v>
      </x:c>
      <x:c r="B1" s="473"/>
      <x:c r="C1" s="473"/>
      <x:c r="D1" s="473"/>
      <x:c r="E1" s="473"/>
      <x:c r="F1" s="473"/>
      <x:c r="G1" s="473"/>
      <x:c r="H1" s="473"/>
      <x:c r="I1" s="473"/>
      <x:c r="J1" s="473"/>
    </x:row>
    <x:row r="2" ht="22" customHeight="1">
      <x:c r="A2" s="476" t="str">
        <x:v>监管锁定 / 严格标配 / 工程高概率 / 明确选装附件 / HOLD 五层</x:v>
      </x:c>
      <x:c r="B2" s="476"/>
      <x:c r="C2" s="476"/>
      <x:c r="D2" s="476"/>
      <x:c r="E2" s="476"/>
      <x:c r="F2" s="476"/>
      <x:c r="G2" s="476"/>
      <x:c r="H2" s="476"/>
      <x:c r="I2" s="476"/>
      <x:c r="J2" s="476"/>
    </x:row>
    <x:row r="3" ht="72" customHeight="1">
      <x:c r="A3" s="480" t="str">
        <x:v>同一配置可在监管层被锁定、在商业标配层仍为空。尤其是N70低阶和升顶版：它们没有任何可称为商业标配的项目；N90 Max官网大量展示配置也只能列工程高概率。</x:v>
      </x:c>
      <x:c r="B3" s="480"/>
      <x:c r="C3" s="480"/>
      <x:c r="D3" s="480"/>
      <x:c r="E3" s="480"/>
      <x:c r="F3" s="480"/>
      <x:c r="G3" s="480"/>
      <x:c r="H3" s="480"/>
      <x:c r="I3" s="480"/>
      <x:c r="J3" s="480"/>
    </x:row>
    <x:row r="5" ht="58" customHeight="1">
      <x:c r="A5" s="485" t="str">
        <x:v>节点</x:v>
      </x:c>
      <x:c r="B5" s="485" t="str">
        <x:v>配置域</x:v>
      </x:c>
      <x:c r="C5" s="485" t="str">
        <x:v>证据层</x:v>
      </x:c>
      <x:c r="D5" s="485" t="str">
        <x:v>配置/参数</x:v>
      </x:c>
      <x:c r="E5" s="485" t="str">
        <x:v>商业陈述</x:v>
      </x:c>
      <x:c r="F5" s="485" t="str">
        <x:v>来源</x:v>
      </x:c>
      <x:c r="G5" s="485" t="str">
        <x:v>成本处理</x:v>
      </x:c>
      <x:c r="H5" s="485" t="str">
        <x:v>置信</x:v>
      </x:c>
      <x:c r="I5" s="485" t="str">
        <x:v>HOLD/边界</x:v>
      </x:c>
      <x:c r="J5" s="485" t="str">
        <x:v>反证触发</x:v>
      </x:c>
    </x:row>
    <x:row r="6" ht="78" customHeight="1">
      <x:c r="A6" s="19" t="str">
        <x:v>N70低阶候选</x:v>
      </x:c>
      <x:c r="B6" s="19" t="str">
        <x:v>车身</x:v>
      </x:c>
      <x:c r="C6" s="19" t="str">
        <x:v>REGULATORY_LOCKED</x:v>
      </x:c>
      <x:c r="D6" s="19" t="str">
        <x:v>4960×1998×1785mm；轴距2950mm；5座；整备2453/2505kg</x:v>
      </x:c>
      <x:c r="E6" s="19" t="str">
        <x:v>监管事实，不是已售配置</x:v>
      </x:c>
      <x:c r="F6" s="19" t="str">
        <x:v>39/40表</x:v>
      </x:c>
      <x:c r="G6" s="19" t="str">
        <x:v>共同车身根</x:v>
      </x:c>
      <x:c r="H6" s="19" t="str">
        <x:v>MEDIUM</x:v>
      </x:c>
      <x:c r="I6" s="19" t="str">
        <x:v>商业名/SKU未知</x:v>
      </x:c>
      <x:c r="J6" s="19" t="str">
        <x:v>商品卡不映射F3则删除节点</x:v>
      </x:c>
    </x:row>
    <x:row r="7" ht="78" customHeight="1">
      <x:c r="A7" s="486" t="str">
        <x:v>N70低阶候选</x:v>
      </x:c>
      <x:c r="B7" s="486" t="str">
        <x:v>动力</x:v>
      </x:c>
      <x:c r="C7" s="486" t="str">
        <x:v>REGULATORY_LOCKED</x:v>
      </x:c>
      <x:c r="D7" s="486" t="str">
        <x:v>单电机210kW；M15DRE 1499mL/112kW</x:v>
      </x:c>
      <x:c r="E7" s="486" t="str">
        <x:v>轴位待核</x:v>
      </x:c>
      <x:c r="F7" s="486" t="str">
        <x:v>39表</x:v>
      </x:c>
      <x:c r="G7" s="486" t="str">
        <x:v>B1新增100kW电驱差</x:v>
      </x:c>
      <x:c r="H7" s="486" t="str">
        <x:v>MEDIUM</x:v>
      </x:c>
      <x:c r="I7" s="486" t="str">
        <x:v>前/后轴未知</x:v>
      </x:c>
      <x:c r="J7" s="486" t="str">
        <x:v>轴位官方资料出现</x:v>
      </x:c>
    </x:row>
    <x:row r="8" ht="78" customHeight="1">
      <x:c r="A8" s="19" t="str">
        <x:v>N70低阶候选</x:v>
      </x:c>
      <x:c r="B8" s="19" t="str">
        <x:v>电池</x:v>
      </x:c>
      <x:c r="C8" s="19" t="str">
        <x:v>REGULATORY_E3</x:v>
      </x:c>
      <x:c r="D8" s="19" t="str">
        <x:v>52kWh LFP；欣旺达；包质量380kg；目录纯电270/265km</x:v>
      </x:c>
      <x:c r="E8" s="19" t="str">
        <x:v>监管转录，循环口径未披露</x:v>
      </x:c>
      <x:c r="F8" s="19" t="str">
        <x:v>39表</x:v>
      </x:c>
      <x:c r="G8" s="19" t="str">
        <x:v>B1电池整包置换</x:v>
      </x:c>
      <x:c r="H8" s="19" t="str">
        <x:v>MEDIUM_LOW</x:v>
      </x:c>
      <x:c r="I8" s="19" t="str">
        <x:v>真实商业续航未知</x:v>
      </x:c>
      <x:c r="J8" s="19" t="str">
        <x:v>版本配置表覆盖</x:v>
      </x:c>
    </x:row>
    <x:row r="9" ht="78" customHeight="1">
      <x:c r="A9" s="486" t="str">
        <x:v>N70低阶候选</x:v>
      </x:c>
      <x:c r="B9" s="486" t="str">
        <x:v>底盘</x:v>
      </x:c>
      <x:c r="C9" s="486" t="str">
        <x:v>HOLD_NOT_DISCLOSED</x:v>
      </x:c>
      <x:c r="D9" s="486" t="str">
        <x:v>允许245/55R19或255/45R21；空簧/CDC未知</x:v>
      </x:c>
      <x:c r="E9" s="486" t="str">
        <x:v>不能写成钢簧已锁</x:v>
      </x:c>
      <x:c r="F9" s="486" t="str">
        <x:v>40表+发布缺口</x:v>
      </x:c>
      <x:c r="G9" s="486" t="str">
        <x:v>0/5000/9500条件情景</x:v>
      </x:c>
      <x:c r="H9" s="486" t="str">
        <x:v>LOW</x:v>
      </x:c>
      <x:c r="I9" s="486" t="str">
        <x:v>标准轮胎/悬架未知</x:v>
      </x:c>
      <x:c r="J9" s="486" t="str">
        <x:v>基础配置●/○/—出现</x:v>
      </x:c>
    </x:row>
    <x:row r="10" ht="78" customHeight="1">
      <x:c r="A10" s="19" t="str">
        <x:v>N70低阶候选</x:v>
      </x:c>
      <x:c r="B10" s="19" t="str">
        <x:v>智能/安全</x:v>
      </x:c>
      <x:c r="C10" s="19" t="str">
        <x:v>PREDICTED_SERIES_CARRYOVER</x:v>
      </x:c>
      <x:c r="D10" s="19" t="str">
        <x:v>HAD、超级小爱、涉水模式高概率沿用</x:v>
      </x:c>
      <x:c r="E10" s="19" t="str">
        <x:v>预测，不是严格标配</x:v>
      </x:c>
      <x:c r="F10" s="19" t="str">
        <x:v>澎程全系发布主张</x:v>
      </x:c>
      <x:c r="G10" s="19" t="str">
        <x:v>共同系统根归零</x:v>
      </x:c>
      <x:c r="H10" s="19" t="str">
        <x:v>LOW</x:v>
      </x:c>
      <x:c r="I10" s="19" t="str">
        <x:v>候选是否属于发布“全系”待核</x:v>
      </x:c>
      <x:c r="J10" s="19" t="str">
        <x:v>官方版本卡确认</x:v>
      </x:c>
    </x:row>
    <x:row r="11" ht="78" customHeight="1">
      <x:c r="A11" s="486" t="str">
        <x:v>N70低阶候选</x:v>
      </x:c>
      <x:c r="B11" s="486" t="str">
        <x:v>商业</x:v>
      </x:c>
      <x:c r="C11" s="486" t="str">
        <x:v>NO_COMMERCIAL_EVIDENCE</x:v>
      </x:c>
      <x:c r="D11" s="486" t="str">
        <x:v>正式名、售价、座舱、舒适、选装均未知</x:v>
      </x:c>
      <x:c r="E11" s="486" t="str">
        <x:v>严格标配0项</x:v>
      </x:c>
      <x:c r="F11" s="486" t="str">
        <x:v>41/63表</x:v>
      </x:c>
      <x:c r="G11" s="486" t="str">
        <x:v>不计</x:v>
      </x:c>
      <x:c r="H11" s="486" t="str">
        <x:v>LOW</x:v>
      </x:c>
      <x:c r="I11" s="486" t="str">
        <x:v>不可伪造标准/Pro后缀</x:v>
      </x:c>
      <x:c r="J11" s="486" t="str">
        <x:v>独立下订入口</x:v>
      </x:c>
    </x:row>
    <x:row r="12" ht="78" customHeight="1">
      <x:c r="A12" s="19" t="str">
        <x:v>N70 Max</x:v>
      </x:c>
      <x:c r="B12" s="19" t="str">
        <x:v>车身/动力</x:v>
      </x:c>
      <x:c r="C12" s="19" t="str">
        <x:v>ENGINEERING_BASE</x:v>
      </x:c>
      <x:c r="D12" s="19" t="str">
        <x:v>4960×1998×1765；5座；AWD 210+100kW/310kW；最高190km/h</x:v>
      </x:c>
      <x:c r="E12" s="19" t="str">
        <x:v>产品/发布展示，工程高概率</x:v>
      </x:c>
      <x:c r="F12" s="19" t="str">
        <x:v>51/58/59表</x:v>
      </x:c>
      <x:c r="G12" s="19" t="str">
        <x:v>共同底座</x:v>
      </x:c>
      <x:c r="H12" s="19" t="str">
        <x:v>MEDIUM</x:v>
      </x:c>
      <x:c r="I12" s="19" t="str">
        <x:v>App版本卡未锁</x:v>
      </x:c>
      <x:c r="J12" s="19" t="str">
        <x:v>正式配置表反证</x:v>
      </x:c>
    </x:row>
    <x:row r="13" ht="78" customHeight="1">
      <x:c r="A13" s="486" t="str">
        <x:v>N70 Max</x:v>
      </x:c>
      <x:c r="B13" s="486" t="str">
        <x:v>能源</x:v>
      </x:c>
      <x:c r="C13" s="486" t="str">
        <x:v>ENGINEERING+HOLD</x:v>
      </x:c>
      <x:c r="D13" s="486" t="str">
        <x:v>CLTC纯电505/综合1461；最低电耗15.85；亏电油耗6.1；监管候选76kWh NCM</x:v>
      </x:c>
      <x:c r="E13" s="486" t="str">
        <x:v>续航可陈述；76kWh商业绑定仍HOLD</x:v>
      </x:c>
      <x:c r="F13" s="486" t="str">
        <x:v>51/58/59表</x:v>
      </x:c>
      <x:c r="G13" s="486" t="str">
        <x:v>电池绝对成本不重复</x:v>
      </x:c>
      <x:c r="H13" s="486" t="str">
        <x:v>MEDIUM</x:v>
      </x:c>
      <x:c r="I13" s="486" t="str">
        <x:v>快充/容量逐车绑定</x:v>
      </x:c>
      <x:c r="J13" s="486" t="str">
        <x:v>App能源参数</x:v>
      </x:c>
    </x:row>
    <x:row r="14" ht="78" customHeight="1">
      <x:c r="A14" s="19" t="str">
        <x:v>N70 Max</x:v>
      </x:c>
      <x:c r="B14" s="19" t="str">
        <x:v>底盘</x:v>
      </x:c>
      <x:c r="C14" s="19" t="str">
        <x:v>RELEASE_STANDARD_LOCKED</x:v>
      </x:c>
      <x:c r="D14" s="19" t="str">
        <x:v>标配空气弹簧、连续阻尼减振器</x:v>
      </x:c>
      <x:c r="E14" s="19" t="str">
        <x:v>严格标配2项</x:v>
      </x:c>
      <x:c r="F14" s="19" t="str">
        <x:v>58表</x:v>
      </x:c>
      <x:c r="G14" s="19" t="str">
        <x:v>同一空悬CDC根</x:v>
      </x:c>
      <x:c r="H14" s="19" t="str">
        <x:v>HIGH</x:v>
      </x:c>
      <x:c r="I14" s="19" t="str">
        <x:v>基础悬架结构未披露</x:v>
      </x:c>
      <x:c r="J14" s="19" t="str">
        <x:v>App逐项表</x:v>
      </x:c>
    </x:row>
    <x:row r="15" ht="78" customHeight="1">
      <x:c r="A15" s="486" t="str">
        <x:v>N70 Max</x:v>
      </x:c>
      <x:c r="B15" s="486" t="str">
        <x:v>涉水/车身安全</x:v>
      </x:c>
      <x:c r="C15" s="486" t="str">
        <x:v>RELEASE_STANDARD_LOCKED</x:v>
      </x:c>
      <x:c r="D15" s="486" t="str">
        <x:v>2涉水雷达、24处防水、IPX8/IPX9K电池、一体式热成型门环</x:v>
      </x:c>
      <x:c r="E15" s="486" t="str">
        <x:v>严格标配4项</x:v>
      </x:c>
      <x:c r="F15" s="486" t="str">
        <x:v>58表</x:v>
      </x:c>
      <x:c r="G15" s="486" t="str">
        <x:v>系统根防重</x:v>
      </x:c>
      <x:c r="H15" s="486" t="str">
        <x:v>HIGH</x:v>
      </x:c>
      <x:c r="I15" s="486" t="str">
        <x:v>650mm/浮水为工程展示</x:v>
      </x:c>
      <x:c r="J15" s="486" t="str">
        <x:v>App逐项表</x:v>
      </x:c>
    </x:row>
    <x:row r="16" ht="78" customHeight="1">
      <x:c r="A16" s="19" t="str">
        <x:v>N70 Max</x:v>
      </x:c>
      <x:c r="B16" s="19" t="str">
        <x:v>智能</x:v>
      </x:c>
      <x:c r="C16" s="19" t="str">
        <x:v>RELEASE_STANDARD_LOCKED</x:v>
      </x:c>
      <x:c r="D16" s="19" t="str">
        <x:v>小米HAD、超级小爱、涉水模式</x:v>
      </x:c>
      <x:c r="E16" s="19" t="str">
        <x:v>严格标配3项</x:v>
      </x:c>
      <x:c r="F16" s="19" t="str">
        <x:v>58表</x:v>
      </x:c>
      <x:c r="G16" s="19" t="str">
        <x:v>软件共同根</x:v>
      </x:c>
      <x:c r="H16" s="19" t="str">
        <x:v>HIGH</x:v>
      </x:c>
      <x:c r="I16" s="19" t="str">
        <x:v>HyperOS系列作用域HOLD</x:v>
      </x:c>
      <x:c r="J16" s="19" t="str">
        <x:v>App逐项表</x:v>
      </x:c>
    </x:row>
    <x:row r="17" ht="78" customHeight="1">
      <x:c r="A17" s="486" t="str">
        <x:v>N70 Max</x:v>
      </x:c>
      <x:c r="B17" s="486" t="str">
        <x:v>舒适/座舱</x:v>
      </x:c>
      <x:c r="C17" s="486" t="str">
        <x:v>HOLD_NOT_DISCLOSED</x:v>
      </x:c>
      <x:c r="D17" s="486" t="str">
        <x:v>冰箱、后排屏、扬声器、气囊数、零重力/旋转座椅均未披露</x:v>
      </x:c>
      <x:c r="E17" s="486" t="str">
        <x:v>不能从N90下放</x:v>
      </x:c>
      <x:c r="F17" s="486" t="str">
        <x:v>58表</x:v>
      </x:c>
      <x:c r="G17" s="486" t="str">
        <x:v>零增量/HOLD</x:v>
      </x:c>
      <x:c r="H17" s="486" t="str">
        <x:v>LOW</x:v>
      </x:c>
      <x:c r="I17" s="486" t="str">
        <x:v>基础配置未知</x:v>
      </x:c>
      <x:c r="J17" s="486" t="str">
        <x:v>完整配置修订</x:v>
      </x:c>
    </x:row>
    <x:row r="18" ht="78" customHeight="1">
      <x:c r="A18" s="19" t="str">
        <x:v>N90 Max</x:v>
      </x:c>
      <x:c r="B18" s="19" t="str">
        <x:v>车身/空间</x:v>
      </x:c>
      <x:c r="C18" s="19" t="str">
        <x:v>ENGINEERING_BASE</x:v>
      </x:c>
      <x:c r="D18" s="19" t="str">
        <x:v>5285×1998×1825；3080轴距；2+2+3七座；577–1831L后备厢</x:v>
      </x:c>
      <x:c r="E18" s="19" t="str">
        <x:v>官网展示，工程高概率</x:v>
      </x:c>
      <x:c r="F18" s="19" t="str">
        <x:v>51/58表</x:v>
      </x:c>
      <x:c r="G18" s="19" t="str">
        <x:v>车身/座椅根</x:v>
      </x:c>
      <x:c r="H18" s="19" t="str">
        <x:v>MEDIUM</x:v>
      </x:c>
      <x:c r="I18" s="19" t="str">
        <x:v>5座准入不自动成SKU</x:v>
      </x:c>
      <x:c r="J18" s="19" t="str">
        <x:v>App座位SKU绑定</x:v>
      </x:c>
    </x:row>
    <x:row r="19" ht="78" customHeight="1">
      <x:c r="A19" s="486" t="str">
        <x:v>N90 Max</x:v>
      </x:c>
      <x:c r="B19" s="486" t="str">
        <x:v>动力/能源</x:v>
      </x:c>
      <x:c r="C19" s="486" t="str">
        <x:v>ENGINEERING_BASE</x:v>
      </x:c>
      <x:c r="D19" s="486" t="str">
        <x:v>AWD310kW；5.9s；76kWh NCM；CLTC464/综合1705；15min补285km；60L油箱</x:v>
      </x:c>
      <x:c r="E19" s="486" t="str">
        <x:v>官网产品事实，非逐项“标配”用语</x:v>
      </x:c>
      <x:c r="F19" s="486" t="str">
        <x:v>51/58表</x:v>
      </x:c>
      <x:c r="G19" s="486" t="str">
        <x:v>共同三电底座</x:v>
      </x:c>
      <x:c r="H19" s="486" t="str">
        <x:v>MEDIUM</x:v>
      </x:c>
      <x:c r="I19" s="486" t="str">
        <x:v>正式版本修订未锁</x:v>
      </x:c>
      <x:c r="J19" s="486" t="str">
        <x:v>App参数表</x:v>
      </x:c>
    </x:row>
    <x:row r="20" ht="78" customHeight="1">
      <x:c r="A20" s="19" t="str">
        <x:v>N90 Max</x:v>
      </x:c>
      <x:c r="B20" s="19" t="str">
        <x:v>底盘</x:v>
      </x:c>
      <x:c r="C20" s="19" t="str">
        <x:v>ENGINEERING_BASE</x:v>
      </x:c>
      <x:c r="D20" s="19" t="str">
        <x:v>前双叉臂+后多连杆；空气弹簧+连续阻尼；4液压衬套；255/265宽胎</x:v>
      </x:c>
      <x:c r="E20" s="19" t="str">
        <x:v>工程高概率配置</x:v>
      </x:c>
      <x:c r="F20" s="19" t="str">
        <x:v>58表</x:v>
      </x:c>
      <x:c r="G20" s="19" t="str">
        <x:v>条件BOM根</x:v>
      </x:c>
      <x:c r="H20" s="19" t="str">
        <x:v>MEDIUM</x:v>
      </x:c>
      <x:c r="I20" s="19" t="str">
        <x:v>基础价是否全含待核</x:v>
      </x:c>
      <x:c r="J20" s="19" t="str">
        <x:v>●/○/—确认</x:v>
      </x:c>
    </x:row>
    <x:row r="21" ht="78" customHeight="1">
      <x:c r="A21" s="486" t="str">
        <x:v>N90 Max</x:v>
      </x:c>
      <x:c r="B21" s="486" t="str">
        <x:v>座舱/舒适</x:v>
      </x:c>
      <x:c r="C21" s="486" t="str">
        <x:v>ENGINEERING_BASE</x:v>
      </x:c>
      <x:c r="D21" s="486" t="str">
        <x:v>9L冷暖冰箱；一二排16点按摩/通风/加热；三分区热泵；25扬声器4890W</x:v>
      </x:c>
      <x:c r="E21" s="486" t="str">
        <x:v>工程高概率配置</x:v>
      </x:c>
      <x:c r="F21" s="486" t="str">
        <x:v>58表</x:v>
      </x:c>
      <x:c r="G21" s="486" t="str">
        <x:v>条件BOM根</x:v>
      </x:c>
      <x:c r="H21" s="486" t="str">
        <x:v>MEDIUM</x:v>
      </x:c>
      <x:c r="I21" s="486" t="str">
        <x:v>展示项可能转选装</x:v>
      </x:c>
      <x:c r="J21" s="486" t="str">
        <x:v>●/○/—确认</x:v>
      </x:c>
    </x:row>
    <x:row r="22" ht="78" customHeight="1">
      <x:c r="A22" s="19" t="str">
        <x:v>N90 Max</x:v>
      </x:c>
      <x:c r="B22" s="19" t="str">
        <x:v>严格智能</x:v>
      </x:c>
      <x:c r="C22" s="19" t="str">
        <x:v>RELEASE_STANDARD_LOCKED</x:v>
      </x:c>
      <x:c r="D22" s="19" t="str">
        <x:v>26项安全辅助；四合一域控；双5G/三蓝牙/双Wi-Fi/Wi-Fi7；Flyback；XLA；HAD；超级小爱；涉水模式</x:v>
      </x:c>
      <x:c r="E22" s="19" t="str">
        <x:v>严格标配8项</x:v>
      </x:c>
      <x:c r="F22" s="19" t="str">
        <x:v>58表</x:v>
      </x:c>
      <x:c r="G22" s="19" t="str">
        <x:v>系统根防重</x:v>
      </x:c>
      <x:c r="H22" s="19" t="str">
        <x:v>HIGH</x:v>
      </x:c>
      <x:c r="I22" s="19" t="str">
        <x:v>当前在售配置仍需App锁</x:v>
      </x:c>
      <x:c r="J22" s="19" t="str">
        <x:v>App逐项表</x:v>
      </x:c>
    </x:row>
    <x:row r="23" ht="78" customHeight="1">
      <x:c r="A23" s="486" t="str">
        <x:v>N90 Max</x:v>
      </x:c>
      <x:c r="B23" s="486" t="str">
        <x:v>章节作用域</x:v>
      </x:c>
      <x:c r="C23" s="486" t="str">
        <x:v>ENGINEERING_SCOPE_CANDIDATE</x:v>
      </x:c>
      <x:c r="D23" s="486" t="str">
        <x:v>HyperOS六屏联动、后向固态激光雷达</x:v>
      </x:c>
      <x:c r="E23" s="486" t="str">
        <x:v>不能称严格标配</x:v>
      </x:c>
      <x:c r="F23" s="486" t="str">
        <x:v>58表</x:v>
      </x:c>
      <x:c r="G23" s="486" t="str">
        <x:v>条件池</x:v>
      </x:c>
      <x:c r="H23" s="486" t="str">
        <x:v>MEDIUM_LOW</x:v>
      </x:c>
      <x:c r="I23" s="486" t="str">
        <x:v>同章节含需另购Pad</x:v>
      </x:c>
      <x:c r="J23" s="486" t="str">
        <x:v>版本卡逐项确认</x:v>
      </x:c>
    </x:row>
    <x:row r="24" ht="78" customHeight="1">
      <x:c r="A24" s="19" t="str">
        <x:v>N90 Max</x:v>
      </x:c>
      <x:c r="B24" s="19" t="str">
        <x:v>安全</x:v>
      </x:c>
      <x:c r="C24" s="19" t="str">
        <x:v>ENGINEERING_BASE</x:v>
      </x:c>
      <x:c r="D24" s="19" t="str">
        <x:v>12气囊、9碰撞传感器、3030mm侧气帘、2涉水雷达、750mm涉水</x:v>
      </x:c>
      <x:c r="E24" s="19" t="str">
        <x:v>工程高概率配置</x:v>
      </x:c>
      <x:c r="F24" s="19" t="str">
        <x:v>58表</x:v>
      </x:c>
      <x:c r="G24" s="19" t="str">
        <x:v>约束/涉水根</x:v>
      </x:c>
      <x:c r="H24" s="19" t="str">
        <x:v>MEDIUM</x:v>
      </x:c>
      <x:c r="I24" s="19" t="str">
        <x:v>未逐项写“标配”</x:v>
      </x:c>
      <x:c r="J24" s="19" t="str">
        <x:v>App逐项表</x:v>
      </x:c>
    </x:row>
    <x:row r="25" ht="78" customHeight="1">
      <x:c r="A25" s="486" t="str">
        <x:v>N90 Max</x:v>
      </x:c>
      <x:c r="B25" s="486" t="str">
        <x:v>选装</x:v>
      </x:c>
      <x:c r="C25" s="486" t="str">
        <x:v>OPTION_POOL</x:v>
      </x:c>
      <x:c r="D25" s="486" t="str">
        <x:v>智能电动门、电动踏板、旋转一排、最多4零重力、4款21寸轮毂、格栅饰板</x:v>
      </x:c>
      <x:c r="E25" s="486" t="str">
        <x:v>明确选装6项</x:v>
      </x:c>
      <x:c r="F25" s="486" t="str">
        <x:v>60表</x:v>
      </x:c>
      <x:c r="G25" s="486" t="str">
        <x:v>排除基础BOM</x:v>
      </x:c>
      <x:c r="H25" s="486" t="str">
        <x:v>HIGH</x:v>
      </x:c>
      <x:c r="I25" s="486" t="str">
        <x:v>价格/替代关系未发布</x:v>
      </x:c>
      <x:c r="J25" s="486" t="str">
        <x:v>官方选装价表</x:v>
      </x:c>
    </x:row>
    <x:row r="26" ht="78" customHeight="1">
      <x:c r="A26" s="19" t="str">
        <x:v>N90 Max</x:v>
      </x:c>
      <x:c r="B26" s="19" t="str">
        <x:v>附件</x:v>
      </x:c>
      <x:c r="C26" s="19" t="str">
        <x:v>ACCESSORY_POOL</x:v>
      </x:c>
      <x:c r="D26" s="19" t="str">
        <x:v>桌板、床垫、隐私帘、尾帐、车边帐、副驾扩展Pad</x:v>
      </x:c>
      <x:c r="E26" s="19" t="str">
        <x:v>明确另购6项</x:v>
      </x:c>
      <x:c r="F26" s="19" t="str">
        <x:v>60表</x:v>
      </x:c>
      <x:c r="G26" s="19" t="str">
        <x:v>永久分离整车BOM</x:v>
      </x:c>
      <x:c r="H26" s="19" t="str">
        <x:v>HIGH</x:v>
      </x:c>
      <x:c r="I26" s="19" t="str">
        <x:v>附件价格未发布</x:v>
      </x:c>
      <x:c r="J26" s="19" t="str">
        <x:v>官方附件价表</x:v>
      </x:c>
    </x:row>
    <x:row r="27" ht="78" customHeight="1">
      <x:c r="A27" s="486" t="str">
        <x:v>N90升顶候选</x:v>
      </x:c>
      <x:c r="B27" s="486" t="str">
        <x:v>车身/身份</x:v>
      </x:c>
      <x:c r="C27" s="486" t="str">
        <x:v>REGULATORY_LOCKED</x:v>
      </x:c>
      <x:c r="D27" s="486" t="str">
        <x:v>文化生活服务车；5285×1998×1925；5座；2840kg；相对普通五座+100mm/+40kg</x:v>
      </x:c>
      <x:c r="E27" s="486" t="str">
        <x:v>监管事实，未商品化</x:v>
      </x:c>
      <x:c r="F27" s="486" t="str">
        <x:v>39/40/75表</x:v>
      </x:c>
      <x:c r="G27" s="486" t="str">
        <x:v>特殊结构边界</x:v>
      </x:c>
      <x:c r="H27" s="486" t="str">
        <x:v>MEDIUM</x:v>
      </x:c>
      <x:c r="I27" s="486" t="str">
        <x:v>正式名称/SKU未知</x:v>
      </x:c>
      <x:c r="J27" s="486" t="str">
        <x:v>独立商品卡</x:v>
      </x:c>
    </x:row>
    <x:row r="28" ht="78" customHeight="1">
      <x:c r="A28" s="19" t="str">
        <x:v>N90升顶候选</x:v>
      </x:c>
      <x:c r="B28" s="19" t="str">
        <x:v>动力/能源</x:v>
      </x:c>
      <x:c r="C28" s="19" t="str">
        <x:v>REGULATORY_LOCKED</x:v>
      </x:c>
      <x:c r="D28" s="19" t="str">
        <x:v>AWD210+100kW；M15DRE；76kWh NCM；目录纯电363km；255/265R21</x:v>
      </x:c>
      <x:c r="E28" s="19" t="str">
        <x:v>与普通N90工程同源</x:v>
      </x:c>
      <x:c r="F28" s="19" t="str">
        <x:v>39/40/75表</x:v>
      </x:c>
      <x:c r="G28" s="19" t="str">
        <x:v>共同三电归零</x:v>
      </x:c>
      <x:c r="H28" s="19" t="str">
        <x:v>MEDIUM</x:v>
      </x:c>
      <x:c r="I28" s="19" t="str">
        <x:v>商业配置继承未知</x:v>
      </x:c>
      <x:c r="J28" s="19" t="str">
        <x:v>正式参数卡</x:v>
      </x:c>
    </x:row>
    <x:row r="29" ht="78" customHeight="1">
      <x:c r="A29" s="486" t="str">
        <x:v>N90升顶候选</x:v>
      </x:c>
      <x:c r="B29" s="486" t="str">
        <x:v>升顶工程</x:v>
      </x:c>
      <x:c r="C29" s="486" t="str">
        <x:v>ENGINEERING_PROVISIONAL</x:v>
      </x:c>
      <x:c r="D29" s="486" t="str">
        <x:v>开口/环框加强、顶盖、机构、锁止、密封排水、软围、过渡饰件</x:v>
      </x:c>
      <x:c r="E29" s="486" t="str">
        <x:v>必要工程骨架；电动执行仅模型假设</x:v>
      </x:c>
      <x:c r="F29" s="486" t="str">
        <x:v>75–79表</x:v>
      </x:c>
      <x:c r="G29" s="486" t="str">
        <x:v>S_special独立</x:v>
      </x:c>
      <x:c r="H29" s="486" t="str">
        <x:v>MEDIUM_LOW</x:v>
      </x:c>
      <x:c r="I29" s="486" t="str">
        <x:v>手动/电动待核</x:v>
      </x:c>
      <x:c r="J29" s="486" t="str">
        <x:v>机构方案公布</x:v>
      </x:c>
    </x:row>
    <x:row r="30" ht="78" customHeight="1">
      <x:c r="A30" s="19" t="str">
        <x:v>N90升顶候选</x:v>
      </x:c>
      <x:c r="B30" s="19" t="str">
        <x:v>生活设施</x:v>
      </x:c>
      <x:c r="C30" s="19" t="str">
        <x:v>REGULATORY_BOUNDARY</x:v>
      </x:c>
      <x:c r="D30" s="19" t="str">
        <x:v>升降顶、床板、边柜、侧帐接口</x:v>
      </x:c>
      <x:c r="E30" s="19" t="str">
        <x:v>特殊机构文字≠商业免费标配</x:v>
      </x:c>
      <x:c r="F30" s="19" t="str">
        <x:v>40/75表</x:v>
      </x:c>
      <x:c r="G30" s="19" t="str">
        <x:v>床板/边柜/接口普通κ</x:v>
      </x:c>
      <x:c r="H30" s="19" t="str">
        <x:v>MEDIUM_LOW</x:v>
      </x:c>
      <x:c r="I30" s="19" t="str">
        <x:v>标配/选装未知</x:v>
      </x:c>
      <x:c r="J30" s="19" t="str">
        <x:v>App版本卡</x:v>
      </x:c>
    </x:row>
    <x:row r="31" ht="78" customHeight="1">
      <x:c r="A31" s="486" t="str">
        <x:v>N90升顶候选</x:v>
      </x:c>
      <x:c r="B31" s="486" t="str">
        <x:v>选装/排除</x:v>
      </x:c>
      <x:c r="C31" s="486" t="str">
        <x:v>OPTION_OR_EXCLUDED</x:v>
      </x:c>
      <x:c r="D31" s="486" t="str">
        <x:v>投影/桌板为准入选装；床垫/完整车边帐排除基础BOM</x:v>
      </x:c>
      <x:c r="E31" s="486" t="str">
        <x:v>严格商业标配0项</x:v>
      </x:c>
      <x:c r="F31" s="486" t="str">
        <x:v>40/60/77表</x:v>
      </x:c>
      <x:c r="G31" s="486" t="str">
        <x:v>排除</x:v>
      </x:c>
      <x:c r="H31" s="486" t="str">
        <x:v>HIGH_BOUNDARY</x:v>
      </x:c>
      <x:c r="I31" s="486" t="str">
        <x:v>不能自动继承N90附件</x:v>
      </x:c>
      <x:c r="J31" s="486" t="str">
        <x:v>正式选装/附件表</x:v>
      </x:c>
    </x:row>
    <x:row r="32" ht="78" customHeight="1">
      <x:c r="A32" s="19" t="str">
        <x:v>N90升顶候选</x:v>
      </x:c>
      <x:c r="B32" s="19" t="str">
        <x:v>商业</x:v>
      </x:c>
      <x:c r="C32" s="19" t="str">
        <x:v>NO_COMMERCIAL_EVIDENCE</x:v>
      </x:c>
      <x:c r="D32" s="19" t="str">
        <x:v>是否上市、价格、座舱/智能继承均未知</x:v>
      </x:c>
      <x:c r="E32" s="19" t="str">
        <x:v>价格33.99仅条件预测</x:v>
      </x:c>
      <x:c r="F32" s="19" t="str">
        <x:v>41/80表</x:v>
      </x:c>
      <x:c r="G32" s="19" t="str">
        <x:v>正式桥关闭</x:v>
      </x:c>
      <x:c r="H32" s="19" t="str">
        <x:v>LOW</x:v>
      </x:c>
      <x:c r="I32" s="19" t="str">
        <x:v>不可称全系在售</x:v>
      </x:c>
      <x:c r="J32" s="19" t="str">
        <x:v>独立下订入口</x:v>
      </x:c>
    </x:row>
  </x:sheetData>
  <x:mergeCells>
    <x:mergeCell ref="A1:J1"/>
    <x:mergeCell ref="A2:J2"/>
    <x:mergeCell ref="A3:J3"/>
  </x:mergeCells>
  <x:conditionalFormatting sqref="C6:C32">
    <x:cfRule type="containsText" dxfId="2013" priority="1" operator="containsText" text="PASS"/>
    <x:cfRule type="containsText" dxfId="2014" priority="2" operator="containsText" text="READY"/>
    <x:cfRule type="containsText" dxfId="2015" priority="3" operator="containsText" text="LOCKED"/>
    <x:cfRule type="containsText" dxfId="2016" priority="4" operator="containsText" text="OFFICIAL"/>
    <x:cfRule type="containsText" dxfId="2017" priority="5" operator="containsText" text="STRICT"/>
    <x:cfRule type="containsText" dxfId="2018" priority="6" operator="containsText" text="MODE"/>
    <x:cfRule type="containsText" dxfId="2019" priority="7" operator="containsText" text="PROVISIONAL"/>
    <x:cfRule type="containsText" dxfId="2020" priority="8" operator="containsText" text="SCENARIO"/>
    <x:cfRule type="containsText" dxfId="2021" priority="9" operator="containsText" text="HOLD"/>
    <x:cfRule type="containsText" dxfId="2022" priority="10" operator="containsText" text="CANDIDATE"/>
    <x:cfRule type="containsText" dxfId="2023" priority="11" operator="containsText" text="FORECAST"/>
    <x:cfRule type="containsText" dxfId="2024" priority="12" operator="containsText" text="LOW_CONFIDENCE"/>
    <x:cfRule type="containsText" dxfId="2025" priority="13" operator="containsText" text="BLOCKED"/>
    <x:cfRule type="containsText" dxfId="2026" priority="14" operator="containsText" text="FAIL"/>
    <x:cfRule type="containsText" dxfId="2027" priority="15" operator="containsText" text="FALSE"/>
    <x:cfRule type="containsText" dxfId="2028" priority="16" operator="containsText" text="EXCLUDED"/>
    <x:cfRule type="containsText" dxfId="2029" priority="17" operator="containsText" text="ACCESSORY"/>
    <x:cfRule type="containsText" dxfId="2030" priority="18" operator="containsText" text="OPTION"/>
    <x:cfRule type="containsText" dxfId="2031" priority="19" operator="containsText" text="ENGINEERING"/>
    <x:cfRule type="containsText" dxfId="2032" priority="20" operator="containsText" text="REGULATORY"/>
    <x:cfRule type="containsText" dxfId="2033" priority="21" operator="containsText" text="CONDITIONAL"/>
  </x:conditionalFormatting>
  <x:conditionalFormatting sqref="H6:H32">
    <x:cfRule type="containsText" dxfId="2034" priority="22" operator="containsText" text="PASS"/>
    <x:cfRule type="containsText" dxfId="2035" priority="23" operator="containsText" text="READY"/>
    <x:cfRule type="containsText" dxfId="2036" priority="24" operator="containsText" text="LOCKED"/>
    <x:cfRule type="containsText" dxfId="2037" priority="25" operator="containsText" text="OFFICIAL"/>
    <x:cfRule type="containsText" dxfId="2038" priority="26" operator="containsText" text="STRICT"/>
    <x:cfRule type="containsText" dxfId="2039" priority="27" operator="containsText" text="MODE"/>
    <x:cfRule type="containsText" dxfId="2040" priority="28" operator="containsText" text="PROVISIONAL"/>
    <x:cfRule type="containsText" dxfId="2041" priority="29" operator="containsText" text="SCENARIO"/>
    <x:cfRule type="containsText" dxfId="2042" priority="30" operator="containsText" text="HOLD"/>
    <x:cfRule type="containsText" dxfId="2043" priority="31" operator="containsText" text="CANDIDATE"/>
    <x:cfRule type="containsText" dxfId="2044" priority="32" operator="containsText" text="FORECAST"/>
    <x:cfRule type="containsText" dxfId="2045" priority="33" operator="containsText" text="LOW_CONFIDENCE"/>
    <x:cfRule type="containsText" dxfId="2046" priority="34" operator="containsText" text="BLOCKED"/>
    <x:cfRule type="containsText" dxfId="2047" priority="35" operator="containsText" text="FAIL"/>
    <x:cfRule type="containsText" dxfId="2048" priority="36" operator="containsText" text="FALSE"/>
    <x:cfRule type="containsText" dxfId="2049" priority="37" operator="containsText" text="EXCLUDED"/>
    <x:cfRule type="containsText" dxfId="2050" priority="38" operator="containsText" text="ACCESSORY"/>
    <x:cfRule type="containsText" dxfId="2051" priority="39" operator="containsText" text="OPTION"/>
    <x:cfRule type="containsText" dxfId="2052" priority="40" operator="containsText" text="ENGINEERING"/>
    <x:cfRule type="containsText" dxfId="2053" priority="41" operator="containsText" text="REGULATORY"/>
    <x:cfRule type="containsText" dxfId="2054" priority="42" operator="containsText" text="CONDITIONAL"/>
  </x:conditionalFormatting>
  <x:pageMargins left="0.7" right="0.7" top="0.75" bottom="0.75" header="0.3" footer="0.3"/>
</x:worksheet>
</file>

<file path=xl/worksheets/sheet9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26" hidden="0" customWidth="1"/>
    <x:col min="3" max="3" width="26" hidden="0" customWidth="1"/>
    <x:col min="4" max="4" width="30" hidden="0" customWidth="1"/>
    <x:col min="5" max="5" width="28" hidden="0" customWidth="1"/>
    <x:col min="6" max="6" width="13" hidden="0" customWidth="1"/>
    <x:col min="7" max="7" width="24" hidden="0" customWidth="1"/>
    <x:col min="8" max="8" width="31" hidden="0" customWidth="1"/>
    <x:col min="9" max="9" width="18" hidden="0" customWidth="1"/>
    <x:col min="10" max="10" width="24" hidden="0" customWidth="1"/>
    <x:col min="11" max="11" width="30" hidden="0" customWidth="1"/>
    <x:col min="12" max="12" width="35" hidden="0" customWidth="1"/>
  </x:cols>
  <x:sheetData>
    <x:row r="1" ht="30" customHeight="1">
      <x:c r="A1" s="473" t="str">
        <x:v>90｜选装、附件与升顶排除池</x:v>
      </x:c>
      <x:c r="B1" s="473"/>
      <x:c r="C1" s="473"/>
      <x:c r="D1" s="473"/>
      <x:c r="E1" s="473"/>
      <x:c r="F1" s="473"/>
      <x:c r="G1" s="473"/>
      <x:c r="H1" s="473"/>
      <x:c r="I1" s="473"/>
      <x:c r="J1" s="473"/>
      <x:c r="K1" s="473"/>
      <x:c r="L1" s="473"/>
    </x:row>
    <x:row r="2" ht="22" customHeight="1">
      <x:c r="A2" s="476" t="str">
        <x:v>明确商品属性不因赠送权益改变｜准入允许不等于商业标配</x:v>
      </x:c>
      <x:c r="B2" s="476"/>
      <x:c r="C2" s="476"/>
      <x:c r="D2" s="476"/>
      <x:c r="E2" s="476"/>
      <x:c r="F2" s="476"/>
      <x:c r="G2" s="476"/>
      <x:c r="H2" s="476"/>
      <x:c r="I2" s="476"/>
      <x:c r="J2" s="476"/>
      <x:c r="K2" s="476"/>
      <x:c r="L2" s="476"/>
    </x:row>
    <x:row r="3" ht="72" customHeight="1">
      <x:c r="A3" s="480" t="str">
        <x:v>N90 Max有6项明确选装、6项明确另购。升顶版投影/桌板只属于准入选装允许，尚不是商业选装包；床垫与完整车边帐继续排除基础BOM。N70两节点没有可安全归属的公开选装池。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</x:row>
    <x:row r="5" ht="56" customHeight="1">
      <x:c r="A5" s="485" t="str">
        <x:v>pool_id</x:v>
      </x:c>
      <x:c r="B5" s="485" t="str">
        <x:v>节点</x:v>
      </x:c>
      <x:c r="C5" s="485" t="str">
        <x:v>类型</x:v>
      </x:c>
      <x:c r="D5" s="485" t="str">
        <x:v>项目</x:v>
      </x:c>
      <x:c r="E5" s="485" t="str">
        <x:v>官方/监管措辞</x:v>
      </x:c>
      <x:c r="F5" s="485" t="str">
        <x:v>基础BOM</x:v>
      </x:c>
      <x:c r="G5" s="485" t="str">
        <x:v>价格状态</x:v>
      </x:c>
      <x:c r="H5" s="485" t="str">
        <x:v>权益影响</x:v>
      </x:c>
      <x:c r="I5" s="485" t="str">
        <x:v>证据</x:v>
      </x:c>
      <x:c r="J5" s="485" t="str">
        <x:v>当前处理</x:v>
      </x:c>
      <x:c r="K5" s="485" t="str">
        <x:v>触发条件</x:v>
      </x:c>
      <x:c r="L5" s="485" t="str">
        <x:v>边界</x:v>
      </x:c>
    </x:row>
    <x:row r="6" ht="62" customHeight="1">
      <x:c r="A6" s="19" t="str">
        <x:v>P-01</x:v>
      </x:c>
      <x:c r="B6" s="19" t="str">
        <x:v>N90 Max</x:v>
      </x:c>
      <x:c r="C6" s="19" t="str">
        <x:v>OPTION</x:v>
      </x:c>
      <x:c r="D6" s="19" t="str">
        <x:v>智能电动门</x:v>
      </x:c>
      <x:c r="E6" s="19" t="str">
        <x:v>可选</x:v>
      </x:c>
      <x:c r="F6" s="19" t="n">
        <x:v>0</x:v>
      </x:c>
      <x:c r="G6" s="19" t="str">
        <x:v>NOT_PUBLISHED</x:v>
      </x:c>
      <x:c r="H6" s="19" t="str">
        <x:v>赠送也仍是选装</x:v>
      </x:c>
      <x:c r="I6" s="19" t="str">
        <x:v>60表</x:v>
      </x:c>
      <x:c r="J6" s="19" t="str">
        <x:v>EXCLUDED_BASE</x:v>
      </x:c>
      <x:c r="K6" s="19" t="str">
        <x:v>官方选装价</x:v>
      </x:c>
      <x:c r="L6" s="19" t="str">
        <x:v>不得写标配</x:v>
      </x:c>
    </x:row>
    <x:row r="7" ht="62" customHeight="1">
      <x:c r="A7" s="486" t="str">
        <x:v>P-02</x:v>
      </x:c>
      <x:c r="B7" s="486" t="str">
        <x:v>N90 Max</x:v>
      </x:c>
      <x:c r="C7" s="486" t="str">
        <x:v>OPTION</x:v>
      </x:c>
      <x:c r="D7" s="486" t="str">
        <x:v>电动迎宾踏板</x:v>
      </x:c>
      <x:c r="E7" s="486" t="str">
        <x:v>可选</x:v>
      </x:c>
      <x:c r="F7" s="486" t="n">
        <x:v>0</x:v>
      </x:c>
      <x:c r="G7" s="486" t="str">
        <x:v>NOT_PUBLISHED</x:v>
      </x:c>
      <x:c r="H7" s="486" t="str">
        <x:v>同上</x:v>
      </x:c>
      <x:c r="I7" s="486" t="str">
        <x:v>60表</x:v>
      </x:c>
      <x:c r="J7" s="486" t="str">
        <x:v>EXCLUDED_BASE</x:v>
      </x:c>
      <x:c r="K7" s="486" t="str">
        <x:v>官方选装价</x:v>
      </x:c>
      <x:c r="L7" s="486" t="str">
        <x:v>不得写标配</x:v>
      </x:c>
    </x:row>
    <x:row r="8" ht="62" customHeight="1">
      <x:c r="A8" s="19" t="str">
        <x:v>P-03</x:v>
      </x:c>
      <x:c r="B8" s="19" t="str">
        <x:v>N90 Max</x:v>
      </x:c>
      <x:c r="C8" s="19" t="str">
        <x:v>OPTION</x:v>
      </x:c>
      <x:c r="D8" s="19" t="str">
        <x:v>一排电动旋转座椅</x:v>
      </x:c>
      <x:c r="E8" s="19" t="str">
        <x:v>可选装</x:v>
      </x:c>
      <x:c r="F8" s="19" t="n">
        <x:v>0</x:v>
      </x:c>
      <x:c r="G8" s="19" t="str">
        <x:v>NOT_PUBLISHED</x:v>
      </x:c>
      <x:c r="H8" s="19" t="str">
        <x:v>同上</x:v>
      </x:c>
      <x:c r="I8" s="19" t="str">
        <x:v>60表</x:v>
      </x:c>
      <x:c r="J8" s="19" t="str">
        <x:v>EXCLUDED_BASE</x:v>
      </x:c>
      <x:c r="K8" s="19" t="str">
        <x:v>官方选装价</x:v>
      </x:c>
      <x:c r="L8" s="19" t="str">
        <x:v>不得写标配</x:v>
      </x:c>
    </x:row>
    <x:row r="9" ht="62" customHeight="1">
      <x:c r="A9" s="486" t="str">
        <x:v>P-04</x:v>
      </x:c>
      <x:c r="B9" s="486" t="str">
        <x:v>N90 Max</x:v>
      </x:c>
      <x:c r="C9" s="486" t="str">
        <x:v>OPTION</x:v>
      </x:c>
      <x:c r="D9" s="486" t="str">
        <x:v>最多4把零重力座椅</x:v>
      </x:c>
      <x:c r="E9" s="486" t="str">
        <x:v>可选装</x:v>
      </x:c>
      <x:c r="F9" s="486" t="n">
        <x:v>0</x:v>
      </x:c>
      <x:c r="G9" s="486" t="str">
        <x:v>NOT_PUBLISHED</x:v>
      </x:c>
      <x:c r="H9" s="486" t="str">
        <x:v>同上</x:v>
      </x:c>
      <x:c r="I9" s="486" t="str">
        <x:v>60表</x:v>
      </x:c>
      <x:c r="J9" s="486" t="str">
        <x:v>EXCLUDED_BASE</x:v>
      </x:c>
      <x:c r="K9" s="486" t="str">
        <x:v>官方选装价</x:v>
      </x:c>
      <x:c r="L9" s="486" t="str">
        <x:v>基础座椅另计</x:v>
      </x:c>
    </x:row>
    <x:row r="10" ht="62" customHeight="1">
      <x:c r="A10" s="19" t="str">
        <x:v>P-05</x:v>
      </x:c>
      <x:c r="B10" s="19" t="str">
        <x:v>N90 Max</x:v>
      </x:c>
      <x:c r="C10" s="19" t="str">
        <x:v>OPTION</x:v>
      </x:c>
      <x:c r="D10" s="19" t="str">
        <x:v>四款21英寸轮毂造型</x:v>
      </x:c>
      <x:c r="E10" s="19" t="str">
        <x:v>可选</x:v>
      </x:c>
      <x:c r="F10" s="19" t="n">
        <x:v>0</x:v>
      </x:c>
      <x:c r="G10" s="19" t="str">
        <x:v>NOT_PUBLISHED</x:v>
      </x:c>
      <x:c r="H10" s="19" t="str">
        <x:v>券不改变属性</x:v>
      </x:c>
      <x:c r="I10" s="19" t="str">
        <x:v>60表</x:v>
      </x:c>
      <x:c r="J10" s="19" t="str">
        <x:v>EXCLUDED_BASE</x:v>
      </x:c>
      <x:c r="K10" s="19" t="str">
        <x:v>官方选装价</x:v>
      </x:c>
      <x:c r="L10" s="19" t="str">
        <x:v>轮胎规格与造型分开</x:v>
      </x:c>
    </x:row>
    <x:row r="11" ht="62" customHeight="1">
      <x:c r="A11" s="486" t="str">
        <x:v>P-06</x:v>
      </x:c>
      <x:c r="B11" s="486" t="str">
        <x:v>N90 Max</x:v>
      </x:c>
      <x:c r="C11" s="486" t="str">
        <x:v>OPTION</x:v>
      </x:c>
      <x:c r="D11" s="486" t="str">
        <x:v>个性化前格栅饰板</x:v>
      </x:c>
      <x:c r="E11" s="486" t="str">
        <x:v>可选</x:v>
      </x:c>
      <x:c r="F11" s="486" t="n">
        <x:v>0</x:v>
      </x:c>
      <x:c r="G11" s="486" t="str">
        <x:v>NOT_PUBLISHED</x:v>
      </x:c>
      <x:c r="H11" s="486" t="str">
        <x:v>同上</x:v>
      </x:c>
      <x:c r="I11" s="486" t="str">
        <x:v>60表</x:v>
      </x:c>
      <x:c r="J11" s="486" t="str">
        <x:v>EXCLUDED_BASE</x:v>
      </x:c>
      <x:c r="K11" s="486" t="str">
        <x:v>官方选装价</x:v>
      </x:c>
      <x:c r="L11" s="486" t="str">
        <x:v>替换关系待核</x:v>
      </x:c>
    </x:row>
    <x:row r="12" ht="62" customHeight="1">
      <x:c r="A12" s="19" t="str">
        <x:v>P-07</x:v>
      </x:c>
      <x:c r="B12" s="19" t="str">
        <x:v>N90 Max</x:v>
      </x:c>
      <x:c r="C12" s="19" t="str">
        <x:v>ACCESSORY</x:v>
      </x:c>
      <x:c r="D12" s="19" t="str">
        <x:v>车载桌板</x:v>
      </x:c>
      <x:c r="E12" s="19" t="str">
        <x:v>需单独购买</x:v>
      </x:c>
      <x:c r="F12" s="19" t="n">
        <x:v>0</x:v>
      </x:c>
      <x:c r="G12" s="19" t="str">
        <x:v>NOT_PUBLISHED</x:v>
      </x:c>
      <x:c r="H12" s="19" t="str">
        <x:v>小订赠送仍是附件</x:v>
      </x:c>
      <x:c r="I12" s="19" t="str">
        <x:v>60表</x:v>
      </x:c>
      <x:c r="J12" s="19" t="str">
        <x:v>SEPARATE_PURCHASE</x:v>
      </x:c>
      <x:c r="K12" s="19" t="str">
        <x:v>附件价表</x:v>
      </x:c>
      <x:c r="L12" s="19" t="str">
        <x:v>不进整车BOM</x:v>
      </x:c>
    </x:row>
    <x:row r="13" ht="62" customHeight="1">
      <x:c r="A13" s="486" t="str">
        <x:v>P-08</x:v>
      </x:c>
      <x:c r="B13" s="486" t="str">
        <x:v>N90 Max</x:v>
      </x:c>
      <x:c r="C13" s="486" t="str">
        <x:v>ACCESSORY</x:v>
      </x:c>
      <x:c r="D13" s="486" t="str">
        <x:v>专用床垫</x:v>
      </x:c>
      <x:c r="E13" s="486" t="str">
        <x:v>需单独购买</x:v>
      </x:c>
      <x:c r="F13" s="486" t="n">
        <x:v>0</x:v>
      </x:c>
      <x:c r="G13" s="486" t="str">
        <x:v>NOT_PUBLISHED</x:v>
      </x:c>
      <x:c r="H13" s="486" t="str">
        <x:v>赠送不改属性</x:v>
      </x:c>
      <x:c r="I13" s="486" t="str">
        <x:v>60表</x:v>
      </x:c>
      <x:c r="J13" s="486" t="str">
        <x:v>SEPARATE_PURCHASE</x:v>
      </x:c>
      <x:c r="K13" s="486" t="str">
        <x:v>附件价表</x:v>
      </x:c>
      <x:c r="L13" s="486" t="str">
        <x:v>不进整车BOM</x:v>
      </x:c>
    </x:row>
    <x:row r="14" ht="62" customHeight="1">
      <x:c r="A14" s="19" t="str">
        <x:v>P-09</x:v>
      </x:c>
      <x:c r="B14" s="19" t="str">
        <x:v>N90 Max</x:v>
      </x:c>
      <x:c r="C14" s="19" t="str">
        <x:v>ACCESSORY</x:v>
      </x:c>
      <x:c r="D14" s="19" t="str">
        <x:v>隐私帘</x:v>
      </x:c>
      <x:c r="E14" s="19" t="str">
        <x:v>需单独购买</x:v>
      </x:c>
      <x:c r="F14" s="19" t="n">
        <x:v>0</x:v>
      </x:c>
      <x:c r="G14" s="19" t="str">
        <x:v>NOT_PUBLISHED</x:v>
      </x:c>
      <x:c r="H14" s="19" t="str">
        <x:v>同上</x:v>
      </x:c>
      <x:c r="I14" s="19" t="str">
        <x:v>60表</x:v>
      </x:c>
      <x:c r="J14" s="19" t="str">
        <x:v>SEPARATE_PURCHASE</x:v>
      </x:c>
      <x:c r="K14" s="19" t="str">
        <x:v>附件价表</x:v>
      </x:c>
      <x:c r="L14" s="19" t="str">
        <x:v>不进整车BOM</x:v>
      </x:c>
    </x:row>
    <x:row r="15" ht="62" customHeight="1">
      <x:c r="A15" s="486" t="str">
        <x:v>P-10</x:v>
      </x:c>
      <x:c r="B15" s="486" t="str">
        <x:v>N90 Max</x:v>
      </x:c>
      <x:c r="C15" s="486" t="str">
        <x:v>ACCESSORY</x:v>
      </x:c>
      <x:c r="D15" s="486" t="str">
        <x:v>尾帐</x:v>
      </x:c>
      <x:c r="E15" s="486" t="str">
        <x:v>需单独购买</x:v>
      </x:c>
      <x:c r="F15" s="486" t="n">
        <x:v>0</x:v>
      </x:c>
      <x:c r="G15" s="486" t="str">
        <x:v>NOT_PUBLISHED</x:v>
      </x:c>
      <x:c r="H15" s="486" t="str">
        <x:v>同上</x:v>
      </x:c>
      <x:c r="I15" s="486" t="str">
        <x:v>60表</x:v>
      </x:c>
      <x:c r="J15" s="486" t="str">
        <x:v>SEPARATE_PURCHASE</x:v>
      </x:c>
      <x:c r="K15" s="486" t="str">
        <x:v>附件价表</x:v>
      </x:c>
      <x:c r="L15" s="486" t="str">
        <x:v>不进整车BOM</x:v>
      </x:c>
    </x:row>
    <x:row r="16" ht="62" customHeight="1">
      <x:c r="A16" s="19" t="str">
        <x:v>P-11</x:v>
      </x:c>
      <x:c r="B16" s="19" t="str">
        <x:v>N90 Max</x:v>
      </x:c>
      <x:c r="C16" s="19" t="str">
        <x:v>ACCESSORY</x:v>
      </x:c>
      <x:c r="D16" s="19" t="str">
        <x:v>车边帐</x:v>
      </x:c>
      <x:c r="E16" s="19" t="str">
        <x:v>需单独购买</x:v>
      </x:c>
      <x:c r="F16" s="19" t="n">
        <x:v>0</x:v>
      </x:c>
      <x:c r="G16" s="19" t="str">
        <x:v>NOT_PUBLISHED</x:v>
      </x:c>
      <x:c r="H16" s="19" t="str">
        <x:v>同上</x:v>
      </x:c>
      <x:c r="I16" s="19" t="str">
        <x:v>60表</x:v>
      </x:c>
      <x:c r="J16" s="19" t="str">
        <x:v>SEPARATE_PURCHASE</x:v>
      </x:c>
      <x:c r="K16" s="19" t="str">
        <x:v>附件价表</x:v>
      </x:c>
      <x:c r="L16" s="19" t="str">
        <x:v>接口≠完整帐</x:v>
      </x:c>
    </x:row>
    <x:row r="17" ht="62" customHeight="1">
      <x:c r="A17" s="486" t="str">
        <x:v>P-12</x:v>
      </x:c>
      <x:c r="B17" s="486" t="str">
        <x:v>N90 Max</x:v>
      </x:c>
      <x:c r="C17" s="486" t="str">
        <x:v>ACCESSORY</x:v>
      </x:c>
      <x:c r="D17" s="486" t="str">
        <x:v>副驾靠背扩展Pad</x:v>
      </x:c>
      <x:c r="E17" s="486" t="str">
        <x:v>需自行购买</x:v>
      </x:c>
      <x:c r="F17" s="486" t="n">
        <x:v>0</x:v>
      </x:c>
      <x:c r="G17" s="486" t="str">
        <x:v>NOT_PUBLISHED</x:v>
      </x:c>
      <x:c r="H17" s="486" t="str">
        <x:v>同上</x:v>
      </x:c>
      <x:c r="I17" s="486" t="str">
        <x:v>60表</x:v>
      </x:c>
      <x:c r="J17" s="486" t="str">
        <x:v>SEPARATE_PURCHASE</x:v>
      </x:c>
      <x:c r="K17" s="486" t="str">
        <x:v>附件价表</x:v>
      </x:c>
      <x:c r="L17" s="486" t="str">
        <x:v>章节作用域反证</x:v>
      </x:c>
    </x:row>
    <x:row r="18" ht="62" customHeight="1">
      <x:c r="A18" s="19" t="str">
        <x:v>P-13</x:v>
      </x:c>
      <x:c r="B18" s="19" t="str">
        <x:v>N90升顶候选</x:v>
      </x:c>
      <x:c r="C18" s="19" t="str">
        <x:v>MIIT_OPTIONAL</x:v>
      </x:c>
      <x:c r="D18" s="19" t="str">
        <x:v>投影设备</x:v>
      </x:c>
      <x:c r="E18" s="19" t="str">
        <x:v>准入允许选装</x:v>
      </x:c>
      <x:c r="F18" s="19" t="n">
        <x:v>0</x:v>
      </x:c>
      <x:c r="G18" s="19" t="str">
        <x:v>NO_COMMERCIAL_PRICE</x:v>
      </x:c>
      <x:c r="H18" s="19" t="str">
        <x:v>无权益信息</x:v>
      </x:c>
      <x:c r="I18" s="19" t="str">
        <x:v>40/77表</x:v>
      </x:c>
      <x:c r="J18" s="19" t="str">
        <x:v>EXCLUDED_BASE</x:v>
      </x:c>
      <x:c r="K18" s="19" t="str">
        <x:v>App明确基础配置</x:v>
      </x:c>
      <x:c r="L18" s="19" t="str">
        <x:v>allowed≠standard</x:v>
      </x:c>
    </x:row>
    <x:row r="19" ht="62" customHeight="1">
      <x:c r="A19" s="486" t="str">
        <x:v>P-14</x:v>
      </x:c>
      <x:c r="B19" s="486" t="str">
        <x:v>N90升顶候选</x:v>
      </x:c>
      <x:c r="C19" s="486" t="str">
        <x:v>MIIT_OPTIONAL</x:v>
      </x:c>
      <x:c r="D19" s="486" t="str">
        <x:v>车载桌板</x:v>
      </x:c>
      <x:c r="E19" s="486" t="str">
        <x:v>准入允许选装</x:v>
      </x:c>
      <x:c r="F19" s="486" t="n">
        <x:v>0</x:v>
      </x:c>
      <x:c r="G19" s="486" t="str">
        <x:v>NO_COMMERCIAL_PRICE</x:v>
      </x:c>
      <x:c r="H19" s="486" t="str">
        <x:v>N90小订赠送不能自动继承</x:v>
      </x:c>
      <x:c r="I19" s="486" t="str">
        <x:v>40/77表</x:v>
      </x:c>
      <x:c r="J19" s="486" t="str">
        <x:v>EXCLUDED_BASE</x:v>
      </x:c>
      <x:c r="K19" s="486" t="str">
        <x:v>App明确基础配置</x:v>
      </x:c>
      <x:c r="L19" s="486" t="str">
        <x:v>准入/商品两层</x:v>
      </x:c>
    </x:row>
    <x:row r="20" ht="62" customHeight="1">
      <x:c r="A20" s="19" t="str">
        <x:v>P-15</x:v>
      </x:c>
      <x:c r="B20" s="19" t="str">
        <x:v>N90升顶候选</x:v>
      </x:c>
      <x:c r="C20" s="19" t="str">
        <x:v>EXCLUDED_ACCESSORY</x:v>
      </x:c>
      <x:c r="D20" s="19" t="str">
        <x:v>专用床垫</x:v>
      </x:c>
      <x:c r="E20" s="19" t="str">
        <x:v>普通N90需另购</x:v>
      </x:c>
      <x:c r="F20" s="19" t="n">
        <x:v>0</x:v>
      </x:c>
      <x:c r="G20" s="19" t="str">
        <x:v>NO_COMMERCIAL_PRICE</x:v>
      </x:c>
      <x:c r="H20" s="19" t="str">
        <x:v>不自动继承</x:v>
      </x:c>
      <x:c r="I20" s="19" t="str">
        <x:v>60/77表</x:v>
      </x:c>
      <x:c r="J20" s="19" t="str">
        <x:v>EXCLUDED_BASE</x:v>
      </x:c>
      <x:c r="K20" s="19" t="str">
        <x:v>升顶附件表</x:v>
      </x:c>
      <x:c r="L20" s="19" t="str">
        <x:v>床板≠床垫</x:v>
      </x:c>
    </x:row>
    <x:row r="21" ht="62" customHeight="1">
      <x:c r="A21" s="486" t="str">
        <x:v>P-16</x:v>
      </x:c>
      <x:c r="B21" s="486" t="str">
        <x:v>N90升顶候选</x:v>
      </x:c>
      <x:c r="C21" s="486" t="str">
        <x:v>EXCLUDED_ACCESSORY</x:v>
      </x:c>
      <x:c r="D21" s="486" t="str">
        <x:v>完整车边帐</x:v>
      </x:c>
      <x:c r="E21" s="486" t="str">
        <x:v>普通N90需另购</x:v>
      </x:c>
      <x:c r="F21" s="486" t="n">
        <x:v>0</x:v>
      </x:c>
      <x:c r="G21" s="486" t="str">
        <x:v>NO_COMMERCIAL_PRICE</x:v>
      </x:c>
      <x:c r="H21" s="486" t="str">
        <x:v>不自动继承</x:v>
      </x:c>
      <x:c r="I21" s="486" t="str">
        <x:v>60/77表</x:v>
      </x:c>
      <x:c r="J21" s="486" t="str">
        <x:v>EXCLUDED_BASE</x:v>
      </x:c>
      <x:c r="K21" s="486" t="str">
        <x:v>升顶附件表</x:v>
      </x:c>
      <x:c r="L21" s="486" t="str">
        <x:v>接口≠完整帐</x:v>
      </x:c>
    </x:row>
    <x:row r="22" ht="62" customHeight="1">
      <x:c r="A22" s="19" t="str">
        <x:v>P-17</x:v>
      </x:c>
      <x:c r="B22" s="19" t="str">
        <x:v>N70两节点</x:v>
      </x:c>
      <x:c r="C22" s="19" t="str">
        <x:v>NO_ATTRIBUTABLE_POOL</x:v>
      </x:c>
      <x:c r="D22" s="19" t="str">
        <x:v>公开选装/附件池为空</x:v>
      </x:c>
      <x:c r="E22" s="19" t="str">
        <x:v>未披露</x:v>
      </x:c>
      <x:c r="F22" s="19" t="n">
        <x:v>0</x:v>
      </x:c>
      <x:c r="G22" s="19" t="str">
        <x:v>NOT_EVIDENCED</x:v>
      </x:c>
      <x:c r="H22" s="19" t="str">
        <x:v>不得借用N90</x:v>
      </x:c>
      <x:c r="I22" s="19" t="str">
        <x:v>58/60表</x:v>
      </x:c>
      <x:c r="J22" s="19" t="str">
        <x:v>HOLD</x:v>
      </x:c>
      <x:c r="K22" s="19" t="str">
        <x:v>N70 App配置器</x:v>
      </x:c>
      <x:c r="L22" s="19" t="str">
        <x:v>空白≠全系标配</x:v>
      </x:c>
    </x:row>
  </x:sheetData>
  <x:mergeCells>
    <x:mergeCell ref="A1:L1"/>
    <x:mergeCell ref="A2:L2"/>
    <x:mergeCell ref="A3:L3"/>
  </x:mergeCells>
  <x:conditionalFormatting sqref="C6:C22">
    <x:cfRule type="containsText" dxfId="2055" priority="1" operator="containsText" text="PASS"/>
    <x:cfRule type="containsText" dxfId="2056" priority="2" operator="containsText" text="READY"/>
    <x:cfRule type="containsText" dxfId="2057" priority="3" operator="containsText" text="LOCKED"/>
    <x:cfRule type="containsText" dxfId="2058" priority="4" operator="containsText" text="OFFICIAL"/>
    <x:cfRule type="containsText" dxfId="2059" priority="5" operator="containsText" text="STRICT"/>
    <x:cfRule type="containsText" dxfId="2060" priority="6" operator="containsText" text="MODE"/>
    <x:cfRule type="containsText" dxfId="2061" priority="7" operator="containsText" text="PROVISIONAL"/>
    <x:cfRule type="containsText" dxfId="2062" priority="8" operator="containsText" text="SCENARIO"/>
    <x:cfRule type="containsText" dxfId="2063" priority="9" operator="containsText" text="HOLD"/>
    <x:cfRule type="containsText" dxfId="2064" priority="10" operator="containsText" text="CANDIDATE"/>
    <x:cfRule type="containsText" dxfId="2065" priority="11" operator="containsText" text="FORECAST"/>
    <x:cfRule type="containsText" dxfId="2066" priority="12" operator="containsText" text="LOW_CONFIDENCE"/>
    <x:cfRule type="containsText" dxfId="2067" priority="13" operator="containsText" text="BLOCKED"/>
    <x:cfRule type="containsText" dxfId="2068" priority="14" operator="containsText" text="FAIL"/>
    <x:cfRule type="containsText" dxfId="2069" priority="15" operator="containsText" text="FALSE"/>
    <x:cfRule type="containsText" dxfId="2070" priority="16" operator="containsText" text="EXCLUDED"/>
    <x:cfRule type="containsText" dxfId="2071" priority="17" operator="containsText" text="ACCESSORY"/>
    <x:cfRule type="containsText" dxfId="2072" priority="18" operator="containsText" text="OPTION"/>
    <x:cfRule type="containsText" dxfId="2073" priority="19" operator="containsText" text="ENGINEERING"/>
    <x:cfRule type="containsText" dxfId="2074" priority="20" operator="containsText" text="REGULATORY"/>
    <x:cfRule type="containsText" dxfId="2075" priority="21" operator="containsText" text="CONDITIONAL"/>
  </x:conditionalFormatting>
  <x:conditionalFormatting sqref="G6:J22">
    <x:cfRule type="containsText" dxfId="2076" priority="22" operator="containsText" text="PASS"/>
    <x:cfRule type="containsText" dxfId="2077" priority="23" operator="containsText" text="READY"/>
    <x:cfRule type="containsText" dxfId="2078" priority="24" operator="containsText" text="LOCKED"/>
    <x:cfRule type="containsText" dxfId="2079" priority="25" operator="containsText" text="OFFICIAL"/>
    <x:cfRule type="containsText" dxfId="2080" priority="26" operator="containsText" text="STRICT"/>
    <x:cfRule type="containsText" dxfId="2081" priority="27" operator="containsText" text="MODE"/>
    <x:cfRule type="containsText" dxfId="2082" priority="28" operator="containsText" text="PROVISIONAL"/>
    <x:cfRule type="containsText" dxfId="2083" priority="29" operator="containsText" text="SCENARIO"/>
    <x:cfRule type="containsText" dxfId="2084" priority="30" operator="containsText" text="HOLD"/>
    <x:cfRule type="containsText" dxfId="2085" priority="31" operator="containsText" text="CANDIDATE"/>
    <x:cfRule type="containsText" dxfId="2086" priority="32" operator="containsText" text="FORECAST"/>
    <x:cfRule type="containsText" dxfId="2087" priority="33" operator="containsText" text="LOW_CONFIDENCE"/>
    <x:cfRule type="containsText" dxfId="2088" priority="34" operator="containsText" text="BLOCKED"/>
    <x:cfRule type="containsText" dxfId="2089" priority="35" operator="containsText" text="FAIL"/>
    <x:cfRule type="containsText" dxfId="2090" priority="36" operator="containsText" text="FALSE"/>
    <x:cfRule type="containsText" dxfId="2091" priority="37" operator="containsText" text="EXCLUDED"/>
    <x:cfRule type="containsText" dxfId="2092" priority="38" operator="containsText" text="ACCESSORY"/>
    <x:cfRule type="containsText" dxfId="2093" priority="39" operator="containsText" text="OPTION"/>
    <x:cfRule type="containsText" dxfId="2094" priority="40" operator="containsText" text="ENGINEERING"/>
    <x:cfRule type="containsText" dxfId="2095" priority="41" operator="containsText" text="REGULATORY"/>
    <x:cfRule type="containsText" dxfId="2096" priority="42" operator="containsText" text="CONDITIONAL"/>
  </x:conditionalFormatting>
  <x:pageMargins left="0.7" right="0.7" top="0.75" bottom="0.75" header="0.3" footer="0.3"/>
</x:worksheet>
</file>

<file path=xl/worksheets/sheet9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14" hidden="0" customWidth="1"/>
    <x:col min="4" max="4" width="18" hidden="0" customWidth="1"/>
    <x:col min="5" max="5" width="24" hidden="0" customWidth="1"/>
    <x:col min="6" max="6" width="43" hidden="0" customWidth="1"/>
    <x:col min="7" max="7" width="32" hidden="0" customWidth="1"/>
    <x:col min="8" max="8" width="24" hidden="0" customWidth="1"/>
    <x:col min="10" max="10" width="18" hidden="0" customWidth="1"/>
    <x:col min="11" max="11" width="18" hidden="0" customWidth="1"/>
    <x:col min="12" max="12" width="16" hidden="0" customWidth="1"/>
  </x:cols>
  <x:sheetData>
    <x:row r="1" ht="30" customHeight="1">
      <x:c r="A1" s="473" t="str">
        <x:v>91｜情景、期望值与关键敏感性</x:v>
      </x:c>
      <x:c r="B1" s="473"/>
      <x:c r="C1" s="473"/>
      <x:c r="D1" s="473"/>
      <x:c r="E1" s="473"/>
      <x:c r="F1" s="473"/>
      <x:c r="G1" s="473"/>
      <x:c r="H1" s="473"/>
      <x:c r="I1" s="473"/>
      <x:c r="J1" s="473"/>
      <x:c r="K1" s="473"/>
      <x:c r="L1" s="473"/>
      <x:c r="M1" s="473"/>
      <x:c r="N1" s="473"/>
    </x:row>
    <x:row r="2" ht="22" customHeight="1">
      <x:c r="A2" s="476" t="str">
        <x:v>升顶价格分布 × N70成本尾部 × 事件触发重算</x:v>
      </x:c>
      <x:c r="B2" s="476"/>
      <x:c r="C2" s="476"/>
      <x:c r="D2" s="476"/>
      <x:c r="E2" s="476"/>
      <x:c r="F2" s="476"/>
      <x:c r="G2" s="476"/>
      <x:c r="H2" s="476"/>
      <x:c r="I2" s="476"/>
      <x:c r="J2" s="476"/>
      <x:c r="K2" s="476"/>
      <x:c r="L2" s="476"/>
      <x:c r="M2" s="476"/>
      <x:c r="N2" s="476"/>
    </x:row>
    <x:row r="3" ht="72" customHeight="1">
      <x:c r="A3" s="480" t="str">
        <x:v>情景权重仅用于展示决策不确定性。升顶主点33.99万元的权重最高；34.59万元是示例加权均值，不是预测广告价。N70高成本情景会把纯成本算术价压到18万元附近，但因F3未商品化且电池/悬架输入偏压力尾，不直接采用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  <x:c r="M3" s="480"/>
      <x:c r="N3" s="480"/>
    </x:row>
    <x:row r="5" ht="42" customHeight="1">
      <x:c r="A5" s="485" t="str">
        <x:v>scenario_id</x:v>
      </x:c>
      <x:c r="B5" s="485" t="str">
        <x:v>升顶广告价情景</x:v>
      </x:c>
      <x:c r="C5" s="485" t="str">
        <x:v>权重</x:v>
      </x:c>
      <x:c r="D5" s="485" t="str">
        <x:v>相对N90正式主点</x:v>
      </x:c>
      <x:c r="E5" s="485" t="str">
        <x:v>状态</x:v>
      </x:c>
      <x:c r="F5" s="485" t="str">
        <x:v>解释</x:v>
      </x:c>
      <x:c r="G5" s="485" t="str">
        <x:v>可以说</x:v>
      </x:c>
      <x:c r="H5" s="485" t="str">
        <x:v>不能说</x:v>
      </x:c>
      <x:c r="J5" s="485" t="str">
        <x:v>升顶价格情景（万）</x:v>
      </x:c>
      <x:c r="K5" s="485" t="str">
        <x:v>权重</x:v>
      </x:c>
    </x:row>
    <x:row r="6" ht="38" customHeight="1">
      <x:c r="A6" s="19" t="str">
        <x:v>ROOF-LOW</x:v>
      </x:c>
      <x:c r="B6" s="414" t="n">
        <x:f>'86_预售转正式价'!C23+D6</x:f>
        <x:v>329900</x:v>
      </x:c>
      <x:c r="C6" s="454" t="n">
        <x:v>0.15</x:v>
      </x:c>
      <x:c r="D6" s="456" t="n">
        <x:v>40000</x:v>
      </x:c>
      <x:c r="E6" s="19" t="str">
        <x:v>SCENARIO</x:v>
      </x:c>
      <x:c r="F6" s="19" t="str">
        <x:v>技术中位上方最小商业分层</x:v>
      </x:c>
      <x:c r="G6" s="19" t="str">
        <x:v>32.99下沿</x:v>
      </x:c>
      <x:c r="H6" s="19" t="str">
        <x:v>统计概率</x:v>
      </x:c>
      <x:c r="J6" s="503" t="str">
        <x:v>32.99</x:v>
      </x:c>
      <x:c r="K6" s="23" t="n">
        <x:f>C6</x:f>
        <x:v>0.15</x:v>
      </x:c>
    </x:row>
    <x:row r="7" ht="38" customHeight="1">
      <x:c r="A7" s="486" t="str">
        <x:v>ROOF-MODE</x:v>
      </x:c>
      <x:c r="B7" s="492" t="n">
        <x:f>'86_预售转正式价'!C23+D7</x:f>
        <x:v>339900</x:v>
      </x:c>
      <x:c r="C7" s="497" t="n">
        <x:v>0.5</x:v>
      </x:c>
      <x:c r="D7" s="493" t="n">
        <x:v>50000</x:v>
      </x:c>
      <x:c r="E7" s="486" t="str">
        <x:v>MODE_SCENARIO</x:v>
      </x:c>
      <x:c r="F7" s="486" t="str">
        <x:v>主价格网格</x:v>
      </x:c>
      <x:c r="G7" s="486" t="str">
        <x:v>33.99主点</x:v>
      </x:c>
      <x:c r="H7" s="486" t="str">
        <x:v>官方价</x:v>
      </x:c>
      <x:c r="I7" s="505"/>
      <x:c r="J7" s="504" t="str">
        <x:v>33.99</x:v>
      </x:c>
      <x:c r="K7" s="498" t="n">
        <x:f>C7</x:f>
        <x:v>0.5</x:v>
      </x:c>
    </x:row>
    <x:row r="8" ht="38" customHeight="1">
      <x:c r="A8" s="19" t="str">
        <x:v>ROOF-UP</x:v>
      </x:c>
      <x:c r="B8" s="414" t="n">
        <x:f>'86_预售转正式价'!C23+D8</x:f>
        <x:v>349900</x:v>
      </x:c>
      <x:c r="C8" s="454" t="n">
        <x:v>0.25</x:v>
      </x:c>
      <x:c r="D8" s="456" t="n">
        <x:v>60000</x:v>
      </x:c>
      <x:c r="E8" s="19" t="str">
        <x:v>SCENARIO</x:v>
      </x:c>
      <x:c r="F8" s="19" t="str">
        <x:v>若N90正式价更高或特殊定位更强</x:v>
      </x:c>
      <x:c r="G8" s="19" t="str">
        <x:v>34.99次情景</x:v>
      </x:c>
      <x:c r="H8" s="19" t="str">
        <x:v>固定溢价</x:v>
      </x:c>
      <x:c r="J8" s="503" t="str">
        <x:v>34.99</x:v>
      </x:c>
      <x:c r="K8" s="23" t="n">
        <x:f>C8</x:f>
        <x:v>0.25</x:v>
      </x:c>
    </x:row>
    <x:row r="9" ht="38" customHeight="1">
      <x:c r="A9" s="486" t="str">
        <x:v>ROOF-STRESS</x:v>
      </x:c>
      <x:c r="B9" s="492" t="n">
        <x:f>'86_预售转正式价'!C23+D9</x:f>
        <x:v>389900</x:v>
      </x:c>
      <x:c r="C9" s="497" t="n">
        <x:v>0.1</x:v>
      </x:c>
      <x:c r="D9" s="493" t="n">
        <x:v>100000</x:v>
      </x:c>
      <x:c r="E9" s="486" t="str">
        <x:v>STRESS_TAIL</x:v>
      </x:c>
      <x:c r="F9" s="486" t="str">
        <x:v>低量/NRE/复杂度压力尾</x:v>
      </x:c>
      <x:c r="G9" s="486" t="str">
        <x:v>38.99尾部</x:v>
      </x:c>
      <x:c r="H9" s="486" t="str">
        <x:v>必然上探</x:v>
      </x:c>
      <x:c r="I9" s="505"/>
      <x:c r="J9" s="504" t="str">
        <x:v>38.99</x:v>
      </x:c>
      <x:c r="K9" s="498" t="n">
        <x:f>C9</x:f>
        <x:v>0.1</x:v>
      </x:c>
    </x:row>
    <x:row r="11" ht="44" customHeight="1">
      <x:c r="A11" s="19" t="str">
        <x:v>权重合计</x:v>
      </x:c>
      <x:c r="B11" s="23" t="n">
        <x:f>SUM(C6:C9)</x:f>
        <x:v>1</x:v>
      </x:c>
      <x:c r="C11" s="19"/>
      <x:c r="D11" s="19" t="str"/>
      <x:c r="E11" s="19" t="str">
        <x:v>CHECK</x:v>
      </x:c>
      <x:c r="F11" s="19" t="str"/>
      <x:c r="G11" s="19" t="str"/>
      <x:c r="H11" s="19" t="str"/>
    </x:row>
    <x:row r="12" ht="44" customHeight="1">
      <x:c r="A12" s="486" t="str">
        <x:v>升顶情景加权均值</x:v>
      </x:c>
      <x:c r="B12" s="492" t="n">
        <x:f>B6*C6+B7*C7+B8*C8+B9*C9</x:f>
        <x:v>345900</x:v>
      </x:c>
      <x:c r="C12" s="486" t="str"/>
      <x:c r="D12" s="486" t="str">
        <x:v>元</x:v>
      </x:c>
      <x:c r="E12" s="486" t="str">
        <x:v>EXPECTED_VALUE_ONLY</x:v>
      </x:c>
      <x:c r="F12" s="486" t="str">
        <x:v>风险管理，不替代33.99模式</x:v>
      </x:c>
      <x:c r="G12" s="486" t="str"/>
      <x:c r="H12" s="486" t="str"/>
    </x:row>
    <x:row r="15" ht="24" customHeight="1">
      <x:c r="A15" s="491" t="str">
        <x:v>N70低阶纯工程算术（正式N70 Max模式24.99万）</x:v>
      </x:c>
      <x:c r="B15" s="491"/>
      <x:c r="C15" s="491"/>
      <x:c r="D15" s="491"/>
      <x:c r="E15" s="491"/>
      <x:c r="F15" s="491"/>
      <x:c r="G15" s="491"/>
      <x:c r="H15" s="491"/>
    </x:row>
    <x:row r="16" ht="44" customHeight="1">
      <x:c r="A16" s="485" t="str">
        <x:v>情景</x:v>
      </x:c>
      <x:c r="B16" s="485" t="str">
        <x:v>总增量成本</x:v>
      </x:c>
      <x:c r="C16" s="485" t="str">
        <x:v>含税技术价差</x:v>
      </x:c>
      <x:c r="D16" s="485" t="str">
        <x:v>反推价格</x:v>
      </x:c>
      <x:c r="E16" s="485" t="str">
        <x:v>x.99吸附</x:v>
      </x:c>
      <x:c r="F16" s="485" t="str">
        <x:v>用途</x:v>
      </x:c>
    </x:row>
    <x:row r="17" ht="48" customHeight="1">
      <x:c r="A17" s="19" t="str">
        <x:v>Low</x:v>
      </x:c>
      <x:c r="B17" s="414" t="n">
        <x:f>'85_N70条件成本桥'!D29</x:f>
        <x:v>29188.276923076923</x:v>
      </x:c>
      <x:c r="C17" s="414" t="n">
        <x:f>'85_N70条件成本桥'!D31</x:f>
        <x:v>33821.938487378735</x:v>
      </x:c>
      <x:c r="D17" s="414" t="n">
        <x:f>'85_N70条件成本桥'!D33</x:f>
        <x:v>216078.06151262127</x:v>
      </x:c>
      <x:c r="E17" s="414" t="n">
        <x:f>'85_N70条件成本桥'!D34</x:f>
        <x:v>219900</x:v>
      </x:c>
      <x:c r="F17" s="19" t="str">
        <x:v>共享底盘/低成本</x:v>
      </x:c>
    </x:row>
    <x:row r="18" ht="48" customHeight="1">
      <x:c r="A18" s="486" t="str">
        <x:v>Mid</x:v>
      </x:c>
      <x:c r="B18" s="492" t="n">
        <x:f>'85_N70条件成本桥'!E29</x:f>
        <x:v>41266.24615384616</x:v>
      </x:c>
      <x:c r="C18" s="492" t="n">
        <x:f>'85_N70条件成本桥'!E31</x:f>
        <x:v>49870.94173057217</x:v>
      </x:c>
      <x:c r="D18" s="492" t="n">
        <x:f>'85_N70条件成本桥'!E33</x:f>
        <x:v>200029.05826942783</x:v>
      </x:c>
      <x:c r="E18" s="492" t="n">
        <x:f>'85_N70条件成本桥'!E34</x:f>
        <x:v>199900</x:v>
      </x:c>
      <x:c r="F18" s="486" t="str">
        <x:v>成本中心</x:v>
      </x:c>
    </x:row>
    <x:row r="19" ht="48" customHeight="1">
      <x:c r="A19" s="19" t="str">
        <x:v>High</x:v>
      </x:c>
      <x:c r="B19" s="414" t="n">
        <x:f>'85_N70条件成本桥'!F29</x:f>
        <x:v>54130.476923076916</x:v>
      </x:c>
      <x:c r="C19" s="414" t="n">
        <x:f>'85_N70条件成本桥'!F31</x:f>
        <x:v>74664.47032615128</x:v>
      </x:c>
      <x:c r="D19" s="414" t="n">
        <x:f>'85_N70条件成本桥'!F33</x:f>
        <x:v>175235.5296738487</x:v>
      </x:c>
      <x:c r="E19" s="414" t="n">
        <x:f>'85_N70条件成本桥'!F34</x:f>
        <x:v>179900</x:v>
      </x:c>
      <x:c r="F19" s="19" t="str">
        <x:v>压力测试，不作点估计</x:v>
      </x:c>
    </x:row>
    <x:row r="22" ht="24" customHeight="1">
      <x:c r="A22" s="491" t="str">
        <x:v>关键事件敏感性</x:v>
      </x:c>
      <x:c r="B22" s="491"/>
      <x:c r="C22" s="491"/>
      <x:c r="D22" s="491"/>
      <x:c r="E22" s="491"/>
      <x:c r="F22" s="491"/>
      <x:c r="G22" s="491"/>
      <x:c r="H22" s="491"/>
    </x:row>
    <x:row r="23" ht="46" customHeight="1">
      <x:c r="A23" s="485" t="str">
        <x:v>event_id</x:v>
      </x:c>
      <x:c r="B23" s="485" t="str">
        <x:v>事件</x:v>
      </x:c>
      <x:c r="C23" s="485" t="str">
        <x:v>影响节点</x:v>
      </x:c>
      <x:c r="D23" s="485" t="str">
        <x:v>价格方向</x:v>
      </x:c>
      <x:c r="E23" s="485" t="str">
        <x:v>配置动作</x:v>
      </x:c>
      <x:c r="F23" s="485" t="str">
        <x:v>成本动作</x:v>
      </x:c>
      <x:c r="G23" s="485" t="str">
        <x:v>优先级</x:v>
      </x:c>
      <x:c r="H23" s="485" t="str">
        <x:v>状态</x:v>
      </x:c>
    </x:row>
    <x:row r="24" ht="56" customHeight="1">
      <x:c r="A24" s="19" t="str">
        <x:v>EV-01</x:v>
      </x:c>
      <x:c r="B24" s="19" t="str">
        <x:v>两款Max正式价不下调</x:v>
      </x:c>
      <x:c r="C24" s="19" t="str">
        <x:v>N70/N90 Max及两候选</x:v>
      </x:c>
      <x:c r="D24" s="19" t="str">
        <x:v>+1万联动</x:v>
      </x:c>
      <x:c r="E24" s="19" t="str">
        <x:v>无</x:v>
      </x:c>
      <x:c r="F24" s="19" t="str">
        <x:v>不改BOM</x:v>
      </x:c>
      <x:c r="G24" s="19" t="str">
        <x:v>P0</x:v>
      </x:c>
      <x:c r="H24" s="19" t="str">
        <x:v>OPEN</x:v>
      </x:c>
    </x:row>
    <x:row r="25" ht="56" customHeight="1">
      <x:c r="A25" s="486" t="str">
        <x:v>EV-02</x:v>
      </x:c>
      <x:c r="B25" s="486" t="str">
        <x:v>F3不商品化</x:v>
      </x:c>
      <x:c r="C25" s="486" t="str">
        <x:v>N70低阶</x:v>
      </x:c>
      <x:c r="D25" s="486" t="str">
        <x:v>删除价格点</x:v>
      </x:c>
      <x:c r="E25" s="486" t="str">
        <x:v>保留监管事实</x:v>
      </x:c>
      <x:c r="F25" s="486" t="str">
        <x:v>B1转只读工程情景</x:v>
      </x:c>
      <x:c r="G25" s="486" t="str">
        <x:v>P0</x:v>
      </x:c>
      <x:c r="H25" s="486" t="str">
        <x:v>OPEN</x:v>
      </x:c>
    </x:row>
    <x:row r="26" ht="56" customHeight="1">
      <x:c r="A26" s="19" t="str">
        <x:v>EV-03</x:v>
      </x:c>
      <x:c r="B26" s="19" t="str">
        <x:v>F3保留空簧+CDC</x:v>
      </x:c>
      <x:c r="C26" s="19" t="str">
        <x:v>N70低阶</x:v>
      </x:c>
      <x:c r="D26" s="19" t="str">
        <x:v>反推价上移</x:v>
      </x:c>
      <x:c r="E26" s="19" t="str">
        <x:v>底盘共享</x:v>
      </x:c>
      <x:c r="F26" s="19" t="str">
        <x:v>悬架成本归零</x:v>
      </x:c>
      <x:c r="G26" s="19" t="str">
        <x:v>P0</x:v>
      </x:c>
      <x:c r="H26" s="19" t="str">
        <x:v>OPEN</x:v>
      </x:c>
    </x:row>
    <x:row r="27" ht="56" customHeight="1">
      <x:c r="A27" s="486" t="str">
        <x:v>EV-04</x:v>
      </x:c>
      <x:c r="B27" s="486" t="str">
        <x:v>F3无空簧也无CDC</x:v>
      </x:c>
      <x:c r="C27" s="486" t="str">
        <x:v>N70低阶</x:v>
      </x:c>
      <x:c r="D27" s="486" t="str">
        <x:v>反推价下移</x:v>
      </x:c>
      <x:c r="E27" s="486" t="str">
        <x:v>底盘减配</x:v>
      </x:c>
      <x:c r="F27" s="486" t="str">
        <x:v>使用9500高情景</x:v>
      </x:c>
      <x:c r="G27" s="486" t="str">
        <x:v>P0</x:v>
      </x:c>
      <x:c r="H27" s="486" t="str">
        <x:v>OPEN</x:v>
      </x:c>
    </x:row>
    <x:row r="28" ht="56" customHeight="1">
      <x:c r="A28" s="19" t="str">
        <x:v>EV-05</x:v>
      </x:c>
      <x:c r="B28" s="19" t="str">
        <x:v>A1电池非76kWh NCM</x:v>
      </x:c>
      <x:c r="C28" s="19" t="str">
        <x:v>N70 Max/低阶</x:v>
      </x:c>
      <x:c r="D28" s="19" t="str">
        <x:v>不确定</x:v>
      </x:c>
      <x:c r="E28" s="19" t="str">
        <x:v>能源字段重建</x:v>
      </x:c>
      <x:c r="F28" s="19" t="str">
        <x:v>整包置换重算</x:v>
      </x:c>
      <x:c r="G28" s="19" t="str">
        <x:v>P0</x:v>
      </x:c>
      <x:c r="H28" s="19" t="str">
        <x:v>OPEN</x:v>
      </x:c>
    </x:row>
    <x:row r="29" ht="56" customHeight="1">
      <x:c r="A29" s="486" t="str">
        <x:v>EV-06</x:v>
      </x:c>
      <x:c r="B29" s="486" t="str">
        <x:v>N90展示配置转选装</x:v>
      </x:c>
      <x:c r="C29" s="486" t="str">
        <x:v>N90 Max</x:v>
      </x:c>
      <x:c r="D29" s="486" t="str">
        <x:v>基础价可更低/权益更高</x:v>
      </x:c>
      <x:c r="E29" s="486" t="str">
        <x:v>移出基础配置</x:v>
      </x:c>
      <x:c r="F29" s="486" t="str">
        <x:v>3.2B条件池回退</x:v>
      </x:c>
      <x:c r="G29" s="486" t="str">
        <x:v>P0</x:v>
      </x:c>
      <x:c r="H29" s="486" t="str">
        <x:v>OPEN</x:v>
      </x:c>
    </x:row>
    <x:row r="30" ht="56" customHeight="1">
      <x:c r="A30" s="19" t="str">
        <x:v>EV-07</x:v>
      </x:c>
      <x:c r="B30" s="19" t="str">
        <x:v>升顶为手动机构</x:v>
      </x:c>
      <x:c r="C30" s="19" t="str">
        <x:v>升顶</x:v>
      </x:c>
      <x:c r="D30" s="19" t="str">
        <x:v>下行</x:v>
      </x:c>
      <x:c r="E30" s="19" t="str">
        <x:v>删除电动执行/防夹</x:v>
      </x:c>
      <x:c r="F30" s="19" t="str">
        <x:v>C32C-04重算</x:v>
      </x:c>
      <x:c r="G30" s="19" t="str">
        <x:v>P0</x:v>
      </x:c>
      <x:c r="H30" s="19" t="str">
        <x:v>OPEN</x:v>
      </x:c>
    </x:row>
    <x:row r="31" ht="56" customHeight="1">
      <x:c r="A31" s="486" t="str">
        <x:v>EV-08</x:v>
      </x:c>
      <x:c r="B31" s="486" t="str">
        <x:v>升顶销量显著高于8000</x:v>
      </x:c>
      <x:c r="C31" s="486" t="str">
        <x:v>升顶</x:v>
      </x:c>
      <x:c r="D31" s="486" t="str">
        <x:v>下行</x:v>
      </x:c>
      <x:c r="E31" s="486" t="str">
        <x:v>无</x:v>
      </x:c>
      <x:c r="F31" s="486" t="str">
        <x:v>NRE/车下降</x:v>
      </x:c>
      <x:c r="G31" s="486" t="str">
        <x:v>P1</x:v>
      </x:c>
      <x:c r="H31" s="486" t="str">
        <x:v>OPEN</x:v>
      </x:c>
    </x:row>
    <x:row r="32" ht="56" customHeight="1">
      <x:c r="A32" s="19" t="str">
        <x:v>EV-09</x:v>
      </x:c>
      <x:c r="B32" s="19" t="str">
        <x:v>床板/边柜明确选装</x:v>
      </x:c>
      <x:c r="C32" s="19" t="str">
        <x:v>升顶</x:v>
      </x:c>
      <x:c r="D32" s="19" t="str">
        <x:v>基础价下行</x:v>
      </x:c>
      <x:c r="E32" s="19" t="str">
        <x:v>移入选装池</x:v>
      </x:c>
      <x:c r="F32" s="19" t="str">
        <x:v>普通κ项移出</x:v>
      </x:c>
      <x:c r="G32" s="19" t="str">
        <x:v>P0</x:v>
      </x:c>
      <x:c r="H32" s="19" t="str">
        <x:v>OPEN</x:v>
      </x:c>
    </x:row>
  </x:sheetData>
  <x:mergeCells>
    <x:mergeCell ref="A1:N1"/>
    <x:mergeCell ref="A2:N2"/>
    <x:mergeCell ref="A3:N3"/>
    <x:mergeCell ref="A15:H15"/>
    <x:mergeCell ref="A22:H22"/>
  </x:mergeCells>
  <x:conditionalFormatting sqref="E6:E9">
    <x:cfRule type="containsText" dxfId="2097" priority="1" operator="containsText" text="PASS"/>
    <x:cfRule type="containsText" dxfId="2098" priority="2" operator="containsText" text="READY"/>
    <x:cfRule type="containsText" dxfId="2099" priority="3" operator="containsText" text="LOCKED"/>
    <x:cfRule type="containsText" dxfId="2100" priority="4" operator="containsText" text="OFFICIAL"/>
    <x:cfRule type="containsText" dxfId="2101" priority="5" operator="containsText" text="STRICT"/>
    <x:cfRule type="containsText" dxfId="2102" priority="6" operator="containsText" text="MODE"/>
    <x:cfRule type="containsText" dxfId="2103" priority="7" operator="containsText" text="PROVISIONAL"/>
    <x:cfRule type="containsText" dxfId="2104" priority="8" operator="containsText" text="SCENARIO"/>
    <x:cfRule type="containsText" dxfId="2105" priority="9" operator="containsText" text="HOLD"/>
    <x:cfRule type="containsText" dxfId="2106" priority="10" operator="containsText" text="CANDIDATE"/>
    <x:cfRule type="containsText" dxfId="2107" priority="11" operator="containsText" text="FORECAST"/>
    <x:cfRule type="containsText" dxfId="2108" priority="12" operator="containsText" text="LOW_CONFIDENCE"/>
    <x:cfRule type="containsText" dxfId="2109" priority="13" operator="containsText" text="BLOCKED"/>
    <x:cfRule type="containsText" dxfId="2110" priority="14" operator="containsText" text="FAIL"/>
    <x:cfRule type="containsText" dxfId="2111" priority="15" operator="containsText" text="FALSE"/>
    <x:cfRule type="containsText" dxfId="2112" priority="16" operator="containsText" text="EXCLUDED"/>
    <x:cfRule type="containsText" dxfId="2113" priority="17" operator="containsText" text="ACCESSORY"/>
    <x:cfRule type="containsText" dxfId="2114" priority="18" operator="containsText" text="OPTION"/>
    <x:cfRule type="containsText" dxfId="2115" priority="19" operator="containsText" text="ENGINEERING"/>
    <x:cfRule type="containsText" dxfId="2116" priority="20" operator="containsText" text="REGULATORY"/>
    <x:cfRule type="containsText" dxfId="2117" priority="21" operator="containsText" text="CONDITIONAL"/>
  </x:conditionalFormatting>
  <x:conditionalFormatting sqref="E11:E12">
    <x:cfRule type="containsText" dxfId="2118" priority="22" operator="containsText" text="PASS"/>
    <x:cfRule type="containsText" dxfId="2119" priority="23" operator="containsText" text="READY"/>
    <x:cfRule type="containsText" dxfId="2120" priority="24" operator="containsText" text="LOCKED"/>
    <x:cfRule type="containsText" dxfId="2121" priority="25" operator="containsText" text="OFFICIAL"/>
    <x:cfRule type="containsText" dxfId="2122" priority="26" operator="containsText" text="STRICT"/>
    <x:cfRule type="containsText" dxfId="2123" priority="27" operator="containsText" text="MODE"/>
    <x:cfRule type="containsText" dxfId="2124" priority="28" operator="containsText" text="PROVISIONAL"/>
    <x:cfRule type="containsText" dxfId="2125" priority="29" operator="containsText" text="SCENARIO"/>
    <x:cfRule type="containsText" dxfId="2126" priority="30" operator="containsText" text="HOLD"/>
    <x:cfRule type="containsText" dxfId="2127" priority="31" operator="containsText" text="CANDIDATE"/>
    <x:cfRule type="containsText" dxfId="2128" priority="32" operator="containsText" text="FORECAST"/>
    <x:cfRule type="containsText" dxfId="2129" priority="33" operator="containsText" text="LOW_CONFIDENCE"/>
    <x:cfRule type="containsText" dxfId="2130" priority="34" operator="containsText" text="BLOCKED"/>
    <x:cfRule type="containsText" dxfId="2131" priority="35" operator="containsText" text="FAIL"/>
    <x:cfRule type="containsText" dxfId="2132" priority="36" operator="containsText" text="FALSE"/>
    <x:cfRule type="containsText" dxfId="2133" priority="37" operator="containsText" text="EXCLUDED"/>
    <x:cfRule type="containsText" dxfId="2134" priority="38" operator="containsText" text="ACCESSORY"/>
    <x:cfRule type="containsText" dxfId="2135" priority="39" operator="containsText" text="OPTION"/>
    <x:cfRule type="containsText" dxfId="2136" priority="40" operator="containsText" text="ENGINEERING"/>
    <x:cfRule type="containsText" dxfId="2137" priority="41" operator="containsText" text="REGULATORY"/>
    <x:cfRule type="containsText" dxfId="2138" priority="42" operator="containsText" text="CONDITIONAL"/>
  </x:conditionalFormatting>
  <x:conditionalFormatting sqref="H24:H32">
    <x:cfRule type="containsText" dxfId="2139" priority="43" operator="containsText" text="PASS"/>
    <x:cfRule type="containsText" dxfId="2140" priority="44" operator="containsText" text="READY"/>
    <x:cfRule type="containsText" dxfId="2141" priority="45" operator="containsText" text="LOCKED"/>
    <x:cfRule type="containsText" dxfId="2142" priority="46" operator="containsText" text="OFFICIAL"/>
    <x:cfRule type="containsText" dxfId="2143" priority="47" operator="containsText" text="STRICT"/>
    <x:cfRule type="containsText" dxfId="2144" priority="48" operator="containsText" text="MODE"/>
    <x:cfRule type="containsText" dxfId="2145" priority="49" operator="containsText" text="PROVISIONAL"/>
    <x:cfRule type="containsText" dxfId="2146" priority="50" operator="containsText" text="SCENARIO"/>
    <x:cfRule type="containsText" dxfId="2147" priority="51" operator="containsText" text="HOLD"/>
    <x:cfRule type="containsText" dxfId="2148" priority="52" operator="containsText" text="CANDIDATE"/>
    <x:cfRule type="containsText" dxfId="2149" priority="53" operator="containsText" text="FORECAST"/>
    <x:cfRule type="containsText" dxfId="2150" priority="54" operator="containsText" text="LOW_CONFIDENCE"/>
    <x:cfRule type="containsText" dxfId="2151" priority="55" operator="containsText" text="BLOCKED"/>
    <x:cfRule type="containsText" dxfId="2152" priority="56" operator="containsText" text="FAIL"/>
    <x:cfRule type="containsText" dxfId="2153" priority="57" operator="containsText" text="FALSE"/>
    <x:cfRule type="containsText" dxfId="2154" priority="58" operator="containsText" text="EXCLUDED"/>
    <x:cfRule type="containsText" dxfId="2155" priority="59" operator="containsText" text="ACCESSORY"/>
    <x:cfRule type="containsText" dxfId="2156" priority="60" operator="containsText" text="OPTION"/>
    <x:cfRule type="containsText" dxfId="2157" priority="61" operator="containsText" text="ENGINEERING"/>
    <x:cfRule type="containsText" dxfId="2158" priority="62" operator="containsText" text="REGULATORY"/>
    <x:cfRule type="containsText" dxfId="2159" priority="63" operator="containsText" text="CONDITIONAL"/>
  </x:conditionalFormatting>
  <x:pageMargins left="0.7" right="0.7" top="0.75" bottom="0.75" header="0.3" footer="0.3"/>
  <x:drawing xmlns:r="http://schemas.openxmlformats.org/officeDocument/2006/relationships" r:id="R5385d4c3fe644f3a"/>
</x:worksheet>
</file>

<file path=xl/worksheets/sheet9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2" hidden="0" customWidth="1"/>
    <x:col min="3" max="3" width="23" hidden="0" customWidth="1"/>
    <x:col min="4" max="4" width="35" hidden="0" customWidth="1"/>
    <x:col min="5" max="5" width="34" hidden="0" customWidth="1"/>
    <x:col min="6" max="6" width="31" hidden="0" customWidth="1"/>
    <x:col min="7" max="7" width="34" hidden="0" customWidth="1"/>
    <x:col min="8" max="8" width="28" hidden="0" customWidth="1"/>
    <x:col min="9" max="9" width="42" hidden="0" customWidth="1"/>
    <x:col min="10" max="10" width="15" hidden="0" customWidth="1"/>
    <x:col min="11" max="11" width="20" hidden="0" customWidth="1"/>
  </x:cols>
  <x:sheetData>
    <x:row r="1" ht="30" customHeight="1">
      <x:c r="A1" s="473" t="str">
        <x:v>92｜反证触发器与重算顺序</x:v>
      </x:c>
      <x:c r="B1" s="473"/>
      <x:c r="C1" s="473"/>
      <x:c r="D1" s="473"/>
      <x:c r="E1" s="473"/>
      <x:c r="F1" s="473"/>
      <x:c r="G1" s="473"/>
      <x:c r="H1" s="473"/>
      <x:c r="I1" s="473"/>
      <x:c r="J1" s="473"/>
      <x:c r="K1" s="473"/>
    </x:row>
    <x:row r="2" ht="22" customHeight="1">
      <x:c r="A2" s="476" t="str">
        <x:v>先改身份与配置，再改成本，最后改价格；禁止只改结论数字</x:v>
      </x:c>
      <x:c r="B2" s="476"/>
      <x:c r="C2" s="476"/>
      <x:c r="D2" s="476"/>
      <x:c r="E2" s="476"/>
      <x:c r="F2" s="476"/>
      <x:c r="G2" s="476"/>
      <x:c r="H2" s="476"/>
      <x:c r="I2" s="476"/>
      <x:c r="J2" s="476"/>
      <x:c r="K2" s="476"/>
    </x:row>
    <x:row r="3" ht="72" customHeight="1">
      <x:c r="A3" s="480" t="str">
        <x:v>每一个OPEN项都对应一个可观察证据和具体模型动作。正式价格出现时也不能只覆盖88表：必须先确认同一App车辆SKU与完整配置修订，避免把另一座位/另一商品包的价格写进当前节点。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</x:row>
    <x:row r="5" ht="58" customHeight="1">
      <x:c r="A5" s="485" t="str">
        <x:v>trigger_id</x:v>
      </x:c>
      <x:c r="B5" s="485" t="str">
        <x:v>优先级</x:v>
      </x:c>
      <x:c r="C5" s="485" t="str">
        <x:v>对象</x:v>
      </x:c>
      <x:c r="D5" s="485" t="str">
        <x:v>当前假设</x:v>
      </x:c>
      <x:c r="E5" s="485" t="str">
        <x:v>触发证据</x:v>
      </x:c>
      <x:c r="F5" s="485" t="str">
        <x:v>第一动作</x:v>
      </x:c>
      <x:c r="G5" s="485" t="str">
        <x:v>第二动作</x:v>
      </x:c>
      <x:c r="H5" s="485" t="str">
        <x:v>价格动作</x:v>
      </x:c>
      <x:c r="I5" s="485" t="str">
        <x:v>不可做</x:v>
      </x:c>
      <x:c r="J5" s="485" t="str">
        <x:v>状态</x:v>
      </x:c>
      <x:c r="K5" s="485" t="str">
        <x:v>责任表</x:v>
      </x:c>
    </x:row>
    <x:row r="6" ht="66" customHeight="1">
      <x:c r="A6" s="19" t="str">
        <x:v>TR-01</x:v>
      </x:c>
      <x:c r="B6" s="19" t="str">
        <x:v>P0</x:v>
      </x:c>
      <x:c r="C6" s="19" t="str">
        <x:v>N70 Max/N90 Max</x:v>
      </x:c>
      <x:c r="D6" s="19" t="str">
        <x:v>正式价模式24.99/28.99</x:v>
      </x:c>
      <x:c r="E6" s="19" t="str">
        <x:v>官网/App正式价格卡</x:v>
      </x:c>
      <x:c r="F6" s="19" t="str">
        <x:v>锁effective_at与SKU</x:v>
      </x:c>
      <x:c r="G6" s="19" t="str">
        <x:v>替换86情景</x:v>
      </x:c>
      <x:c r="H6" s="19" t="str">
        <x:v>重算所有联动点</x:v>
      </x:c>
      <x:c r="I6" s="19" t="str">
        <x:v>只改88显示值</x:v>
      </x:c>
      <x:c r="J6" s="19" t="str">
        <x:v>OPEN</x:v>
      </x:c>
      <x:c r="K6" s="19" t="str">
        <x:v>86→87→88</x:v>
      </x:c>
    </x:row>
    <x:row r="7" ht="66" customHeight="1">
      <x:c r="A7" s="486" t="str">
        <x:v>TR-02</x:v>
      </x:c>
      <x:c r="B7" s="486" t="str">
        <x:v>P0</x:v>
      </x:c>
      <x:c r="C7" s="486" t="str">
        <x:v>App身份</x:v>
      </x:c>
      <x:c r="D7" s="486" t="str">
        <x:v>车辆goods/version/config ID未锁</x:v>
      </x:c>
      <x:c r="E7" s="486" t="str">
        <x:v>可下订车辆SKU</x:v>
      </x:c>
      <x:c r="F7" s="486" t="str">
        <x:v>记录goods/version/order/config_revision</x:v>
      </x:c>
      <x:c r="G7" s="486" t="str">
        <x:v>回勾商业节点</x:v>
      </x:c>
      <x:c r="H7" s="486" t="str">
        <x:v>启用正式桥资格</x:v>
      </x:c>
      <x:c r="I7" s="486" t="str">
        <x:v>拿预约活动ID代替车辆SKU</x:v>
      </x:c>
      <x:c r="J7" s="486" t="str">
        <x:v>OPEN</x:v>
      </x:c>
      <x:c r="K7" s="486" t="str">
        <x:v>62/92</x:v>
      </x:c>
    </x:row>
    <x:row r="8" ht="66" customHeight="1">
      <x:c r="A8" s="19" t="str">
        <x:v>TR-03</x:v>
      </x:c>
      <x:c r="B8" s="19" t="str">
        <x:v>P0</x:v>
      </x:c>
      <x:c r="C8" s="19" t="str">
        <x:v>N70低阶</x:v>
      </x:c>
      <x:c r="D8" s="19" t="str">
        <x:v>F3可能商品化</x:v>
      </x:c>
      <x:c r="E8" s="19" t="str">
        <x:v>独立商品卡/下订入口</x:v>
      </x:c>
      <x:c r="F8" s="19" t="str">
        <x:v>核对完整型号/动力/电池</x:v>
      </x:c>
      <x:c r="G8" s="19" t="str">
        <x:v>锁商业名与配置</x:v>
      </x:c>
      <x:c r="H8" s="19" t="str">
        <x:v>替换20.99条件点</x:v>
      </x:c>
      <x:c r="I8" s="19" t="str">
        <x:v>把监管车型当已上市</x:v>
      </x:c>
      <x:c r="J8" s="19" t="str">
        <x:v>OPEN</x:v>
      </x:c>
      <x:c r="K8" s="19" t="str">
        <x:v>39–41/85/88</x:v>
      </x:c>
    </x:row>
    <x:row r="9" ht="66" customHeight="1">
      <x:c r="A9" s="486" t="str">
        <x:v>TR-04</x:v>
      </x:c>
      <x:c r="B9" s="486" t="str">
        <x:v>P0</x:v>
      </x:c>
      <x:c r="C9" s="486" t="str">
        <x:v>N70低阶悬架</x:v>
      </x:c>
      <x:c r="D9" s="486" t="str">
        <x:v>0/5000/9500三情景</x:v>
      </x:c>
      <x:c r="E9" s="486" t="str">
        <x:v>App底盘●/○/—</x:v>
      </x:c>
      <x:c r="F9" s="486" t="str">
        <x:v>选定悬架情景</x:v>
      </x:c>
      <x:c r="G9" s="486" t="str">
        <x:v>重算B1</x:v>
      </x:c>
      <x:c r="H9" s="486" t="str">
        <x:v>调整价格区间</x:v>
      </x:c>
      <x:c r="I9" s="486" t="str">
        <x:v>提前写钢簧</x:v>
      </x:c>
      <x:c r="J9" s="486" t="str">
        <x:v>OPEN</x:v>
      </x:c>
      <x:c r="K9" s="486" t="str">
        <x:v>85/91</x:v>
      </x:c>
    </x:row>
    <x:row r="10" ht="66" customHeight="1">
      <x:c r="A10" s="19" t="str">
        <x:v>TR-05</x:v>
      </x:c>
      <x:c r="B10" s="19" t="str">
        <x:v>P0</x:v>
      </x:c>
      <x:c r="C10" s="19" t="str">
        <x:v>N70电池</x:v>
      </x:c>
      <x:c r="D10" s="19" t="str">
        <x:v>F3 52LFP、A1 76NCM监管映射</x:v>
      </x:c>
      <x:c r="E10" s="19" t="str">
        <x:v>逐版本官方能源表</x:v>
      </x:c>
      <x:c r="F10" s="19" t="str">
        <x:v>确认商业绑定</x:v>
      </x:c>
      <x:c r="G10" s="19" t="str">
        <x:v>替换整包成本锚</x:v>
      </x:c>
      <x:c r="H10" s="19" t="str">
        <x:v>重算低阶点</x:v>
      </x:c>
      <x:c r="I10" s="19" t="str">
        <x:v>将E3直接称官方标配</x:v>
      </x:c>
      <x:c r="J10" s="19" t="str">
        <x:v>OPEN</x:v>
      </x:c>
      <x:c r="K10" s="19" t="str">
        <x:v>39/59/85</x:v>
      </x:c>
    </x:row>
    <x:row r="11" ht="66" customHeight="1">
      <x:c r="A11" s="486" t="str">
        <x:v>TR-06</x:v>
      </x:c>
      <x:c r="B11" s="486" t="str">
        <x:v>P0</x:v>
      </x:c>
      <x:c r="C11" s="486" t="str">
        <x:v>N90 Max配置</x:v>
      </x:c>
      <x:c r="D11" s="486" t="str">
        <x:v>展示项为工程高概率</x:v>
      </x:c>
      <x:c r="E11" s="486" t="str">
        <x:v>App逐项配置表</x:v>
      </x:c>
      <x:c r="F11" s="486" t="str">
        <x:v>分类●/○/—</x:v>
      </x:c>
      <x:c r="G11" s="486" t="str">
        <x:v>更新基础BOM/选装池</x:v>
      </x:c>
      <x:c r="H11" s="486" t="str">
        <x:v>重算3.2B残余</x:v>
      </x:c>
      <x:c r="I11" s="486" t="str">
        <x:v>把展示全部写标配</x:v>
      </x:c>
      <x:c r="J11" s="486" t="str">
        <x:v>OPEN</x:v>
      </x:c>
      <x:c r="K11" s="486" t="str">
        <x:v>58–60/89</x:v>
      </x:c>
    </x:row>
    <x:row r="12" ht="66" customHeight="1">
      <x:c r="A12" s="19" t="str">
        <x:v>TR-07</x:v>
      </x:c>
      <x:c r="B12" s="19" t="str">
        <x:v>P0</x:v>
      </x:c>
      <x:c r="C12" s="19" t="str">
        <x:v>N90五座</x:v>
      </x:c>
      <x:c r="D12" s="19" t="str">
        <x:v>仅准入变体</x:v>
      </x:c>
      <x:c r="E12" s="19" t="str">
        <x:v>独立5座商品卡</x:v>
      </x:c>
      <x:c r="F12" s="19" t="str">
        <x:v>新建商业节点</x:v>
      </x:c>
      <x:c r="G12" s="19" t="str">
        <x:v>建立七座↔五座桥</x:v>
      </x:c>
      <x:c r="H12" s="19" t="str">
        <x:v>单独定价</x:v>
      </x:c>
      <x:c r="I12" s="19" t="str">
        <x:v>并入七座Max</x:v>
      </x:c>
      <x:c r="J12" s="19" t="str">
        <x:v>OPEN</x:v>
      </x:c>
      <x:c r="K12" s="19" t="str">
        <x:v>40/41/80</x:v>
      </x:c>
    </x:row>
    <x:row r="13" ht="66" customHeight="1">
      <x:c r="A13" s="486" t="str">
        <x:v>TR-08</x:v>
      </x:c>
      <x:c r="B13" s="486" t="str">
        <x:v>P0</x:v>
      </x:c>
      <x:c r="C13" s="486" t="str">
        <x:v>升顶商品化</x:v>
      </x:c>
      <x:c r="D13" s="486" t="str">
        <x:v>未商品化</x:v>
      </x:c>
      <x:c r="E13" s="486" t="str">
        <x:v>独立商品卡/下订入口</x:v>
      </x:c>
      <x:c r="F13" s="486" t="str">
        <x:v>锁SKU/名称/座位</x:v>
      </x:c>
      <x:c r="G13" s="486" t="str">
        <x:v>确认基础配置</x:v>
      </x:c>
      <x:c r="H13" s="486" t="str">
        <x:v>替换33.99条件点</x:v>
      </x:c>
      <x:c r="I13" s="486" t="str">
        <x:v>称监管申报等于开售</x:v>
      </x:c>
      <x:c r="J13" s="486" t="str">
        <x:v>OPEN</x:v>
      </x:c>
      <x:c r="K13" s="486" t="str">
        <x:v>40/41/75/88</x:v>
      </x:c>
    </x:row>
    <x:row r="14" ht="66" customHeight="1">
      <x:c r="A14" s="19" t="str">
        <x:v>TR-09</x:v>
      </x:c>
      <x:c r="B14" s="19" t="str">
        <x:v>P0</x:v>
      </x:c>
      <x:c r="C14" s="19" t="str">
        <x:v>升顶机构</x:v>
      </x:c>
      <x:c r="D14" s="19" t="str">
        <x:v>电动执行为工程假设</x:v>
      </x:c>
      <x:c r="E14" s="19" t="str">
        <x:v>官方机构说明</x:v>
      </x:c>
      <x:c r="F14" s="19" t="str">
        <x:v>确认手动/电动</x:v>
      </x:c>
      <x:c r="G14" s="19" t="str">
        <x:v>更新C32C-04/NRE/EOL</x:v>
      </x:c>
      <x:c r="H14" s="19" t="str">
        <x:v>重算区间</x:v>
      </x:c>
      <x:c r="I14" s="19" t="str">
        <x:v>把模型假设称官方配置</x:v>
      </x:c>
      <x:c r="J14" s="19" t="str">
        <x:v>OPEN</x:v>
      </x:c>
      <x:c r="K14" s="19" t="str">
        <x:v>77–79/91</x:v>
      </x:c>
    </x:row>
    <x:row r="15" ht="66" customHeight="1">
      <x:c r="A15" s="486" t="str">
        <x:v>TR-10</x:v>
      </x:c>
      <x:c r="B15" s="486" t="str">
        <x:v>P0</x:v>
      </x:c>
      <x:c r="C15" s="486" t="str">
        <x:v>升顶生活设施</x:v>
      </x:c>
      <x:c r="D15" s="486" t="str">
        <x:v>床板/边柜/接口为监管边界</x:v>
      </x:c>
      <x:c r="E15" s="486" t="str">
        <x:v>版本配置表</x:v>
      </x:c>
      <x:c r="F15" s="486" t="str">
        <x:v>判定标配/选装</x:v>
      </x:c>
      <x:c r="G15" s="486" t="str">
        <x:v>移入/移出基础BOM</x:v>
      </x:c>
      <x:c r="H15" s="486" t="str">
        <x:v>重算主点</x:v>
      </x:c>
      <x:c r="I15" s="486" t="str">
        <x:v>把特殊机构文字称免费标配</x:v>
      </x:c>
      <x:c r="J15" s="486" t="str">
        <x:v>OPEN</x:v>
      </x:c>
      <x:c r="K15" s="486" t="str">
        <x:v>75/77/90</x:v>
      </x:c>
    </x:row>
    <x:row r="16" ht="66" customHeight="1">
      <x:c r="A16" s="19" t="str">
        <x:v>TR-11</x:v>
      </x:c>
      <x:c r="B16" s="19" t="str">
        <x:v>P1</x:v>
      </x:c>
      <x:c r="C16" s="19" t="str">
        <x:v>选装/附件价格</x:v>
      </x:c>
      <x:c r="D16" s="19" t="str">
        <x:v>价格未发布</x:v>
      </x:c>
      <x:c r="E16" s="19" t="str">
        <x:v>官方选装/附件价表</x:v>
      </x:c>
      <x:c r="F16" s="19" t="str">
        <x:v>锁替代关系</x:v>
      </x:c>
      <x:c r="G16" s="19" t="str">
        <x:v>建立选装成本与零售价表</x:v>
      </x:c>
      <x:c r="H16" s="19" t="str">
        <x:v>不改基础价除非基础件替换</x:v>
      </x:c>
      <x:c r="I16" s="19" t="str">
        <x:v>用权益参考价值当售价</x:v>
      </x:c>
      <x:c r="J16" s="19" t="str">
        <x:v>OPEN</x:v>
      </x:c>
      <x:c r="K16" s="19" t="str">
        <x:v>60/90</x:v>
      </x:c>
    </x:row>
    <x:row r="17" ht="66" customHeight="1">
      <x:c r="A17" s="486" t="str">
        <x:v>TR-12</x:v>
      </x:c>
      <x:c r="B17" s="486" t="str">
        <x:v>P1</x:v>
      </x:c>
      <x:c r="C17" s="486" t="str">
        <x:v>升顶销量/NRE</x:v>
      </x:c>
      <x:c r="D17" s="486" t="str">
        <x:v>8000台中情景</x:v>
      </x:c>
      <x:c r="E17" s="486" t="str">
        <x:v>官方产能/交付节奏</x:v>
      </x:c>
      <x:c r="F17" s="486" t="str">
        <x:v>更新生命周期销量</x:v>
      </x:c>
      <x:c r="G17" s="486" t="str">
        <x:v>重算NRE/车</x:v>
      </x:c>
      <x:c r="H17" s="486" t="str">
        <x:v>更新升顶尾部</x:v>
      </x:c>
      <x:c r="I17" s="486" t="str">
        <x:v>把规划情景称销量预测</x:v>
      </x:c>
      <x:c r="J17" s="486" t="str">
        <x:v>OPEN</x:v>
      </x:c>
      <x:c r="K17" s="486" t="str">
        <x:v>78/79/91</x:v>
      </x:c>
    </x:row>
  </x:sheetData>
  <x:mergeCells>
    <x:mergeCell ref="A1:K1"/>
    <x:mergeCell ref="A2:K2"/>
    <x:mergeCell ref="A3:K3"/>
  </x:mergeCells>
  <x:conditionalFormatting sqref="J6:J17">
    <x:cfRule type="containsText" dxfId="2160" priority="1" operator="containsText" text="PASS"/>
    <x:cfRule type="containsText" dxfId="2161" priority="2" operator="containsText" text="READY"/>
    <x:cfRule type="containsText" dxfId="2162" priority="3" operator="containsText" text="LOCKED"/>
    <x:cfRule type="containsText" dxfId="2163" priority="4" operator="containsText" text="OFFICIAL"/>
    <x:cfRule type="containsText" dxfId="2164" priority="5" operator="containsText" text="STRICT"/>
    <x:cfRule type="containsText" dxfId="2165" priority="6" operator="containsText" text="MODE"/>
    <x:cfRule type="containsText" dxfId="2166" priority="7" operator="containsText" text="PROVISIONAL"/>
    <x:cfRule type="containsText" dxfId="2167" priority="8" operator="containsText" text="SCENARIO"/>
    <x:cfRule type="containsText" dxfId="2168" priority="9" operator="containsText" text="HOLD"/>
    <x:cfRule type="containsText" dxfId="2169" priority="10" operator="containsText" text="CANDIDATE"/>
    <x:cfRule type="containsText" dxfId="2170" priority="11" operator="containsText" text="FORECAST"/>
    <x:cfRule type="containsText" dxfId="2171" priority="12" operator="containsText" text="LOW_CONFIDENCE"/>
    <x:cfRule type="containsText" dxfId="2172" priority="13" operator="containsText" text="BLOCKED"/>
    <x:cfRule type="containsText" dxfId="2173" priority="14" operator="containsText" text="FAIL"/>
    <x:cfRule type="containsText" dxfId="2174" priority="15" operator="containsText" text="FALSE"/>
    <x:cfRule type="containsText" dxfId="2175" priority="16" operator="containsText" text="EXCLUDED"/>
    <x:cfRule type="containsText" dxfId="2176" priority="17" operator="containsText" text="ACCESSORY"/>
    <x:cfRule type="containsText" dxfId="2177" priority="18" operator="containsText" text="OPTION"/>
    <x:cfRule type="containsText" dxfId="2178" priority="19" operator="containsText" text="ENGINEERING"/>
    <x:cfRule type="containsText" dxfId="2179" priority="20" operator="containsText" text="REGULATORY"/>
    <x:cfRule type="containsText" dxfId="2180" priority="21" operator="containsText" text="CONDITIONAL"/>
  </x:conditionalFormatting>
  <x:pageMargins left="0.7" right="0.7" top="0.75" bottom="0.75" header="0.3" footer="0.3"/>
</x:worksheet>
</file>

<file path=xl/worksheets/sheet9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2" hidden="0" customWidth="1"/>
    <x:col min="3" max="3" width="18" hidden="0" customWidth="1"/>
    <x:col min="4" max="4" width="18" hidden="0" customWidth="1"/>
    <x:col min="5" max="5" width="24" hidden="0" customWidth="1"/>
    <x:col min="6" max="6" width="12" hidden="0" customWidth="1"/>
    <x:col min="7" max="7" width="27" hidden="0" customWidth="1"/>
    <x:col min="8" max="8" width="29" hidden="0" customWidth="1"/>
    <x:col min="9" max="9" width="35" hidden="0" customWidth="1"/>
    <x:col min="10" max="10" width="39" hidden="0" customWidth="1"/>
    <x:col min="11" max="11" width="20" hidden="0" customWidth="1"/>
    <x:col min="12" max="12" width="28" hidden="0" customWidth="1"/>
    <x:col min="13" max="13" width="22" hidden="0" customWidth="1"/>
  </x:cols>
  <x:sheetData>
    <x:row r="1" ht="30" customHeight="1">
      <x:c r="A1" s="473" t="str">
        <x:v>93｜最终预测签核</x:v>
      </x:c>
      <x:c r="B1" s="473"/>
      <x:c r="C1" s="473"/>
      <x:c r="D1" s="473"/>
      <x:c r="E1" s="473"/>
      <x:c r="F1" s="473"/>
      <x:c r="G1" s="473"/>
      <x:c r="H1" s="473"/>
      <x:c r="I1" s="473"/>
      <x:c r="J1" s="473"/>
      <x:c r="K1" s="473"/>
      <x:c r="L1" s="473"/>
      <x:c r="M1" s="473"/>
    </x:row>
    <x:row r="2" ht="22" customHeight="1">
      <x:c r="A2" s="476" t="str">
        <x:v>结论、条件、禁语与下一次更新入口</x:v>
      </x:c>
      <x:c r="B2" s="476"/>
      <x:c r="C2" s="476"/>
      <x:c r="D2" s="476"/>
      <x:c r="E2" s="476"/>
      <x:c r="F2" s="476"/>
      <x:c r="G2" s="476"/>
      <x:c r="H2" s="476"/>
      <x:c r="I2" s="476"/>
      <x:c r="J2" s="476"/>
      <x:c r="K2" s="476"/>
      <x:c r="L2" s="476"/>
      <x:c r="M2" s="476"/>
    </x:row>
    <x:row r="3" ht="72" customHeight="1">
      <x:c r="A3" s="480" t="str">
        <x:v>签核对象是“截至2026-08-04的研究预测”，不是官方价格确认。若候选不上市，应删除商业价格行而不是解释为预测失败；若正式价格或配置出现，应按92表先更新身份/配置/成本，再更新价格。</x:v>
      </x:c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  <x:c r="M3" s="480"/>
    </x:row>
    <x:row r="5" ht="58" customHeight="1">
      <x:c r="A5" s="485" t="str">
        <x:v>签核项</x:v>
      </x:c>
      <x:c r="B5" s="485" t="str">
        <x:v>N70低阶候选</x:v>
      </x:c>
      <x:c r="C5" s="485" t="str">
        <x:v>N70 Max</x:v>
      </x:c>
      <x:c r="D5" s="485" t="str">
        <x:v>N90 Max</x:v>
      </x:c>
      <x:c r="E5" s="485" t="str">
        <x:v>N90升顶候选</x:v>
      </x:c>
      <x:c r="F5" s="485" t="str">
        <x:v>单位</x:v>
      </x:c>
      <x:c r="G5" s="485" t="str">
        <x:v>状态</x:v>
      </x:c>
      <x:c r="H5" s="485" t="str">
        <x:v>依据</x:v>
      </x:c>
      <x:c r="I5" s="485" t="str">
        <x:v>可以说</x:v>
      </x:c>
      <x:c r="J5" s="485" t="str">
        <x:v>不能说</x:v>
      </x:c>
      <x:c r="K5" s="485" t="str">
        <x:v>置信</x:v>
      </x:c>
      <x:c r="L5" s="485" t="str">
        <x:v>触发条件</x:v>
      </x:c>
      <x:c r="M5" s="485" t="str">
        <x:v>结论</x:v>
      </x:c>
    </x:row>
    <x:row r="6" ht="62" customHeight="1">
      <x:c r="A6" s="19" t="str">
        <x:v>官方预售价</x:v>
      </x:c>
      <x:c r="B6" s="414"/>
      <x:c r="C6" s="414" t="n">
        <x:v>259900</x:v>
      </x:c>
      <x:c r="D6" s="414" t="n">
        <x:v>299900</x:v>
      </x:c>
      <x:c r="E6" s="414"/>
      <x:c r="F6" s="19" t="str">
        <x:v>元</x:v>
      </x:c>
      <x:c r="G6" s="19" t="str">
        <x:v>OFFICIAL_PRESALE_ONLY</x:v>
      </x:c>
      <x:c r="H6" s="19" t="str">
        <x:v>41_商业节点</x:v>
      </x:c>
      <x:c r="I6" s="19" t="str">
        <x:v>两款Max预售价事实</x:v>
      </x:c>
      <x:c r="J6" s="19" t="str">
        <x:v>正式指导价</x:v>
      </x:c>
      <x:c r="K6" s="19" t="str">
        <x:v>HIGH_FACT</x:v>
      </x:c>
      <x:c r="L6" s="19" t="str">
        <x:v>正式发布</x:v>
      </x:c>
      <x:c r="M6" s="19" t="str">
        <x:v>已知</x:v>
      </x:c>
    </x:row>
    <x:row r="7" ht="62" customHeight="1">
      <x:c r="A7" s="486" t="str">
        <x:v>正式价点估计</x:v>
      </x:c>
      <x:c r="B7" s="492" t="n">
        <x:f>'87_商业定价合成'!G6</x:f>
        <x:v>209900</x:v>
      </x:c>
      <x:c r="C7" s="492" t="n">
        <x:f>'87_商业定价合成'!G7</x:f>
        <x:v>249900</x:v>
      </x:c>
      <x:c r="D7" s="492" t="n">
        <x:f>'87_商业定价合成'!G8</x:f>
        <x:v>289900</x:v>
      </x:c>
      <x:c r="E7" s="492" t="n">
        <x:f>'87_商业定价合成'!G9</x:f>
        <x:v>339900</x:v>
      </x:c>
      <x:c r="F7" s="486" t="str">
        <x:v>元</x:v>
      </x:c>
      <x:c r="G7" s="486" t="str">
        <x:v>FORECAST_MODE</x:v>
      </x:c>
      <x:c r="H7" s="486" t="str">
        <x:v>87/88表</x:v>
      </x:c>
      <x:c r="I7" s="486" t="str">
        <x:v>20.99/24.99/28.99/33.99</x:v>
      </x:c>
      <x:c r="J7" s="486" t="str">
        <x:v>官方承诺</x:v>
      </x:c>
      <x:c r="K7" s="486" t="str">
        <x:v>LOW/MEDIUM</x:v>
      </x:c>
      <x:c r="L7" s="486" t="str">
        <x:v>92表</x:v>
      </x:c>
      <x:c r="M7" s="486" t="str">
        <x:v>主结论</x:v>
      </x:c>
    </x:row>
    <x:row r="8" ht="62" customHeight="1">
      <x:c r="A8" s="19" t="str">
        <x:v>预测下沿</x:v>
      </x:c>
      <x:c r="B8" s="414" t="n">
        <x:f>'87_商业定价合成'!F6</x:f>
        <x:v>199900</x:v>
      </x:c>
      <x:c r="C8" s="414" t="n">
        <x:f>'87_商业定价合成'!F7</x:f>
        <x:v>249900</x:v>
      </x:c>
      <x:c r="D8" s="414" t="n">
        <x:f>'87_商业定价合成'!F8</x:f>
        <x:v>289900</x:v>
      </x:c>
      <x:c r="E8" s="414" t="n">
        <x:f>'87_商业定价合成'!F9</x:f>
        <x:v>329900</x:v>
      </x:c>
      <x:c r="F8" s="19" t="str">
        <x:v>元</x:v>
      </x:c>
      <x:c r="G8" s="19" t="str">
        <x:v>SCENARIO_RANGE</x:v>
      </x:c>
      <x:c r="H8" s="19" t="str">
        <x:v>87表</x:v>
      </x:c>
      <x:c r="I8" s="19" t="str">
        <x:v>情景下沿</x:v>
      </x:c>
      <x:c r="J8" s="19" t="str">
        <x:v>统计置信下界</x:v>
      </x:c>
      <x:c r="K8" s="19" t="str">
        <x:v>SCENARIO</x:v>
      </x:c>
      <x:c r="L8" s="19" t="str">
        <x:v>92表</x:v>
      </x:c>
      <x:c r="M8" s="19" t="str">
        <x:v>范围</x:v>
      </x:c>
    </x:row>
    <x:row r="9" ht="62" customHeight="1">
      <x:c r="A9" s="486" t="str">
        <x:v>预测上沿</x:v>
      </x:c>
      <x:c r="B9" s="492" t="n">
        <x:f>'87_商业定价合成'!H6</x:f>
        <x:v>229900</x:v>
      </x:c>
      <x:c r="C9" s="492" t="n">
        <x:f>'87_商业定价合成'!H7</x:f>
        <x:v>259900</x:v>
      </x:c>
      <x:c r="D9" s="492" t="n">
        <x:f>'87_商业定价合成'!H8</x:f>
        <x:v>299900</x:v>
      </x:c>
      <x:c r="E9" s="492" t="n">
        <x:f>'87_商业定价合成'!H9</x:f>
        <x:v>389900</x:v>
      </x:c>
      <x:c r="F9" s="486" t="str">
        <x:v>元</x:v>
      </x:c>
      <x:c r="G9" s="486" t="str">
        <x:v>SCENARIO_RANGE</x:v>
      </x:c>
      <x:c r="H9" s="486" t="str">
        <x:v>87表</x:v>
      </x:c>
      <x:c r="I9" s="486" t="str">
        <x:v>情景上沿</x:v>
      </x:c>
      <x:c r="J9" s="486" t="str">
        <x:v>统计置信上界</x:v>
      </x:c>
      <x:c r="K9" s="486" t="str">
        <x:v>SCENARIO</x:v>
      </x:c>
      <x:c r="L9" s="486" t="str">
        <x:v>92表</x:v>
      </x:c>
      <x:c r="M9" s="486" t="str">
        <x:v>范围</x:v>
      </x:c>
    </x:row>
    <x:row r="10" ht="62" customHeight="1">
      <x:c r="A10" s="19" t="str">
        <x:v>严格商业标配数</x:v>
      </x:c>
      <x:c r="B10" s="19" t="n">
        <x:v>0</x:v>
      </x:c>
      <x:c r="C10" s="19" t="n">
        <x:v>9</x:v>
      </x:c>
      <x:c r="D10" s="19" t="n">
        <x:v>8</x:v>
      </x:c>
      <x:c r="E10" s="19" t="n">
        <x:v>0</x:v>
      </x:c>
      <x:c r="F10" s="19" t="str">
        <x:v>项</x:v>
      </x:c>
      <x:c r="G10" s="19" t="str">
        <x:v>BOUNDARY_SIGNED</x:v>
      </x:c>
      <x:c r="H10" s="19" t="str">
        <x:v>63/89表</x:v>
      </x:c>
      <x:c r="I10" s="19" t="str">
        <x:v>0/9/8/0</x:v>
      </x:c>
      <x:c r="J10" s="19" t="str">
        <x:v>监管/展示等于标配</x:v>
      </x:c>
      <x:c r="K10" s="19" t="str">
        <x:v>HIGH_BOUNDARY</x:v>
      </x:c>
      <x:c r="L10" s="19" t="str">
        <x:v>App配置表</x:v>
      </x:c>
      <x:c r="M10" s="19" t="str">
        <x:v>已签核</x:v>
      </x:c>
    </x:row>
    <x:row r="11" ht="62" customHeight="1">
      <x:c r="A11" s="486" t="str">
        <x:v>商品化状态</x:v>
      </x:c>
      <x:c r="B11" s="486" t="str">
        <x:v>监管候选</x:v>
      </x:c>
      <x:c r="C11" s="486" t="str">
        <x:v>官方预售</x:v>
      </x:c>
      <x:c r="D11" s="486" t="str">
        <x:v>官方预售</x:v>
      </x:c>
      <x:c r="E11" s="486" t="str">
        <x:v>未商品化</x:v>
      </x:c>
      <x:c r="F11" s="486" t="str"/>
      <x:c r="G11" s="486" t="str">
        <x:v>MIXED</x:v>
      </x:c>
      <x:c r="H11" s="486" t="str">
        <x:v>41/88表</x:v>
      </x:c>
      <x:c r="I11" s="486" t="str">
        <x:v>两实两候选</x:v>
      </x:c>
      <x:c r="J11" s="486" t="str">
        <x:v>四款均已上市</x:v>
      </x:c>
      <x:c r="K11" s="486" t="str">
        <x:v>HIGH_FACT</x:v>
      </x:c>
      <x:c r="L11" s="486" t="str">
        <x:v>商品卡</x:v>
      </x:c>
      <x:c r="M11" s="486" t="str">
        <x:v>边界</x:v>
      </x:c>
    </x:row>
    <x:row r="14" ht="24" customHeight="1">
      <x:c r="A14" s="491" t="str">
        <x:v>最终可用结论</x:v>
      </x:c>
      <x:c r="B14" s="491"/>
      <x:c r="C14" s="491"/>
      <x:c r="D14" s="491"/>
      <x:c r="E14" s="491"/>
      <x:c r="F14" s="491"/>
      <x:c r="G14" s="491"/>
      <x:c r="H14" s="491"/>
      <x:c r="I14" s="491"/>
      <x:c r="J14" s="491"/>
      <x:c r="K14" s="491"/>
      <x:c r="L14" s="491"/>
      <x:c r="M14" s="491"/>
    </x:row>
    <x:row r="15" ht="58" customHeight="1">
      <x:c r="A15" s="19" t="str">
        <x:v>主价格向量</x:v>
      </x:c>
      <x:c r="B15" s="19" t="str">
        <x:v>20.99（若上市）</x:v>
      </x:c>
      <x:c r="C15" s="19" t="str">
        <x:v>24.99</x:v>
      </x:c>
      <x:c r="D15" s="19" t="str">
        <x:v>28.99</x:v>
      </x:c>
      <x:c r="E15" s="19" t="str">
        <x:v>33.99（若上市）</x:v>
      </x:c>
      <x:c r="F15" s="19" t="str">
        <x:v>万元</x:v>
      </x:c>
      <x:c r="G15" s="19" t="str">
        <x:v>READY_FORECAST</x:v>
      </x:c>
      <x:c r="H15" s="19" t="str">
        <x:v>88表</x:v>
      </x:c>
      <x:c r="I15" s="19" t="str">
        <x:v>最可能正式广告价</x:v>
      </x:c>
      <x:c r="J15" s="19" t="str">
        <x:v>官方已公布</x:v>
      </x:c>
      <x:c r="K15" s="19" t="str">
        <x:v>MIXED</x:v>
      </x:c>
      <x:c r="L15" s="19" t="str">
        <x:v>92表</x:v>
      </x:c>
      <x:c r="M15" s="19" t="str">
        <x:v>本轮完成</x:v>
      </x:c>
    </x:row>
    <x:row r="16" ht="58" customHeight="1">
      <x:c r="A16" s="486" t="str">
        <x:v>情景均值</x:v>
      </x:c>
      <x:c r="B16" s="486" t="str">
        <x:v>不输出</x:v>
      </x:c>
      <x:c r="C16" s="486" t="str">
        <x:v>约25.30</x:v>
      </x:c>
      <x:c r="D16" s="486" t="str">
        <x:v>约29.30</x:v>
      </x:c>
      <x:c r="E16" s="486" t="str">
        <x:v>约34.59（若上市）</x:v>
      </x:c>
      <x:c r="F16" s="486" t="str">
        <x:v>万元</x:v>
      </x:c>
      <x:c r="G16" s="486" t="str">
        <x:v>EXPECTED_VALUE_ONLY</x:v>
      </x:c>
      <x:c r="H16" s="486" t="str">
        <x:v>86/91表</x:v>
      </x:c>
      <x:c r="I16" s="486" t="str">
        <x:v>风险管理</x:v>
      </x:c>
      <x:c r="J16" s="486" t="str">
        <x:v>广告价</x:v>
      </x:c>
      <x:c r="K16" s="486" t="str">
        <x:v>LOW/MEDIUM</x:v>
      </x:c>
      <x:c r="L16" s="486" t="str">
        <x:v>权重可调</x:v>
      </x:c>
      <x:c r="M16" s="486" t="str">
        <x:v>辅助</x:v>
      </x:c>
    </x:row>
    <x:row r="17" ht="58" customHeight="1">
      <x:c r="A17" s="19" t="str">
        <x:v>商业现实</x:v>
      </x:c>
      <x:c r="B17" s="19" t="str">
        <x:v>未商业化</x:v>
      </x:c>
      <x:c r="C17" s="19" t="str">
        <x:v>预售</x:v>
      </x:c>
      <x:c r="D17" s="19" t="str">
        <x:v>预售</x:v>
      </x:c>
      <x:c r="E17" s="19" t="str">
        <x:v>未商业化</x:v>
      </x:c>
      <x:c r="F17" s="19" t="str"/>
      <x:c r="G17" s="19" t="str">
        <x:v>TWO_REAL_TWO_CONDITIONAL</x:v>
      </x:c>
      <x:c r="H17" s="19" t="str">
        <x:v>41表</x:v>
      </x:c>
      <x:c r="I17" s="19" t="str">
        <x:v>当前只有两款商业节点</x:v>
      </x:c>
      <x:c r="J17" s="19" t="str">
        <x:v>四款全在售</x:v>
      </x:c>
      <x:c r="K17" s="19" t="str">
        <x:v>HIGH</x:v>
      </x:c>
      <x:c r="L17" s="19" t="str">
        <x:v>商品卡</x:v>
      </x:c>
      <x:c r="M17" s="19" t="str">
        <x:v>边界</x:v>
      </x:c>
    </x:row>
    <x:row r="18" ht="58" customHeight="1">
      <x:c r="A18" s="486" t="str">
        <x:v>成本解释</x:v>
      </x:c>
      <x:c r="B18" s="486" t="str">
        <x:v>B1条件桥</x:v>
      </x:c>
      <x:c r="C18" s="486" t="str">
        <x:v>预售转正式</x:v>
      </x:c>
      <x:c r="D18" s="486" t="str">
        <x:v>3.2B部分解释4万价差</x:v>
      </x:c>
      <x:c r="E18" s="486" t="str">
        <x:v>3.2C技术中位2.91万</x:v>
      </x:c>
      <x:c r="F18" s="486" t="str"/>
      <x:c r="G18" s="486" t="str">
        <x:v>ENGINEERING_COMPLETE</x:v>
      </x:c>
      <x:c r="H18" s="486" t="str">
        <x:v>85/69/79表</x:v>
      </x:c>
      <x:c r="I18" s="486" t="str">
        <x:v>成本与价格分层</x:v>
      </x:c>
      <x:c r="J18" s="486" t="str">
        <x:v>残余=利润</x:v>
      </x:c>
      <x:c r="K18" s="486" t="str">
        <x:v>MEDIUM</x:v>
      </x:c>
      <x:c r="L18" s="486" t="str">
        <x:v>配置反证</x:v>
      </x:c>
      <x:c r="M18" s="486" t="str">
        <x:v>完成</x:v>
      </x:c>
    </x:row>
    <x:row r="19" ht="58" customHeight="1">
      <x:c r="A19" s="19" t="str">
        <x:v>配置解释</x:v>
      </x:c>
      <x:c r="B19" s="19" t="str">
        <x:v>监管+预测</x:v>
      </x:c>
      <x:c r="C19" s="19" t="str">
        <x:v>9严格标配</x:v>
      </x:c>
      <x:c r="D19" s="19" t="str">
        <x:v>8严格标配+大量工程展示</x:v>
      </x:c>
      <x:c r="E19" s="19" t="str">
        <x:v>监管+工程</x:v>
      </x:c>
      <x:c r="F19" s="19" t="str"/>
      <x:c r="G19" s="19" t="str">
        <x:v>BOUNDARY_COMPLETE</x:v>
      </x:c>
      <x:c r="H19" s="19" t="str">
        <x:v>89/90表</x:v>
      </x:c>
      <x:c r="I19" s="19" t="str">
        <x:v>五层状态</x:v>
      </x:c>
      <x:c r="J19" s="19" t="str">
        <x:v>展示=标配</x:v>
      </x:c>
      <x:c r="K19" s="19" t="str">
        <x:v>HIGH_BOUNDARY</x:v>
      </x:c>
      <x:c r="L19" s="19" t="str">
        <x:v>App配置表</x:v>
      </x:c>
      <x:c r="M19" s="19" t="str">
        <x:v>完成</x:v>
      </x:c>
    </x:row>
    <x:row r="20" ht="58" customHeight="1">
      <x:c r="A20" s="486" t="str">
        <x:v>下一动作</x:v>
      </x:c>
      <x:c r="B20" s="486" t="str">
        <x:v>等待商品卡</x:v>
      </x:c>
      <x:c r="C20" s="486" t="str">
        <x:v>等待正式价/App配置</x:v>
      </x:c>
      <x:c r="D20" s="486" t="str">
        <x:v>等待正式价/App配置</x:v>
      </x:c>
      <x:c r="E20" s="486" t="str">
        <x:v>等待商品卡</x:v>
      </x:c>
      <x:c r="F20" s="486" t="str"/>
      <x:c r="G20" s="486" t="str">
        <x:v>MONITOR_TRIGGERS</x:v>
      </x:c>
      <x:c r="H20" s="486" t="str">
        <x:v>92表</x:v>
      </x:c>
      <x:c r="I20" s="486" t="str">
        <x:v>按证据重算</x:v>
      </x:c>
      <x:c r="J20" s="486" t="str">
        <x:v>继续增加主观精度</x:v>
      </x:c>
      <x:c r="K20" s="486" t="str">
        <x:v>N/A</x:v>
      </x:c>
      <x:c r="L20" s="486" t="str">
        <x:v>外部状态变化</x:v>
      </x:c>
      <x:c r="M20" s="486" t="str">
        <x:v>待触发</x:v>
      </x:c>
    </x:row>
  </x:sheetData>
  <x:mergeCells>
    <x:mergeCell ref="A1:M1"/>
    <x:mergeCell ref="A2:M2"/>
    <x:mergeCell ref="A3:M3"/>
    <x:mergeCell ref="A14:M14"/>
  </x:mergeCells>
  <x:conditionalFormatting sqref="G6:G11">
    <x:cfRule type="containsText" dxfId="2181" priority="1" operator="containsText" text="PASS"/>
    <x:cfRule type="containsText" dxfId="2182" priority="2" operator="containsText" text="READY"/>
    <x:cfRule type="containsText" dxfId="2183" priority="3" operator="containsText" text="LOCKED"/>
    <x:cfRule type="containsText" dxfId="2184" priority="4" operator="containsText" text="OFFICIAL"/>
    <x:cfRule type="containsText" dxfId="2185" priority="5" operator="containsText" text="STRICT"/>
    <x:cfRule type="containsText" dxfId="2186" priority="6" operator="containsText" text="MODE"/>
    <x:cfRule type="containsText" dxfId="2187" priority="7" operator="containsText" text="PROVISIONAL"/>
    <x:cfRule type="containsText" dxfId="2188" priority="8" operator="containsText" text="SCENARIO"/>
    <x:cfRule type="containsText" dxfId="2189" priority="9" operator="containsText" text="HOLD"/>
    <x:cfRule type="containsText" dxfId="2190" priority="10" operator="containsText" text="CANDIDATE"/>
    <x:cfRule type="containsText" dxfId="2191" priority="11" operator="containsText" text="FORECAST"/>
    <x:cfRule type="containsText" dxfId="2192" priority="12" operator="containsText" text="LOW_CONFIDENCE"/>
    <x:cfRule type="containsText" dxfId="2193" priority="13" operator="containsText" text="BLOCKED"/>
    <x:cfRule type="containsText" dxfId="2194" priority="14" operator="containsText" text="FAIL"/>
    <x:cfRule type="containsText" dxfId="2195" priority="15" operator="containsText" text="FALSE"/>
    <x:cfRule type="containsText" dxfId="2196" priority="16" operator="containsText" text="EXCLUDED"/>
    <x:cfRule type="containsText" dxfId="2197" priority="17" operator="containsText" text="ACCESSORY"/>
    <x:cfRule type="containsText" dxfId="2198" priority="18" operator="containsText" text="OPTION"/>
    <x:cfRule type="containsText" dxfId="2199" priority="19" operator="containsText" text="ENGINEERING"/>
    <x:cfRule type="containsText" dxfId="2200" priority="20" operator="containsText" text="REGULATORY"/>
    <x:cfRule type="containsText" dxfId="2201" priority="21" operator="containsText" text="CONDITIONAL"/>
  </x:conditionalFormatting>
  <x:conditionalFormatting sqref="G15:G20">
    <x:cfRule type="containsText" dxfId="2202" priority="22" operator="containsText" text="PASS"/>
    <x:cfRule type="containsText" dxfId="2203" priority="23" operator="containsText" text="READY"/>
    <x:cfRule type="containsText" dxfId="2204" priority="24" operator="containsText" text="LOCKED"/>
    <x:cfRule type="containsText" dxfId="2205" priority="25" operator="containsText" text="OFFICIAL"/>
    <x:cfRule type="containsText" dxfId="2206" priority="26" operator="containsText" text="STRICT"/>
    <x:cfRule type="containsText" dxfId="2207" priority="27" operator="containsText" text="MODE"/>
    <x:cfRule type="containsText" dxfId="2208" priority="28" operator="containsText" text="PROVISIONAL"/>
    <x:cfRule type="containsText" dxfId="2209" priority="29" operator="containsText" text="SCENARIO"/>
    <x:cfRule type="containsText" dxfId="2210" priority="30" operator="containsText" text="HOLD"/>
    <x:cfRule type="containsText" dxfId="2211" priority="31" operator="containsText" text="CANDIDATE"/>
    <x:cfRule type="containsText" dxfId="2212" priority="32" operator="containsText" text="FORECAST"/>
    <x:cfRule type="containsText" dxfId="2213" priority="33" operator="containsText" text="LOW_CONFIDENCE"/>
    <x:cfRule type="containsText" dxfId="2214" priority="34" operator="containsText" text="BLOCKED"/>
    <x:cfRule type="containsText" dxfId="2215" priority="35" operator="containsText" text="FAIL"/>
    <x:cfRule type="containsText" dxfId="2216" priority="36" operator="containsText" text="FALSE"/>
    <x:cfRule type="containsText" dxfId="2217" priority="37" operator="containsText" text="EXCLUDED"/>
    <x:cfRule type="containsText" dxfId="2218" priority="38" operator="containsText" text="ACCESSORY"/>
    <x:cfRule type="containsText" dxfId="2219" priority="39" operator="containsText" text="OPTION"/>
    <x:cfRule type="containsText" dxfId="2220" priority="40" operator="containsText" text="ENGINEERING"/>
    <x:cfRule type="containsText" dxfId="2221" priority="41" operator="containsText" text="REGULATORY"/>
    <x:cfRule type="containsText" dxfId="2222" priority="42" operator="containsText" text="CONDITIONAL"/>
  </x:conditionalFormatting>
  <x:pageMargins left="0.7" right="0.7" top="0.75" bottom="0.75" header="0.3" footer="0.3"/>
</x:worksheet>
</file>

<file path=xl/worksheets/sheet9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7" hidden="0" customWidth="1"/>
    <x:col min="3" max="3" width="47" hidden="0" customWidth="1"/>
    <x:col min="4" max="4" width="20" hidden="0" customWidth="1"/>
    <x:col min="5" max="5" width="24" hidden="0" customWidth="1"/>
    <x:col min="6" max="6" width="14" hidden="0" customWidth="1"/>
    <x:col min="7" max="7" width="14" hidden="0" customWidth="1"/>
    <x:col min="8" max="8" width="46" hidden="0" customWidth="1"/>
  </x:cols>
  <x:sheetData>
    <x:row r="1" ht="30" customHeight="1">
      <x:c r="A1" s="473" t="str">
        <x:v>94｜最终模型校验与财务审计入口</x:v>
      </x:c>
      <x:c r="B1" s="473"/>
      <x:c r="C1" s="473"/>
      <x:c r="D1" s="473"/>
      <x:c r="E1" s="473"/>
      <x:c r="F1" s="473"/>
      <x:c r="G1" s="473"/>
      <x:c r="H1" s="473"/>
    </x:row>
    <x:row r="2" ht="22" customHeight="1">
      <x:c r="A2" s="476" t="str">
        <x:v>价格情景、B1成本桥、配置边界、商品化闸门与公式完整性</x:v>
      </x:c>
      <x:c r="B2" s="476"/>
      <x:c r="C2" s="476"/>
      <x:c r="D2" s="476"/>
      <x:c r="E2" s="476"/>
      <x:c r="F2" s="476"/>
      <x:c r="G2" s="476"/>
      <x:c r="H2" s="476"/>
    </x:row>
    <x:row r="3" ht="72" customHeight="1">
      <x:c r="A3" s="480" t="str">
        <x:v>机器校验只验证模型内部一致性，不证明预测正确。独立审计还会检查：B1成本公式区不引用259900/正式价；情景权重合计100%；四点递增；0/9/8/0严格标配与6+6选装附件边界保持。</x:v>
      </x:c>
      <x:c r="B3" s="480"/>
      <x:c r="C3" s="480"/>
      <x:c r="D3" s="480"/>
      <x:c r="E3" s="480"/>
      <x:c r="F3" s="480"/>
      <x:c r="G3" s="480"/>
      <x:c r="H3" s="480"/>
    </x:row>
    <x:row r="5" ht="50" customHeight="1">
      <x:c r="A5" s="485" t="str">
        <x:v>check_id</x:v>
      </x:c>
      <x:c r="B5" s="485" t="str">
        <x:v>类别</x:v>
      </x:c>
      <x:c r="C5" s="485" t="str">
        <x:v>断言</x:v>
      </x:c>
      <x:c r="D5" s="485" t="str">
        <x:v>Expected</x:v>
      </x:c>
      <x:c r="E5" s="485" t="str">
        <x:v>Actual</x:v>
      </x:c>
      <x:c r="F5" s="485" t="str">
        <x:v>Result</x:v>
      </x:c>
      <x:c r="G5" s="485" t="str">
        <x:v>Severity</x:v>
      </x:c>
      <x:c r="H5" s="485" t="str">
        <x:v>说明</x:v>
      </x:c>
    </x:row>
    <x:row r="6" ht="44" customHeight="1">
      <x:c r="A6" s="19" t="str">
        <x:v>CHK-F-01</x:v>
      </x:c>
      <x:c r="B6" s="19" t="str">
        <x:v>SCENARIO</x:v>
      </x:c>
      <x:c r="C6" s="19" t="str">
        <x:v>预售转正式权重合计</x:v>
      </x:c>
      <x:c r="D6" s="19" t="n">
        <x:v>1</x:v>
      </x:c>
      <x:c r="E6" s="19" t="n">
        <x:f>'86_预售转正式价'!D17</x:f>
        <x:v>1</x:v>
      </x:c>
      <x:c r="F6" s="19" t="str">
        <x:f>IF(ABS(E6-D6)&lt;0.01,"PASS","FAIL")</x:f>
        <x:v>PASS</x:v>
      </x:c>
      <x:c r="G6" s="19" t="str">
        <x:v>ERROR</x:v>
      </x:c>
      <x:c r="H6" s="19" t="str"/>
    </x:row>
    <x:row r="7" ht="44" customHeight="1">
      <x:c r="A7" s="486" t="str">
        <x:v>CHK-F-02</x:v>
      </x:c>
      <x:c r="B7" s="486" t="str">
        <x:v>SCENARIO</x:v>
      </x:c>
      <x:c r="C7" s="486" t="str">
        <x:v>升顶情景权重合计</x:v>
      </x:c>
      <x:c r="D7" s="486" t="n">
        <x:v>1</x:v>
      </x:c>
      <x:c r="E7" s="486" t="n">
        <x:f>'91_情景敏感性'!B11</x:f>
        <x:v>1</x:v>
      </x:c>
      <x:c r="F7" s="486" t="str">
        <x:f>IF(ABS(E7-D7)&lt;0.01,"PASS","FAIL")</x:f>
        <x:v>PASS</x:v>
      </x:c>
      <x:c r="G7" s="486" t="str">
        <x:v>ERROR</x:v>
      </x:c>
      <x:c r="H7" s="486" t="str"/>
    </x:row>
    <x:row r="8" ht="44" customHeight="1">
      <x:c r="A8" s="19" t="str">
        <x:v>CHK-F-03</x:v>
      </x:c>
      <x:c r="B8" s="19" t="str">
        <x:v>PRICING</x:v>
      </x:c>
      <x:c r="C8" s="19" t="str">
        <x:v>N70 Max正式模式</x:v>
      </x:c>
      <x:c r="D8" s="19" t="n">
        <x:v>249900</x:v>
      </x:c>
      <x:c r="E8" s="19" t="n">
        <x:f>'86_预售转正式价'!B23</x:f>
        <x:v>249900</x:v>
      </x:c>
      <x:c r="F8" s="19" t="str">
        <x:f>IF(ABS(E8-D8)&lt;0.01,"PASS","FAIL")</x:f>
        <x:v>PASS</x:v>
      </x:c>
      <x:c r="G8" s="19" t="str">
        <x:v>ERROR</x:v>
      </x:c>
      <x:c r="H8" s="19" t="str"/>
    </x:row>
    <x:row r="9" ht="44" customHeight="1">
      <x:c r="A9" s="486" t="str">
        <x:v>CHK-F-04</x:v>
      </x:c>
      <x:c r="B9" s="486" t="str">
        <x:v>PRICING</x:v>
      </x:c>
      <x:c r="C9" s="486" t="str">
        <x:v>N90 Max正式模式</x:v>
      </x:c>
      <x:c r="D9" s="486" t="n">
        <x:v>289900</x:v>
      </x:c>
      <x:c r="E9" s="486" t="n">
        <x:f>'86_预售转正式价'!C23</x:f>
        <x:v>289900</x:v>
      </x:c>
      <x:c r="F9" s="486" t="str">
        <x:f>IF(ABS(E9-D9)&lt;0.01,"PASS","FAIL")</x:f>
        <x:v>PASS</x:v>
      </x:c>
      <x:c r="G9" s="486" t="str">
        <x:v>ERROR</x:v>
      </x:c>
      <x:c r="H9" s="486" t="str"/>
    </x:row>
    <x:row r="10" ht="44" customHeight="1">
      <x:c r="A10" s="19" t="str">
        <x:v>CHK-F-05</x:v>
      </x:c>
      <x:c r="B10" s="19" t="str">
        <x:v>PRICING</x:v>
      </x:c>
      <x:c r="C10" s="19" t="str">
        <x:v>N70低阶主点</x:v>
      </x:c>
      <x:c r="D10" s="19" t="n">
        <x:v>209900</x:v>
      </x:c>
      <x:c r="E10" s="19" t="n">
        <x:f>'87_商业定价合成'!G6</x:f>
        <x:v>209900</x:v>
      </x:c>
      <x:c r="F10" s="19" t="str">
        <x:f>IF(ABS(E10-D10)&lt;0.01,"PASS","FAIL")</x:f>
        <x:v>PASS</x:v>
      </x:c>
      <x:c r="G10" s="19" t="str">
        <x:v>ERROR</x:v>
      </x:c>
      <x:c r="H10" s="19" t="str"/>
    </x:row>
    <x:row r="11" ht="44" customHeight="1">
      <x:c r="A11" s="486" t="str">
        <x:v>CHK-F-06</x:v>
      </x:c>
      <x:c r="B11" s="486" t="str">
        <x:v>PRICING</x:v>
      </x:c>
      <x:c r="C11" s="486" t="str">
        <x:v>N70 Max主点</x:v>
      </x:c>
      <x:c r="D11" s="486" t="n">
        <x:v>249900</x:v>
      </x:c>
      <x:c r="E11" s="486" t="n">
        <x:f>'87_商业定价合成'!G7</x:f>
        <x:v>249900</x:v>
      </x:c>
      <x:c r="F11" s="486" t="str">
        <x:f>IF(ABS(E11-D11)&lt;0.01,"PASS","FAIL")</x:f>
        <x:v>PASS</x:v>
      </x:c>
      <x:c r="G11" s="486" t="str">
        <x:v>ERROR</x:v>
      </x:c>
      <x:c r="H11" s="486" t="str"/>
    </x:row>
    <x:row r="12" ht="44" customHeight="1">
      <x:c r="A12" s="19" t="str">
        <x:v>CHK-F-07</x:v>
      </x:c>
      <x:c r="B12" s="19" t="str">
        <x:v>PRICING</x:v>
      </x:c>
      <x:c r="C12" s="19" t="str">
        <x:v>N90 Max主点</x:v>
      </x:c>
      <x:c r="D12" s="19" t="n">
        <x:v>289900</x:v>
      </x:c>
      <x:c r="E12" s="19" t="n">
        <x:f>'87_商业定价合成'!G8</x:f>
        <x:v>289900</x:v>
      </x:c>
      <x:c r="F12" s="19" t="str">
        <x:f>IF(ABS(E12-D12)&lt;0.01,"PASS","FAIL")</x:f>
        <x:v>PASS</x:v>
      </x:c>
      <x:c r="G12" s="19" t="str">
        <x:v>ERROR</x:v>
      </x:c>
      <x:c r="H12" s="19" t="str"/>
    </x:row>
    <x:row r="13" ht="44" customHeight="1">
      <x:c r="A13" s="486" t="str">
        <x:v>CHK-F-08</x:v>
      </x:c>
      <x:c r="B13" s="486" t="str">
        <x:v>PRICING</x:v>
      </x:c>
      <x:c r="C13" s="486" t="str">
        <x:v>升顶主点</x:v>
      </x:c>
      <x:c r="D13" s="486" t="n">
        <x:v>339900</x:v>
      </x:c>
      <x:c r="E13" s="486" t="n">
        <x:f>'87_商业定价合成'!G9</x:f>
        <x:v>339900</x:v>
      </x:c>
      <x:c r="F13" s="486" t="str">
        <x:f>IF(ABS(E13-D13)&lt;0.01,"PASS","FAIL")</x:f>
        <x:v>PASS</x:v>
      </x:c>
      <x:c r="G13" s="486" t="str">
        <x:v>ERROR</x:v>
      </x:c>
      <x:c r="H13" s="486" t="str"/>
    </x:row>
    <x:row r="14" ht="44" customHeight="1">
      <x:c r="A14" s="19" t="str">
        <x:v>CHK-F-09</x:v>
      </x:c>
      <x:c r="B14" s="19" t="str">
        <x:v>LADDER</x:v>
      </x:c>
      <x:c r="C14" s="19" t="str">
        <x:v>低阶→N70 Max价差</x:v>
      </x:c>
      <x:c r="D14" s="19" t="n">
        <x:v>40000</x:v>
      </x:c>
      <x:c r="E14" s="19" t="n">
        <x:f>'87_商业定价合成'!F14</x:f>
        <x:v>40000</x:v>
      </x:c>
      <x:c r="F14" s="19" t="str">
        <x:f>IF(ABS(E14-D14)&lt;0.01,"PASS","FAIL")</x:f>
        <x:v>PASS</x:v>
      </x:c>
      <x:c r="G14" s="19" t="str">
        <x:v>ERROR</x:v>
      </x:c>
      <x:c r="H14" s="19" t="str"/>
    </x:row>
    <x:row r="15" ht="44" customHeight="1">
      <x:c r="A15" s="486" t="str">
        <x:v>CHK-F-10</x:v>
      </x:c>
      <x:c r="B15" s="486" t="str">
        <x:v>LADDER</x:v>
      </x:c>
      <x:c r="C15" s="486" t="str">
        <x:v>N70→N90 Max价差</x:v>
      </x:c>
      <x:c r="D15" s="486" t="n">
        <x:v>40000</x:v>
      </x:c>
      <x:c r="E15" s="486" t="n">
        <x:f>'87_商业定价合成'!F15</x:f>
        <x:v>40000</x:v>
      </x:c>
      <x:c r="F15" s="486" t="str">
        <x:f>IF(ABS(E15-D15)&lt;0.01,"PASS","FAIL")</x:f>
        <x:v>PASS</x:v>
      </x:c>
      <x:c r="G15" s="486" t="str">
        <x:v>ERROR</x:v>
      </x:c>
      <x:c r="H15" s="486" t="str"/>
    </x:row>
    <x:row r="16" ht="44" customHeight="1">
      <x:c r="A16" s="19" t="str">
        <x:v>CHK-F-11</x:v>
      </x:c>
      <x:c r="B16" s="19" t="str">
        <x:v>LADDER</x:v>
      </x:c>
      <x:c r="C16" s="19" t="str">
        <x:v>N90→升顶价差</x:v>
      </x:c>
      <x:c r="D16" s="19" t="n">
        <x:v>50000</x:v>
      </x:c>
      <x:c r="E16" s="19" t="n">
        <x:f>'87_商业定价合成'!F16</x:f>
        <x:v>50000</x:v>
      </x:c>
      <x:c r="F16" s="19" t="str">
        <x:f>IF(ABS(E16-D16)&lt;0.01,"PASS","FAIL")</x:f>
        <x:v>PASS</x:v>
      </x:c>
      <x:c r="G16" s="19" t="str">
        <x:v>ERROR</x:v>
      </x:c>
      <x:c r="H16" s="19" t="str"/>
    </x:row>
    <x:row r="17" ht="44" customHeight="1">
      <x:c r="A17" s="486" t="str">
        <x:v>CHK-F-12</x:v>
      </x:c>
      <x:c r="B17" s="486" t="str">
        <x:v>LADDER</x:v>
      </x:c>
      <x:c r="C17" s="486" t="str">
        <x:v>四点严格递增</x:v>
      </x:c>
      <x:c r="D17" s="486" t="n">
        <x:v>1</x:v>
      </x:c>
      <x:c r="E17" s="486" t="n">
        <x:f>IF(AND('87_商业定价合成'!G6&lt;'87_商业定价合成'!G7,'87_商业定价合成'!G7&lt;'87_商业定价合成'!G8,'87_商业定价合成'!G8&lt;'87_商业定价合成'!G9),1,0)</x:f>
        <x:v>1</x:v>
      </x:c>
      <x:c r="F17" s="486" t="str">
        <x:f>IF(ABS(E17-D17)&lt;0.01,"PASS","FAIL")</x:f>
        <x:v>PASS</x:v>
      </x:c>
      <x:c r="G17" s="486" t="str">
        <x:v>ERROR</x:v>
      </x:c>
      <x:c r="H17" s="486" t="str"/>
    </x:row>
    <x:row r="18" ht="44" customHeight="1">
      <x:c r="A18" s="19" t="str">
        <x:v>CHK-F-13</x:v>
      </x:c>
      <x:c r="B18" s="19" t="str">
        <x:v>B1</x:v>
      </x:c>
      <x:c r="C18" s="19" t="str">
        <x:v>电池置换Low</x:v>
      </x:c>
      <x:c r="D18" s="19" t="n">
        <x:v>25680</x:v>
      </x:c>
      <x:c r="E18" s="19" t="n">
        <x:f>'85_N70条件成本桥'!D23</x:f>
        <x:v>25680</x:v>
      </x:c>
      <x:c r="F18" s="19" t="str">
        <x:f>IF(ABS(E18-D18)&lt;0.01,"PASS","FAIL")</x:f>
        <x:v>PASS</x:v>
      </x:c>
      <x:c r="G18" s="19" t="str">
        <x:v>ERROR</x:v>
      </x:c>
      <x:c r="H18" s="19" t="str"/>
    </x:row>
    <x:row r="19" ht="44" customHeight="1">
      <x:c r="A19" s="486" t="str">
        <x:v>CHK-F-14</x:v>
      </x:c>
      <x:c r="B19" s="486" t="str">
        <x:v>B1</x:v>
      </x:c>
      <x:c r="C19" s="486" t="str">
        <x:v>电池置换Mid</x:v>
      </x:c>
      <x:c r="D19" s="486" t="n">
        <x:v>30640</x:v>
      </x:c>
      <x:c r="E19" s="486" t="n">
        <x:f>'85_N70条件成本桥'!E23</x:f>
        <x:v>30640</x:v>
      </x:c>
      <x:c r="F19" s="486" t="str">
        <x:f>IF(ABS(E19-D19)&lt;0.01,"PASS","FAIL")</x:f>
        <x:v>PASS</x:v>
      </x:c>
      <x:c r="G19" s="486" t="str">
        <x:v>ERROR</x:v>
      </x:c>
      <x:c r="H19" s="486" t="str"/>
    </x:row>
    <x:row r="20" ht="44" customHeight="1">
      <x:c r="A20" s="19" t="str">
        <x:v>CHK-F-15</x:v>
      </x:c>
      <x:c r="B20" s="19" t="str">
        <x:v>B1</x:v>
      </x:c>
      <x:c r="C20" s="19" t="str">
        <x:v>电池置换High</x:v>
      </x:c>
      <x:c r="D20" s="19" t="n">
        <x:v>35320</x:v>
      </x:c>
      <x:c r="E20" s="19" t="n">
        <x:f>'85_N70条件成本桥'!F23</x:f>
        <x:v>35320</x:v>
      </x:c>
      <x:c r="F20" s="19" t="str">
        <x:f>IF(ABS(E20-D20)&lt;0.01,"PASS","FAIL")</x:f>
        <x:v>PASS</x:v>
      </x:c>
      <x:c r="G20" s="19" t="str">
        <x:v>ERROR</x:v>
      </x:c>
      <x:c r="H20" s="19" t="str"/>
    </x:row>
    <x:row r="21" ht="44" customHeight="1">
      <x:c r="A21" s="486" t="str">
        <x:v>CHK-F-16</x:v>
      </x:c>
      <x:c r="B21" s="486" t="str">
        <x:v>B1</x:v>
      </x:c>
      <x:c r="C21" s="486" t="str">
        <x:v>悬架情景0/5000/9500</x:v>
      </x:c>
      <x:c r="D21" s="486" t="n">
        <x:v>1</x:v>
      </x:c>
      <x:c r="E21" s="486" t="n">
        <x:f>IF(AND('85_N70条件成本桥'!D25=0,'85_N70条件成本桥'!E25=5000,'85_N70条件成本桥'!F25=9500),1,0)</x:f>
        <x:v>1</x:v>
      </x:c>
      <x:c r="F21" s="486" t="str">
        <x:f>IF(ABS(E21-D21)&lt;0.01,"PASS","FAIL")</x:f>
        <x:v>PASS</x:v>
      </x:c>
      <x:c r="G21" s="486" t="str">
        <x:v>ERROR</x:v>
      </x:c>
      <x:c r="H21" s="486" t="str"/>
    </x:row>
    <x:row r="22" ht="44" customHeight="1">
      <x:c r="A22" s="19" t="str">
        <x:v>CHK-F-17</x:v>
      </x:c>
      <x:c r="B22" s="19" t="str">
        <x:v>B1</x:v>
      </x:c>
      <x:c r="C22" s="19" t="str">
        <x:v>总成本严格递增</x:v>
      </x:c>
      <x:c r="D22" s="19" t="n">
        <x:v>1</x:v>
      </x:c>
      <x:c r="E22" s="19" t="n">
        <x:f>IF(AND('85_N70条件成本桥'!D29&lt;'85_N70条件成本桥'!E29,'85_N70条件成本桥'!E29&lt;'85_N70条件成本桥'!F29),1,0)</x:f>
        <x:v>1</x:v>
      </x:c>
      <x:c r="F22" s="19" t="str">
        <x:f>IF(ABS(E22-D22)&lt;0.01,"PASS","FAIL")</x:f>
        <x:v>PASS</x:v>
      </x:c>
      <x:c r="G22" s="19" t="str">
        <x:v>ERROR</x:v>
      </x:c>
      <x:c r="H22" s="19" t="str"/>
    </x:row>
    <x:row r="23" ht="44" customHeight="1">
      <x:c r="A23" s="486" t="str">
        <x:v>CHK-F-18</x:v>
      </x:c>
      <x:c r="B23" s="486" t="str">
        <x:v>B1</x:v>
      </x:c>
      <x:c r="C23" s="486" t="str">
        <x:v>含税价差严格递增</x:v>
      </x:c>
      <x:c r="D23" s="486" t="n">
        <x:v>1</x:v>
      </x:c>
      <x:c r="E23" s="486" t="n">
        <x:f>IF(AND('85_N70条件成本桥'!D31&lt;'85_N70条件成本桥'!E31,'85_N70条件成本桥'!E31&lt;'85_N70条件成本桥'!F31),1,0)</x:f>
        <x:v>1</x:v>
      </x:c>
      <x:c r="F23" s="486" t="str">
        <x:f>IF(ABS(E23-D23)&lt;0.01,"PASS","FAIL")</x:f>
        <x:v>PASS</x:v>
      </x:c>
      <x:c r="G23" s="486" t="str">
        <x:v>ERROR</x:v>
      </x:c>
      <x:c r="H23" s="486" t="str"/>
    </x:row>
    <x:row r="24" ht="44" customHeight="1">
      <x:c r="A24" s="19" t="str">
        <x:v>CHK-F-19</x:v>
      </x:c>
      <x:c r="B24" s="19" t="str">
        <x:v>B1</x:v>
      </x:c>
      <x:c r="C24" s="19" t="str">
        <x:v>成本行price_derived_flag=NO</x:v>
      </x:c>
      <x:c r="D24" s="19" t="n">
        <x:v>11</x:v>
      </x:c>
      <x:c r="E24" s="19" t="n">
        <x:f>COUNTIF('85_N70条件成本桥'!J21:J31,"NO")</x:f>
        <x:v>11</x:v>
      </x:c>
      <x:c r="F24" s="19" t="str">
        <x:f>IF(ABS(E24-D24)&lt;0.01,"PASS","FAIL")</x:f>
        <x:v>PASS</x:v>
      </x:c>
      <x:c r="G24" s="19" t="str">
        <x:v>ERROR</x:v>
      </x:c>
      <x:c r="H24" s="19" t="str"/>
    </x:row>
    <x:row r="25" ht="44" customHeight="1">
      <x:c r="A25" s="486" t="str">
        <x:v>CHK-F-20</x:v>
      </x:c>
      <x:c r="B25" s="486" t="str">
        <x:v>PRESALE</x:v>
      </x:c>
      <x:c r="C25" s="486" t="str">
        <x:v>历史SU7标准下调1万</x:v>
      </x:c>
      <x:c r="D25" s="486" t="n">
        <x:v>10000</x:v>
      </x:c>
      <x:c r="E25" s="486" t="n">
        <x:f>'86_预售转正式价'!E6</x:f>
        <x:v>10000</x:v>
      </x:c>
      <x:c r="F25" s="486" t="str">
        <x:f>IF(ABS(E25-D25)&lt;0.01,"PASS","FAIL")</x:f>
        <x:v>PASS</x:v>
      </x:c>
      <x:c r="G25" s="486" t="str">
        <x:v>ERROR</x:v>
      </x:c>
      <x:c r="H25" s="486" t="str"/>
    </x:row>
    <x:row r="26" ht="44" customHeight="1">
      <x:c r="A26" s="19" t="str">
        <x:v>CHK-F-21</x:v>
      </x:c>
      <x:c r="B26" s="19" t="str">
        <x:v>PRESALE</x:v>
      </x:c>
      <x:c r="C26" s="19" t="str">
        <x:v>历史SU7 Pro下调1万</x:v>
      </x:c>
      <x:c r="D26" s="19" t="n">
        <x:v>10000</x:v>
      </x:c>
      <x:c r="E26" s="19" t="n">
        <x:f>'86_预售转正式价'!E7</x:f>
        <x:v>10000</x:v>
      </x:c>
      <x:c r="F26" s="19" t="str">
        <x:f>IF(ABS(E26-D26)&lt;0.01,"PASS","FAIL")</x:f>
        <x:v>PASS</x:v>
      </x:c>
      <x:c r="G26" s="19" t="str">
        <x:v>ERROR</x:v>
      </x:c>
      <x:c r="H26" s="19" t="str"/>
    </x:row>
    <x:row r="27" ht="44" customHeight="1">
      <x:c r="A27" s="486" t="str">
        <x:v>CHK-F-22</x:v>
      </x:c>
      <x:c r="B27" s="486" t="str">
        <x:v>PRESALE</x:v>
      </x:c>
      <x:c r="C27" s="486" t="str">
        <x:v>历史SU7 Max下调0.6万</x:v>
      </x:c>
      <x:c r="D27" s="486" t="n">
        <x:v>6000</x:v>
      </x:c>
      <x:c r="E27" s="486" t="n">
        <x:f>'86_预售转正式价'!E8</x:f>
        <x:v>6000</x:v>
      </x:c>
      <x:c r="F27" s="486" t="str">
        <x:f>IF(ABS(E27-D27)&lt;0.01,"PASS","FAIL")</x:f>
        <x:v>PASS</x:v>
      </x:c>
      <x:c r="G27" s="486" t="str">
        <x:v>ERROR</x:v>
      </x:c>
      <x:c r="H27" s="486" t="str"/>
    </x:row>
    <x:row r="28" ht="44" customHeight="1">
      <x:c r="A28" s="19" t="str">
        <x:v>CHK-F-23</x:v>
      </x:c>
      <x:c r="B28" s="19" t="str">
        <x:v>EXPECTED</x:v>
      </x:c>
      <x:c r="C28" s="19" t="str">
        <x:v>Max期望价保持4万差</x:v>
      </x:c>
      <x:c r="D28" s="19" t="n">
        <x:v>40000</x:v>
      </x:c>
      <x:c r="E28" s="19" t="n">
        <x:f>'86_预售转正式价'!C27-'86_预售转正式价'!B27</x:f>
        <x:v>39999.99999999994</x:v>
      </x:c>
      <x:c r="F28" s="19" t="str">
        <x:f>IF(ABS(E28-D28)&lt;0.01,"PASS","FAIL")</x:f>
        <x:v>PASS</x:v>
      </x:c>
      <x:c r="G28" s="19" t="str">
        <x:v>ERROR</x:v>
      </x:c>
      <x:c r="H28" s="19" t="str"/>
    </x:row>
    <x:row r="29" ht="44" customHeight="1">
      <x:c r="A29" s="486" t="str">
        <x:v>CHK-F-24</x:v>
      </x:c>
      <x:c r="B29" s="486" t="str">
        <x:v>EXPECTED</x:v>
      </x:c>
      <x:c r="C29" s="486" t="str">
        <x:v>升顶情景均值34.59万</x:v>
      </x:c>
      <x:c r="D29" s="486" t="n">
        <x:v>345900</x:v>
      </x:c>
      <x:c r="E29" s="486" t="n">
        <x:f>'91_情景敏感性'!B12</x:f>
        <x:v>345900</x:v>
      </x:c>
      <x:c r="F29" s="486" t="str">
        <x:f>IF(ABS(E29-D29)&lt;0.01,"PASS","FAIL")</x:f>
        <x:v>PASS</x:v>
      </x:c>
      <x:c r="G29" s="486" t="str">
        <x:v>ERROR</x:v>
      </x:c>
      <x:c r="H29" s="486" t="str"/>
    </x:row>
    <x:row r="30" ht="44" customHeight="1">
      <x:c r="A30" s="19" t="str">
        <x:v>CHK-F-25</x:v>
      </x:c>
      <x:c r="B30" s="19" t="str">
        <x:v>CONFIG</x:v>
      </x:c>
      <x:c r="C30" s="19" t="str">
        <x:v>四节点严格标配0/9/8/0</x:v>
      </x:c>
      <x:c r="D30" s="19" t="n">
        <x:v>1</x:v>
      </x:c>
      <x:c r="E30" s="19" t="n">
        <x:f>IF(AND('93_最终签核'!B10=0,'93_最终签核'!C10=9,'93_最终签核'!D10=8,'93_最终签核'!E10=0),1,0)</x:f>
        <x:v>1</x:v>
      </x:c>
      <x:c r="F30" s="19" t="str">
        <x:f>IF(ABS(E30-D30)&lt;0.01,"PASS","FAIL")</x:f>
        <x:v>PASS</x:v>
      </x:c>
      <x:c r="G30" s="19" t="str">
        <x:v>ERROR</x:v>
      </x:c>
      <x:c r="H30" s="19" t="str"/>
    </x:row>
    <x:row r="31" ht="44" customHeight="1">
      <x:c r="A31" s="486" t="str">
        <x:v>CHK-F-26</x:v>
      </x:c>
      <x:c r="B31" s="486" t="str">
        <x:v>POOL</x:v>
      </x:c>
      <x:c r="C31" s="486" t="str">
        <x:v>N90明确选装6项</x:v>
      </x:c>
      <x:c r="D31" s="486" t="n">
        <x:v>6</x:v>
      </x:c>
      <x:c r="E31" s="486" t="n">
        <x:f>COUNTIFS('90_选装附件边界'!B6:B22,"N90 Max",'90_选装附件边界'!C6:C22,"OPTION")</x:f>
        <x:v>6</x:v>
      </x:c>
      <x:c r="F31" s="486" t="str">
        <x:f>IF(ABS(E31-D31)&lt;0.01,"PASS","FAIL")</x:f>
        <x:v>PASS</x:v>
      </x:c>
      <x:c r="G31" s="486" t="str">
        <x:v>ERROR</x:v>
      </x:c>
      <x:c r="H31" s="486" t="str"/>
    </x:row>
    <x:row r="32" ht="44" customHeight="1">
      <x:c r="A32" s="19" t="str">
        <x:v>CHK-F-27</x:v>
      </x:c>
      <x:c r="B32" s="19" t="str">
        <x:v>POOL</x:v>
      </x:c>
      <x:c r="C32" s="19" t="str">
        <x:v>N90明确附件6项</x:v>
      </x:c>
      <x:c r="D32" s="19" t="n">
        <x:v>6</x:v>
      </x:c>
      <x:c r="E32" s="19" t="n">
        <x:f>COUNTIFS('90_选装附件边界'!B6:B22,"N90 Max",'90_选装附件边界'!C6:C22,"ACCESSORY")</x:f>
        <x:v>6</x:v>
      </x:c>
      <x:c r="F32" s="19" t="str">
        <x:f>IF(ABS(E32-D32)&lt;0.01,"PASS","FAIL")</x:f>
        <x:v>PASS</x:v>
      </x:c>
      <x:c r="G32" s="19" t="str">
        <x:v>ERROR</x:v>
      </x:c>
      <x:c r="H32" s="19" t="str"/>
    </x:row>
    <x:row r="33" ht="44" customHeight="1">
      <x:c r="A33" s="486" t="str">
        <x:v>CHK-F-28</x:v>
      </x:c>
      <x:c r="B33" s="486" t="str">
        <x:v>GATE</x:v>
      </x:c>
      <x:c r="C33" s="486" t="str">
        <x:v>正式官方价标志为0</x:v>
      </x:c>
      <x:c r="D33" s="486" t="n">
        <x:v>0</x:v>
      </x:c>
      <x:c r="E33" s="486" t="n">
        <x:f>COUNTIF('87_商业定价合成'!M6:M9,"TRUE")</x:f>
        <x:v>0</x:v>
      </x:c>
      <x:c r="F33" s="486" t="str">
        <x:f>IF(ABS(E33-D33)&lt;0.01,"PASS","FAIL")</x:f>
        <x:v>PASS</x:v>
      </x:c>
      <x:c r="G33" s="486" t="str">
        <x:v>ERROR</x:v>
      </x:c>
      <x:c r="H33" s="486" t="str"/>
    </x:row>
    <x:row r="34" ht="44" customHeight="1">
      <x:c r="A34" s="19" t="str">
        <x:v>CHK-F-29</x:v>
      </x:c>
      <x:c r="B34" s="19" t="str">
        <x:v>GATE</x:v>
      </x:c>
      <x:c r="C34" s="19" t="str">
        <x:v>候选节点2个</x:v>
      </x:c>
      <x:c r="D34" s="19" t="n">
        <x:v>2</x:v>
      </x:c>
      <x:c r="E34" s="19" t="n">
        <x:f>COUNTIF('87_商业定价合成'!C6:C9,"REGULATORY_ONLY_CANDIDATE")+COUNTIF('87_商业定价合成'!C6:C9,"HOMOLOGATED_NOT_COMMERCIALIZED")</x:f>
        <x:v>2</x:v>
      </x:c>
      <x:c r="F34" s="19" t="str">
        <x:f>IF(ABS(E34-D34)&lt;0.01,"PASS","FAIL")</x:f>
        <x:v>PASS</x:v>
      </x:c>
      <x:c r="G34" s="19" t="str">
        <x:v>ERROR</x:v>
      </x:c>
      <x:c r="H34" s="19" t="str"/>
    </x:row>
    <x:row r="35" ht="44" customHeight="1">
      <x:c r="A35" s="486" t="str">
        <x:v>CHK-F-30</x:v>
      </x:c>
      <x:c r="B35" s="486" t="str">
        <x:v>RANGE</x:v>
      </x:c>
      <x:c r="C35" s="486" t="str">
        <x:v>所有点在区间内</x:v>
      </x:c>
      <x:c r="D35" s="486" t="n">
        <x:v>4</x:v>
      </x:c>
      <x:c r="E35" s="486" t="n">
        <x:f>SUM(IF(AND('87_商业定价合成'!G6&gt;='87_商业定价合成'!F6,'87_商业定价合成'!G6&lt;='87_商业定价合成'!H6),1,0),IF(AND('87_商业定价合成'!G7&gt;='87_商业定价合成'!F7,'87_商业定价合成'!G7&lt;='87_商业定价合成'!H7),1,0),IF(AND('87_商业定价合成'!G8&gt;='87_商业定价合成'!F8,'87_商业定价合成'!G8&lt;='87_商业定价合成'!H8),1,0),IF(AND('87_商业定价合成'!G9&gt;='87_商业定价合成'!F9,'87_商业定价合成'!G9&lt;='87_商业定价合成'!H9),1,0))</x:f>
        <x:v>4</x:v>
      </x:c>
      <x:c r="F35" s="486" t="str">
        <x:f>IF(ABS(E35-D35)&lt;0.01,"PASS","FAIL")</x:f>
        <x:v>PASS</x:v>
      </x:c>
      <x:c r="G35" s="486" t="str">
        <x:v>ERROR</x:v>
      </x:c>
      <x:c r="H35" s="486" t="str"/>
    </x:row>
    <x:row r="38" ht="44" customHeight="1">
      <x:c r="A38" s="19" t="str">
        <x:v>校验项总数</x:v>
      </x:c>
      <x:c r="B38" s="19" t="n">
        <x:v>30</x:v>
      </x:c>
      <x:c r="C38" s="19" t="str"/>
      <x:c r="D38" s="19" t="str"/>
      <x:c r="E38" s="19" t="str"/>
      <x:c r="F38" s="19" t="str"/>
      <x:c r="G38" s="19" t="str"/>
      <x:c r="H38" s="19" t="str"/>
    </x:row>
    <x:row r="39" ht="44" customHeight="1">
      <x:c r="A39" s="486" t="str">
        <x:v>FAIL数量</x:v>
      </x:c>
      <x:c r="B39" s="486" t="n">
        <x:f>COUNTIF(F6:F35,"FAIL")</x:f>
        <x:v>0</x:v>
      </x:c>
      <x:c r="C39" s="486" t="str"/>
      <x:c r="D39" s="486" t="str"/>
      <x:c r="E39" s="486" t="str"/>
      <x:c r="F39" s="486" t="str"/>
      <x:c r="G39" s="486" t="str"/>
      <x:c r="H39" s="486" t="str"/>
    </x:row>
    <x:row r="40" ht="44" customHeight="1">
      <x:c r="A40" s="19" t="str">
        <x:v>公式错误（导出后独立扫描）</x:v>
      </x:c>
      <x:c r="B40" s="19" t="n">
        <x:v>0</x:v>
      </x:c>
      <x:c r="C40" s="19" t="str"/>
      <x:c r="D40" s="19" t="str"/>
      <x:c r="E40" s="19" t="str"/>
      <x:c r="F40" s="19" t="str"/>
      <x:c r="G40" s="19" t="str"/>
      <x:c r="H40" s="19" t="str"/>
    </x:row>
    <x:row r="41" ht="44" customHeight="1">
      <x:c r="A41" s="486" t="str">
        <x:v>B1成本公式价格倒推违规</x:v>
      </x:c>
      <x:c r="B41" s="486" t="n">
        <x:v>0</x:v>
      </x:c>
      <x:c r="C41" s="486" t="str"/>
      <x:c r="D41" s="486" t="str"/>
      <x:c r="E41" s="486" t="str"/>
      <x:c r="F41" s="486" t="str"/>
      <x:c r="G41" s="486" t="str"/>
      <x:c r="H41" s="486" t="str"/>
    </x:row>
    <x:row r="42" ht="44" customHeight="1">
      <x:c r="A42" s="19" t="str">
        <x:v>正式官方价桥</x:v>
      </x:c>
      <x:c r="B42" s="19" t="n">
        <x:v>0</x:v>
      </x:c>
      <x:c r="C42" s="19" t="str"/>
      <x:c r="D42" s="19" t="str"/>
      <x:c r="E42" s="19" t="str"/>
      <x:c r="F42" s="19" t="str"/>
      <x:c r="G42" s="19" t="str"/>
      <x:c r="H42" s="19" t="str"/>
    </x:row>
    <x:row r="43" ht="44" customHeight="1">
      <x:c r="A43" s="486" t="str">
        <x:v>最终状态</x:v>
      </x:c>
      <x:c r="B43" s="486" t="str">
        <x:f>IF(AND(B39=0,B40=0,B41=0,B42=0),"READY_FINAL_FORECAST","REVIEW_REQUIRED")</x:f>
        <x:v>READY_FINAL_FORECAST</x:v>
      </x:c>
      <x:c r="C43" s="486" t="str"/>
      <x:c r="D43" s="486" t="str"/>
      <x:c r="E43" s="486" t="str"/>
      <x:c r="F43" s="486" t="str"/>
      <x:c r="G43" s="486" t="str"/>
      <x:c r="H43" s="486" t="str"/>
    </x:row>
  </x:sheetData>
  <x:mergeCells>
    <x:mergeCell ref="A1:H1"/>
    <x:mergeCell ref="A2:H2"/>
    <x:mergeCell ref="A3:H3"/>
  </x:mergeCells>
  <x:conditionalFormatting sqref="F6:G35">
    <x:cfRule type="containsText" dxfId="2223" priority="1" operator="containsText" text="PASS"/>
    <x:cfRule type="containsText" dxfId="2224" priority="2" operator="containsText" text="READY"/>
    <x:cfRule type="containsText" dxfId="2225" priority="3" operator="containsText" text="LOCKED"/>
    <x:cfRule type="containsText" dxfId="2226" priority="4" operator="containsText" text="OFFICIAL"/>
    <x:cfRule type="containsText" dxfId="2227" priority="5" operator="containsText" text="STRICT"/>
    <x:cfRule type="containsText" dxfId="2228" priority="6" operator="containsText" text="MODE"/>
    <x:cfRule type="containsText" dxfId="2229" priority="7" operator="containsText" text="PROVISIONAL"/>
    <x:cfRule type="containsText" dxfId="2230" priority="8" operator="containsText" text="SCENARIO"/>
    <x:cfRule type="containsText" dxfId="2231" priority="9" operator="containsText" text="HOLD"/>
    <x:cfRule type="containsText" dxfId="2232" priority="10" operator="containsText" text="CANDIDATE"/>
    <x:cfRule type="containsText" dxfId="2233" priority="11" operator="containsText" text="FORECAST"/>
    <x:cfRule type="containsText" dxfId="2234" priority="12" operator="containsText" text="LOW_CONFIDENCE"/>
    <x:cfRule type="containsText" dxfId="2235" priority="13" operator="containsText" text="BLOCKED"/>
    <x:cfRule type="containsText" dxfId="2236" priority="14" operator="containsText" text="FAIL"/>
    <x:cfRule type="containsText" dxfId="2237" priority="15" operator="containsText" text="FALSE"/>
    <x:cfRule type="containsText" dxfId="2238" priority="16" operator="containsText" text="EXCLUDED"/>
    <x:cfRule type="containsText" dxfId="2239" priority="17" operator="containsText" text="ACCESSORY"/>
    <x:cfRule type="containsText" dxfId="2240" priority="18" operator="containsText" text="OPTION"/>
    <x:cfRule type="containsText" dxfId="2241" priority="19" operator="containsText" text="ENGINEERING"/>
    <x:cfRule type="containsText" dxfId="2242" priority="20" operator="containsText" text="REGULATORY"/>
    <x:cfRule type="containsText" dxfId="2243" priority="21" operator="containsText" text="CONDITIONAL"/>
  </x:conditionalFormatting>
  <x:conditionalFormatting sqref="B38:B43">
    <x:cfRule type="containsText" dxfId="2244" priority="22" operator="containsText" text="PASS"/>
    <x:cfRule type="containsText" dxfId="2245" priority="23" operator="containsText" text="READY"/>
    <x:cfRule type="containsText" dxfId="2246" priority="24" operator="containsText" text="LOCKED"/>
    <x:cfRule type="containsText" dxfId="2247" priority="25" operator="containsText" text="OFFICIAL"/>
    <x:cfRule type="containsText" dxfId="2248" priority="26" operator="containsText" text="STRICT"/>
    <x:cfRule type="containsText" dxfId="2249" priority="27" operator="containsText" text="MODE"/>
    <x:cfRule type="containsText" dxfId="2250" priority="28" operator="containsText" text="PROVISIONAL"/>
    <x:cfRule type="containsText" dxfId="2251" priority="29" operator="containsText" text="SCENARIO"/>
    <x:cfRule type="containsText" dxfId="2252" priority="30" operator="containsText" text="HOLD"/>
    <x:cfRule type="containsText" dxfId="2253" priority="31" operator="containsText" text="CANDIDATE"/>
    <x:cfRule type="containsText" dxfId="2254" priority="32" operator="containsText" text="FORECAST"/>
    <x:cfRule type="containsText" dxfId="2255" priority="33" operator="containsText" text="LOW_CONFIDENCE"/>
    <x:cfRule type="containsText" dxfId="2256" priority="34" operator="containsText" text="BLOCKED"/>
    <x:cfRule type="containsText" dxfId="2257" priority="35" operator="containsText" text="FAIL"/>
    <x:cfRule type="containsText" dxfId="2258" priority="36" operator="containsText" text="FALSE"/>
    <x:cfRule type="containsText" dxfId="2259" priority="37" operator="containsText" text="EXCLUDED"/>
    <x:cfRule type="containsText" dxfId="2260" priority="38" operator="containsText" text="ACCESSORY"/>
    <x:cfRule type="containsText" dxfId="2261" priority="39" operator="containsText" text="OPTION"/>
    <x:cfRule type="containsText" dxfId="2262" priority="40" operator="containsText" text="ENGINEERING"/>
    <x:cfRule type="containsText" dxfId="2263" priority="41" operator="containsText" text="REGULATORY"/>
    <x:cfRule type="containsText" dxfId="2264" priority="42" operator="containsText" text="CONDITIONAL"/>
  </x:conditionalFormatting>
  <x:pageMargins left="0.7" right="0.7" top="0.75" bottom="0.75" header="0.3" footer="0.3"/>
</x:worksheet>
</file>

<file path=xl/worksheets/sheet9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18" hidden="0" customWidth="1"/>
    <x:col min="3" max="3" width="20" hidden="0" customWidth="1"/>
    <x:col min="4" max="4" width="32" hidden="0" customWidth="1"/>
    <x:col min="5" max="5" width="20" hidden="0" customWidth="1"/>
    <x:col min="6" max="6" width="18" hidden="0" customWidth="1"/>
    <x:col min="7" max="7" width="18" hidden="0" customWidth="1"/>
    <x:col min="8" max="8" width="18" hidden="0" customWidth="1"/>
    <x:col min="9" max="9" width="38" hidden="0" customWidth="1"/>
    <x:col min="10" max="10" width="25" hidden="0" customWidth="1"/>
    <x:col min="11" max="11" width="13" hidden="0" customWidth="1"/>
    <x:col min="12" max="12" width="42" hidden="0" customWidth="1"/>
  </x:cols>
  <x:sheetData>
    <x:row r="1" ht="30" customHeight="1">
      <x:c r="A1" s="508" t="str">
        <x:v>95｜Phase 3.3A：预售转正式价的尾部分布重估</x:v>
      </x:c>
      <x:c r="B1" s="508"/>
      <x:c r="C1" s="508"/>
      <x:c r="D1" s="508"/>
      <x:c r="E1" s="508"/>
      <x:c r="F1" s="508"/>
      <x:c r="G1" s="508"/>
      <x:c r="H1" s="508"/>
      <x:c r="I1" s="508"/>
      <x:c r="J1" s="508"/>
      <x:c r="K1" s="508"/>
      <x:c r="L1" s="508"/>
    </x:row>
    <x:row r="2" ht="22" customHeight="1">
      <x:c r="A2" s="511" t="str">
        <x:v>纠正旧模型的右截尾｜同版现金价 × 竞品压力 × 供应链降本 × 非对称定价</x:v>
      </x:c>
      <x:c r="B2" s="511"/>
      <x:c r="C2" s="511"/>
      <x:c r="D2" s="511"/>
      <x:c r="E2" s="511"/>
      <x:c r="F2" s="511"/>
      <x:c r="G2" s="511"/>
      <x:c r="H2" s="511"/>
      <x:c r="I2" s="511"/>
      <x:c r="J2" s="511"/>
      <x:c r="K2" s="511"/>
      <x:c r="L2" s="511"/>
    </x:row>
    <x:row r="3" ht="76" customHeight="1">
      <x:c r="A3" s="515" t="str">
        <x:v>结论先行：正式价下降超过1万元不但有概率，而且N90已进入中央概率区。旧86—88表仅保留历史审计价值；本阶段95—101表取代其中的“售价结论”，配置边界与工程BOM仍沿用原签核。所有权重是可审计的决策概率，不是统计频率或置信区间。</x:v>
      </x:c>
      <x:c r="B3" s="515"/>
      <x:c r="C3" s="515"/>
      <x:c r="D3" s="515"/>
      <x:c r="E3" s="515"/>
      <x:c r="F3" s="515"/>
      <x:c r="G3" s="515"/>
      <x:c r="H3" s="515"/>
      <x:c r="I3" s="515"/>
      <x:c r="J3" s="515"/>
      <x:c r="K3" s="515"/>
      <x:c r="L3" s="515"/>
    </x:row>
    <x:row r="5" ht="54" customHeight="1">
      <x:c r="A5" s="520" t="str">
        <x:v>rule_id</x:v>
      </x:c>
      <x:c r="B5" s="520" t="str">
        <x:v>问题/层</x:v>
      </x:c>
      <x:c r="C5" s="520" t="str">
        <x:v>旧处理</x:v>
      </x:c>
      <x:c r="D5" s="520" t="str">
        <x:v>本阶段处理</x:v>
      </x:c>
      <x:c r="E5" s="520" t="str">
        <x:v>N70影响</x:v>
      </x:c>
      <x:c r="F5" s="520" t="str">
        <x:v>N90影响</x:v>
      </x:c>
      <x:c r="G5" s="520" t="str">
        <x:v>状态</x:v>
      </x:c>
      <x:c r="H5" s="520" t="str">
        <x:v>证据层</x:v>
      </x:c>
      <x:c r="I5" s="520" t="str">
        <x:v>可以说</x:v>
      </x:c>
      <x:c r="J5" s="520" t="str">
        <x:v>不能说</x:v>
      </x:c>
      <x:c r="K5" s="520" t="str">
        <x:v>动态触发</x:v>
      </x:c>
      <x:c r="L5" s="520" t="str">
        <x:v>来源/回链</x:v>
      </x:c>
    </x:row>
    <x:row r="6" ht="62" customHeight="1">
      <x:c r="A6" s="19" t="str">
        <x:v>R-33A-01</x:v>
      </x:c>
      <x:c r="B6" s="19" t="str">
        <x:v>分布截尾</x:v>
      </x:c>
      <x:c r="C6" s="19" t="str">
        <x:v>只放0 / -0.6 / -1万元</x:v>
      </x:c>
      <x:c r="D6" s="19" t="str">
        <x:v>加入-2 / -3 / ≥-4万元开放尾部</x:v>
      </x:c>
      <x:c r="E6" s="19" t="str">
        <x:v>P(降幅&gt;1万)=38%</x:v>
      </x:c>
      <x:c r="F6" s="19" t="str">
        <x:v>P(降幅&gt;1万)=65%</x:v>
      </x:c>
      <x:c r="G6" s="19" t="str">
        <x:v>CORRECTED</x:v>
      </x:c>
      <x:c r="H6" s="19" t="str">
        <x:v>案例+竞品</x:v>
      </x:c>
      <x:c r="I6" s="19" t="str">
        <x:v>大降价是真实可行状态</x:v>
      </x:c>
      <x:c r="J6" s="19" t="str">
        <x:v>历史案例占比就是澎程概率</x:v>
      </x:c>
      <x:c r="K6" s="19" t="str">
        <x:v>正式价格卡/订单转化</x:v>
      </x:c>
      <x:c r="L6" s="19" t="str">
        <x:v>96/98表</x:v>
      </x:c>
    </x:row>
    <x:row r="7" ht="62" customHeight="1">
      <x:c r="A7" s="521" t="str">
        <x:v>R-33A-02</x:v>
      </x:c>
      <x:c r="B7" s="521" t="str">
        <x:v>现金价与权益</x:v>
      </x:c>
      <x:c r="C7" s="521" t="str">
        <x:v>混合风险</x:v>
      </x:c>
      <x:c r="D7" s="521" t="str">
        <x:v>正式现金指导价、限时权益、BaaS、新增低配分栏</x:v>
      </x:c>
      <x:c r="E7" s="521" t="str">
        <x:v>现金众数24.99万</x:v>
      </x:c>
      <x:c r="F7" s="521" t="str">
        <x:v>现金众数27.99万</x:v>
      </x:c>
      <x:c r="G7" s="521" t="str">
        <x:v>LOCKED_METHOD</x:v>
      </x:c>
      <x:c r="H7" s="521" t="str">
        <x:v>价格口径</x:v>
      </x:c>
      <x:c r="I7" s="521" t="str">
        <x:v>权益可另算有效购车成本</x:v>
      </x:c>
      <x:c r="J7" s="521" t="str">
        <x:v>把赠品/金融贴息直接减指导价</x:v>
      </x:c>
      <x:c r="K7" s="521" t="str">
        <x:v>官方权益细则</x:v>
      </x:c>
      <x:c r="L7" s="521" t="str">
        <x:v>02_价格时点与权益口径</x:v>
      </x:c>
    </x:row>
    <x:row r="8" ht="62" customHeight="1">
      <x:c r="A8" s="19" t="str">
        <x:v>R-33A-03</x:v>
      </x:c>
      <x:c r="B8" s="19" t="str">
        <x:v>案例独立性</x:v>
      </x:c>
      <x:c r="C8" s="19" t="str">
        <x:v>SU7三版本近似三次观察</x:v>
      </x:c>
      <x:c r="D8" s="19" t="str">
        <x:v>同一发布会只算一个决策事件</x:v>
      </x:c>
      <x:c r="E8" s="19" t="str">
        <x:v>SU7只作品牌习惯锚</x:v>
      </x:c>
      <x:c r="F8" s="19" t="str">
        <x:v>不机械复制SU7 Max</x:v>
      </x:c>
      <x:c r="G8" s="19" t="str">
        <x:v>CORRECTED</x:v>
      </x:c>
      <x:c r="H8" s="19" t="str">
        <x:v>事件级</x:v>
      </x:c>
      <x:c r="I8" s="19" t="str">
        <x:v>同版案例证明尾部存在</x:v>
      </x:c>
      <x:c r="J8" s="19" t="str">
        <x:v>把同车五个版本当五次独立样本</x:v>
      </x:c>
      <x:c r="K8" s="19" t="str">
        <x:v>新增同版案例</x:v>
      </x:c>
      <x:c r="L8" s="19" t="str">
        <x:v>96表</x:v>
      </x:c>
    </x:row>
    <x:row r="9" ht="62" customHeight="1">
      <x:c r="A9" s="521" t="str">
        <x:v>R-33A-04</x:v>
      </x:c>
      <x:c r="B9" s="521" t="str">
        <x:v>案例选择偏差</x:v>
      </x:c>
      <x:c r="C9" s="521" t="str">
        <x:v>未明确</x:v>
      </x:c>
      <x:c r="D9" s="521" t="str">
        <x:v>案例库刻意覆盖大降价，频率不外推</x:v>
      </x:c>
      <x:c r="E9" s="521" t="str">
        <x:v>概率由自身竞品校准</x:v>
      </x:c>
      <x:c r="F9" s="521" t="str">
        <x:v>概率由自身竞品校准</x:v>
      </x:c>
      <x:c r="G9" s="521" t="str">
        <x:v>LOCKED_METHOD</x:v>
      </x:c>
      <x:c r="H9" s="521" t="str">
        <x:v>方法</x:v>
      </x:c>
      <x:c r="I9" s="521" t="str">
        <x:v>用案例设可行区间</x:v>
      </x:c>
      <x:c r="J9" s="521" t="str">
        <x:v>用案例样本比例估计概率</x:v>
      </x:c>
      <x:c r="K9" s="521" t="str">
        <x:v>扩大全市场无偏样本</x:v>
      </x:c>
      <x:c r="L9" s="521" t="str">
        <x:v>96表</x:v>
      </x:c>
    </x:row>
    <x:row r="10" ht="62" customHeight="1">
      <x:c r="A10" s="19" t="str">
        <x:v>R-33A-05</x:v>
      </x:c>
      <x:c r="B10" s="19" t="str">
        <x:v>心理价格网格</x:v>
      </x:c>
      <x:c r="C10" s="19" t="str">
        <x:v>25.39 / 29.39也作中心</x:v>
      </x:c>
      <x:c r="D10" s="19" t="str">
        <x:v>优先x.99；0.6万仅保留SU7式特殊围栏</x:v>
      </x:c>
      <x:c r="E10" s="19" t="str">
        <x:v>24.99 / 23.99 / 22.99</x:v>
      </x:c>
      <x:c r="F10" s="19" t="str">
        <x:v>28.99 / 27.99 / 26.99</x:v>
      </x:c>
      <x:c r="G10" s="19" t="str">
        <x:v>UPDATED</x:v>
      </x:c>
      <x:c r="H10" s="19" t="str">
        <x:v>商业规则</x:v>
      </x:c>
      <x:c r="I10" s="19" t="str">
        <x:v>1.5/2.5万可由现金+权益实现</x:v>
      </x:c>
      <x:c r="J10" s="19" t="str">
        <x:v>假设每个降幅都形成x.49指导价</x:v>
      </x:c>
      <x:c r="K10" s="19" t="str">
        <x:v>正式价格卡</x:v>
      </x:c>
      <x:c r="L10" s="19" t="str">
        <x:v>98表</x:v>
      </x:c>
    </x:row>
    <x:row r="11" ht="62" customHeight="1">
      <x:c r="A11" s="521" t="str">
        <x:v>R-33A-06</x:v>
      </x:c>
      <x:c r="B11" s="521" t="str">
        <x:v>竞争非对称</x:v>
      </x:c>
      <x:c r="C11" s="521" t="str">
        <x:v>两款Max同幅下降</x:v>
      </x:c>
      <x:c r="D11" s="521" t="str">
        <x:v>N90面对27.98万价群，降幅可多1万</x:v>
      </x:c>
      <x:c r="E11" s="521" t="str">
        <x:v>最干净锚为新理想L6 24.98万</x:v>
      </x:c>
      <x:c r="F11" s="521" t="str">
        <x:v>最干净锚为L90/GX约27.98万</x:v>
      </x:c>
      <x:c r="G11" s="521" t="str">
        <x:v>UPDATED</x:v>
      </x:c>
      <x:c r="H11" s="521" t="str">
        <x:v>官方竞品</x:v>
      </x:c>
      <x:c r="I11" s="521" t="str">
        <x:v>24.99/27.99是最连贯联合众数</x:v>
      </x:c>
      <x:c r="J11" s="521" t="str">
        <x:v>强行保持4万元梯度</x:v>
      </x:c>
      <x:c r="K11" s="521" t="str">
        <x:v>竞品现金调价</x:v>
      </x:c>
      <x:c r="L11" s="521" t="str">
        <x:v>97/99表</x:v>
      </x:c>
    </x:row>
    <x:row r="12" ht="62" customHeight="1">
      <x:c r="A12" s="19" t="str">
        <x:v>R-33A-07</x:v>
      </x:c>
      <x:c r="B12" s="19" t="str">
        <x:v>供应链降本</x:v>
      </x:c>
      <x:c r="C12" s="19" t="str">
        <x:v>只粗略用SU7/YU7映射</x:v>
      </x:c>
      <x:c r="D12" s="19" t="str">
        <x:v>只提高大降价权重，不直接倒推售价</x:v>
      </x:c>
      <x:c r="E12" s="19" t="str">
        <x:v>支持23.99厚尾</x:v>
      </x:c>
      <x:c r="F12" s="19" t="str">
        <x:v>支持27.99众数</x:v>
      </x:c>
      <x:c r="G12" s="19" t="str">
        <x:v>PROVISIONAL</x:v>
      </x:c>
      <x:c r="H12" s="19" t="str">
        <x:v>工程+供应链</x:v>
      </x:c>
      <x:c r="I12" s="19" t="str">
        <x:v>多模块降本改变可承受区间</x:v>
      </x:c>
      <x:c r="J12" s="19" t="str">
        <x:v>一个电池供应商变化等于固定降价</x:v>
      </x:c>
      <x:c r="K12" s="19" t="str">
        <x:v>新增BOM报价/供应商确认</x:v>
      </x:c>
      <x:c r="L12" s="19" t="str">
        <x:v>85/67/76表</x:v>
      </x:c>
    </x:row>
    <x:row r="13" ht="62" customHeight="1">
      <x:c r="A13" s="521" t="str">
        <x:v>R-33A-08</x:v>
      </x:c>
      <x:c r="B13" s="521" t="str">
        <x:v>N70低阶候选</x:v>
      </x:c>
      <x:c r="C13" s="521" t="str">
        <x:v>固定Max-4万</x:v>
      </x:c>
      <x:c r="D13" s="521" t="str">
        <x:v>Max降至23.99时触及19.99；更低则压缩梯度或取消</x:v>
      </x:c>
      <x:c r="E13" s="521" t="str">
        <x:v>19.99为当前商业下沿</x:v>
      </x:c>
      <x:c r="F13" s="521" t="str">
        <x:v>不适用</x:v>
      </x:c>
      <x:c r="G13" s="521" t="str">
        <x:v>CONDITIONAL</x:v>
      </x:c>
      <x:c r="H13" s="521" t="str">
        <x:v>监管+商业</x:v>
      </x:c>
      <x:c r="I13" s="521" t="str">
        <x:v>只在商品化条件下输出</x:v>
      </x:c>
      <x:c r="J13" s="521" t="str">
        <x:v>称已发布正式版本</x:v>
      </x:c>
      <x:c r="K13" s="521" t="str">
        <x:v>独立商品卡</x:v>
      </x:c>
      <x:c r="L13" s="521" t="str">
        <x:v>99表</x:v>
      </x:c>
    </x:row>
    <x:row r="14" ht="62" customHeight="1">
      <x:c r="A14" s="19" t="str">
        <x:v>R-33A-09</x:v>
      </x:c>
      <x:c r="B14" s="19" t="str">
        <x:v>N90升顶候选</x:v>
      </x:c>
      <x:c r="C14" s="19" t="str">
        <x:v>旧模型加5万至33.99</x:v>
      </x:c>
      <x:c r="D14" s="19" t="str">
        <x:v>机械升顶按约+2万，且29.99为当前特殊版下沿</x:v>
      </x:c>
      <x:c r="E14" s="19" t="str">
        <x:v>不适用</x:v>
      </x:c>
      <x:c r="F14" s="19" t="str">
        <x:v>中央候选29.99万</x:v>
      </x:c>
      <x:c r="G14" s="19" t="str">
        <x:v>CORRECTED</x:v>
      </x:c>
      <x:c r="H14" s="19" t="str">
        <x:v>结构事实+商业</x:v>
      </x:c>
      <x:c r="I14" s="19" t="str">
        <x:v>不能睡车顶，不按露营舱计价</x:v>
      </x:c>
      <x:c r="J14" s="19" t="str">
        <x:v>恢复33.99万旧中心</x:v>
      </x:c>
      <x:c r="K14" s="19" t="str">
        <x:v>独立商品卡/机构披露</x:v>
      </x:c>
      <x:c r="L14" s="19" t="str">
        <x:v>99表</x:v>
      </x:c>
    </x:row>
    <x:row r="15" ht="62" customHeight="1">
      <x:c r="A15" s="521" t="str">
        <x:v>R-33A-10</x:v>
      </x:c>
      <x:c r="B15" s="521" t="str">
        <x:v>阶段覆盖</x:v>
      </x:c>
      <x:c r="C15" s="521" t="str">
        <x:v>84—94为旧最终合成</x:v>
      </x:c>
      <x:c r="D15" s="521" t="str">
        <x:v>95—101覆盖价格层，保留旧表供审计</x:v>
      </x:c>
      <x:c r="E15" s="521" t="str">
        <x:v>配置结论不变</x:v>
      </x:c>
      <x:c r="F15" s="521" t="str">
        <x:v>配置结论不变</x:v>
      </x:c>
      <x:c r="G15" s="521" t="str">
        <x:v>SUPERSEDED_PRICE_ONLY</x:v>
      </x:c>
      <x:c r="H15" s="521" t="str">
        <x:v>审计链</x:v>
      </x:c>
      <x:c r="I15" s="521" t="str">
        <x:v>旧结论为何改变可追溯</x:v>
      </x:c>
      <x:c r="J15" s="521" t="str">
        <x:v>删掉旧模型痕迹</x:v>
      </x:c>
      <x:c r="K15" s="521" t="str">
        <x:v>下一轮正式价</x:v>
      </x:c>
      <x:c r="L15" s="521" t="str">
        <x:v>00/84—101表</x:v>
      </x:c>
    </x:row>
    <x:row r="18" ht="24" customHeight="1">
      <x:c r="A18" s="524" t="str">
        <x:v>当前结论快照（价格为含VAT正式现金指导价预测）</x:v>
      </x:c>
      <x:c r="B18" s="524"/>
      <x:c r="C18" s="524"/>
      <x:c r="D18" s="524"/>
      <x:c r="E18" s="524"/>
      <x:c r="F18" s="524"/>
      <x:c r="G18" s="524"/>
      <x:c r="H18" s="524"/>
      <x:c r="I18" s="524"/>
      <x:c r="J18" s="524"/>
      <x:c r="K18" s="524"/>
      <x:c r="L18" s="524"/>
    </x:row>
    <x:row r="19" ht="48" customHeight="1">
      <x:c r="A19" s="520" t="str">
        <x:v>节点</x:v>
      </x:c>
      <x:c r="B19" s="520" t="str">
        <x:v>官方预售</x:v>
      </x:c>
      <x:c r="C19" s="520" t="str">
        <x:v>旧众数</x:v>
      </x:c>
      <x:c r="D19" s="520" t="str">
        <x:v>新众数</x:v>
      </x:c>
      <x:c r="E19" s="520" t="str">
        <x:v>情景均值/下界</x:v>
      </x:c>
      <x:c r="F19" s="520" t="str">
        <x:v>P(&gt;1万)</x:v>
      </x:c>
      <x:c r="G19" s="520" t="str">
        <x:v>P(≥3万)</x:v>
      </x:c>
      <x:c r="H19" s="520" t="str">
        <x:v>P(≥4万尾部)</x:v>
      </x:c>
      <x:c r="I19" s="520" t="str">
        <x:v>主要竞品锚</x:v>
      </x:c>
      <x:c r="J19" s="520" t="str">
        <x:v>商业状态</x:v>
      </x:c>
      <x:c r="K19" s="520" t="str">
        <x:v>置信</x:v>
      </x:c>
      <x:c r="L19" s="520" t="str">
        <x:v>说明</x:v>
      </x:c>
    </x:row>
    <x:row r="20" ht="58" customHeight="1">
      <x:c r="A20" s="19" t="str">
        <x:v>N70低阶候选</x:v>
      </x:c>
      <x:c r="B20" s="414" t="str"/>
      <x:c r="C20" s="414" t="n">
        <x:v>209900</x:v>
      </x:c>
      <x:c r="D20" s="414" t="n">
        <x:v>209900</x:v>
      </x:c>
      <x:c r="E20" s="414" t="str"/>
      <x:c r="F20" s="23" t="str"/>
      <x:c r="G20" s="23" t="str"/>
      <x:c r="H20" s="23" t="str"/>
      <x:c r="I20" s="19" t="str">
        <x:v>19.99万商业下沿</x:v>
      </x:c>
      <x:c r="J20" s="19" t="str">
        <x:v>CONDITIONAL</x:v>
      </x:c>
      <x:c r="K20" s="19" t="str">
        <x:v>LOW</x:v>
      </x:c>
      <x:c r="L20" s="19" t="str">
        <x:v>N70 Max众数-4万；低于下沿时压缩梯度或不上市</x:v>
      </x:c>
    </x:row>
    <x:row r="21" ht="58" customHeight="1">
      <x:c r="A21" s="521" t="str">
        <x:v>N70 Max</x:v>
      </x:c>
      <x:c r="B21" s="525" t="n">
        <x:v>259900</x:v>
      </x:c>
      <x:c r="C21" s="525" t="n">
        <x:v>249900</x:v>
      </x:c>
      <x:c r="D21" s="525" t="n">
        <x:v>249900</x:v>
      </x:c>
      <x:c r="E21" s="525" t="n">
        <x:v>245980</x:v>
      </x:c>
      <x:c r="F21" s="526" t="n">
        <x:v>0.38</x:v>
      </x:c>
      <x:c r="G21" s="526" t="n">
        <x:v>0.08</x:v>
      </x:c>
      <x:c r="H21" s="526" t="n">
        <x:v>0.01</x:v>
      </x:c>
      <x:c r="I21" s="521" t="str">
        <x:v>新理想L6 24.98万 / 乐道L80 Pro 24.28万</x:v>
      </x:c>
      <x:c r="J21" s="521" t="str">
        <x:v>OFFICIAL_PRESALE</x:v>
      </x:c>
      <x:c r="K21" s="521" t="str">
        <x:v>MEDIUM</x:v>
      </x:c>
      <x:c r="L21" s="521" t="str">
        <x:v>N70仍以降1万为众数，降2万为厚尾</x:v>
      </x:c>
    </x:row>
    <x:row r="22" ht="58" customHeight="1">
      <x:c r="A22" s="19" t="str">
        <x:v>N90 Max</x:v>
      </x:c>
      <x:c r="B22" s="414" t="n">
        <x:v>299900</x:v>
      </x:c>
      <x:c r="C22" s="414" t="n">
        <x:v>289900</x:v>
      </x:c>
      <x:c r="D22" s="414" t="n">
        <x:v>279900</x:v>
      </x:c>
      <x:c r="E22" s="414" t="n">
        <x:v>281460</x:v>
      </x:c>
      <x:c r="F22" s="23" t="n">
        <x:v>0.65</x:v>
      </x:c>
      <x:c r="G22" s="23" t="n">
        <x:v>0.21</x:v>
      </x:c>
      <x:c r="H22" s="23" t="n">
        <x:v>0.03</x:v>
      </x:c>
      <x:c r="I22" s="19" t="str">
        <x:v>乐道L90 / 小鹏GX约27.98万</x:v>
      </x:c>
      <x:c r="J22" s="19" t="str">
        <x:v>OFFICIAL_PRESALE</x:v>
      </x:c>
      <x:c r="K22" s="19" t="str">
        <x:v>MEDIUM</x:v>
      </x:c>
      <x:c r="L22" s="19" t="str">
        <x:v>降2万为新众数；降3万不是黑天鹅</x:v>
      </x:c>
    </x:row>
    <x:row r="23" ht="58" customHeight="1">
      <x:c r="A23" s="521" t="str">
        <x:v>N90升顶候选</x:v>
      </x:c>
      <x:c r="B23" s="525" t="str"/>
      <x:c r="C23" s="525" t="n">
        <x:v>339900</x:v>
      </x:c>
      <x:c r="D23" s="525" t="n">
        <x:v>299900</x:v>
      </x:c>
      <x:c r="E23" s="525" t="str"/>
      <x:c r="F23" s="526" t="str"/>
      <x:c r="G23" s="526" t="str"/>
      <x:c r="H23" s="526" t="str"/>
      <x:c r="I23" s="521" t="str">
        <x:v>机械升顶约+2万且候选下沿29.99万</x:v>
      </x:c>
      <x:c r="J23" s="521" t="str">
        <x:v>CONDITIONAL</x:v>
      </x:c>
      <x:c r="K23" s="521" t="str">
        <x:v>LOW</x:v>
      </x:c>
      <x:c r="L23" s="521" t="str">
        <x:v>旧33.99万中心作废；不能在车顶睡眠</x:v>
      </x:c>
    </x:row>
  </x:sheetData>
  <x:mergeCells>
    <x:mergeCell ref="A1:L1"/>
    <x:mergeCell ref="A2:L2"/>
    <x:mergeCell ref="A3:L3"/>
    <x:mergeCell ref="A18:L18"/>
  </x:mergeCells>
  <x:conditionalFormatting sqref="G6:G15">
    <x:cfRule type="containsText" dxfId="2286" priority="1" operator="containsText" text="PASS"/>
    <x:cfRule type="containsText" dxfId="2287" priority="2" operator="containsText" text="READY"/>
    <x:cfRule type="containsText" dxfId="2288" priority="3" operator="containsText" text="CORE"/>
    <x:cfRule type="containsText" dxfId="2289" priority="4" operator="containsText" text="MODE"/>
    <x:cfRule type="containsText" dxfId="2290" priority="5" operator="containsText" text="OFFICIAL"/>
    <x:cfRule type="containsText" dxfId="2291" priority="6" operator="containsText" text="YES"/>
    <x:cfRule type="containsText" dxfId="2292" priority="7" operator="containsText" text="PROVISIONAL"/>
    <x:cfRule type="containsText" dxfId="2293" priority="8" operator="containsText" text="SCENARIO"/>
    <x:cfRule type="containsText" dxfId="2294" priority="9" operator="containsText" text="CONDITIONAL"/>
    <x:cfRule type="containsText" dxfId="2295" priority="10" operator="containsText" text="TAIL"/>
    <x:cfRule type="containsText" dxfId="2296" priority="11" operator="containsText" text="LIMITED"/>
    <x:cfRule type="containsText" dxfId="2297" priority="12" operator="containsText" text="BaaS"/>
    <x:cfRule type="containsText" dxfId="2298" priority="13" operator="containsText" text="EXCLUDED"/>
    <x:cfRule type="containsText" dxfId="2299" priority="14" operator="containsText" text="NO"/>
    <x:cfRule type="containsText" dxfId="2300" priority="15" operator="containsText" text="BLOCKED"/>
    <x:cfRule type="containsText" dxfId="2301" priority="16" operator="containsText" text="FAIL"/>
    <x:cfRule type="containsText" dxfId="2302" priority="17" operator="containsText" text="SUPERSEDED"/>
  </x:conditionalFormatting>
  <x:conditionalFormatting sqref="J20:K23">
    <x:cfRule type="containsText" dxfId="2303" priority="18" operator="containsText" text="PASS"/>
    <x:cfRule type="containsText" dxfId="2304" priority="19" operator="containsText" text="READY"/>
    <x:cfRule type="containsText" dxfId="2305" priority="20" operator="containsText" text="CORE"/>
    <x:cfRule type="containsText" dxfId="2306" priority="21" operator="containsText" text="MODE"/>
    <x:cfRule type="containsText" dxfId="2307" priority="22" operator="containsText" text="OFFICIAL"/>
    <x:cfRule type="containsText" dxfId="2308" priority="23" operator="containsText" text="YES"/>
    <x:cfRule type="containsText" dxfId="2309" priority="24" operator="containsText" text="PROVISIONAL"/>
    <x:cfRule type="containsText" dxfId="2310" priority="25" operator="containsText" text="SCENARIO"/>
    <x:cfRule type="containsText" dxfId="2311" priority="26" operator="containsText" text="CONDITIONAL"/>
    <x:cfRule type="containsText" dxfId="2312" priority="27" operator="containsText" text="TAIL"/>
    <x:cfRule type="containsText" dxfId="2313" priority="28" operator="containsText" text="LIMITED"/>
    <x:cfRule type="containsText" dxfId="2314" priority="29" operator="containsText" text="BaaS"/>
    <x:cfRule type="containsText" dxfId="2315" priority="30" operator="containsText" text="EXCLUDED"/>
    <x:cfRule type="containsText" dxfId="2316" priority="31" operator="containsText" text="NO"/>
    <x:cfRule type="containsText" dxfId="2317" priority="32" operator="containsText" text="BLOCKED"/>
    <x:cfRule type="containsText" dxfId="2318" priority="33" operator="containsText" text="FAIL"/>
    <x:cfRule type="containsText" dxfId="2319" priority="34" operator="containsText" text="SUPERSEDED"/>
  </x:conditionalFormatting>
  <x:pageMargins left="0.7" right="0.7" top="0.75" bottom="0.75" header="0.3" footer="0.3"/>
</x:worksheet>
</file>

<file path=xl/worksheets/sheet9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" hidden="0" customWidth="1"/>
    <x:col min="2" max="2" width="18" hidden="0" customWidth="1"/>
    <x:col min="3" max="3" width="28" hidden="0" customWidth="1"/>
    <x:col min="4" max="4" width="22" hidden="0" customWidth="1"/>
    <x:col min="5" max="5" width="16" hidden="0" customWidth="1"/>
    <x:col min="6" max="6" width="16" hidden="0" customWidth="1"/>
    <x:col min="7" max="7" width="16" hidden="0" customWidth="1"/>
    <x:col min="8" max="8" width="14" hidden="0" customWidth="1"/>
    <x:col min="9" max="9" width="18" hidden="0" customWidth="1"/>
    <x:col min="10" max="10" width="14" hidden="0" customWidth="1"/>
    <x:col min="11" max="11" width="14" hidden="0" customWidth="1"/>
    <x:col min="12" max="12" width="14" hidden="0" customWidth="1"/>
    <x:col min="13" max="13" width="46" hidden="0" customWidth="1"/>
    <x:col min="14" max="14" width="46" hidden="0" customWidth="1"/>
    <x:col min="15" max="15" width="42" hidden="0" customWidth="1"/>
    <x:col min="16" max="16" width="17" hidden="0" customWidth="1"/>
  </x:cols>
  <x:sheetData>
    <x:row r="1" ht="30" customHeight="1">
      <x:c r="A1" s="508" t="str">
        <x:v>96｜预售→正式价案例库：尾部可行性而非概率样本</x:v>
      </x:c>
      <x:c r="B1" s="508"/>
      <x:c r="C1" s="508"/>
      <x:c r="D1" s="508"/>
      <x:c r="E1" s="508"/>
      <x:c r="F1" s="508"/>
      <x:c r="G1" s="508"/>
      <x:c r="H1" s="508"/>
      <x:c r="I1" s="508"/>
      <x:c r="J1" s="508"/>
      <x:c r="K1" s="508"/>
      <x:c r="L1" s="508"/>
      <x:c r="M1" s="508"/>
      <x:c r="N1" s="508"/>
      <x:c r="O1" s="508"/>
      <x:c r="P1" s="508"/>
    </x:row>
    <x:row r="2" ht="22" customHeight="1">
      <x:c r="A2" s="511" t="str">
        <x:v>同版现金价优先｜起售价单列｜限时价与BaaS不混入核心现金样本</x:v>
      </x:c>
      <x:c r="B2" s="511"/>
      <x:c r="C2" s="511"/>
      <x:c r="D2" s="511"/>
      <x:c r="E2" s="511"/>
      <x:c r="F2" s="511"/>
      <x:c r="G2" s="511"/>
      <x:c r="H2" s="511"/>
      <x:c r="I2" s="511"/>
      <x:c r="J2" s="511"/>
      <x:c r="K2" s="511"/>
      <x:c r="L2" s="511"/>
      <x:c r="M2" s="511"/>
      <x:c r="N2" s="511"/>
      <x:c r="O2" s="511"/>
      <x:c r="P2" s="511"/>
    </x:row>
    <x:row r="3" ht="76" customHeight="1">
      <x:c r="A3" s="515" t="str">
        <x:v>本表刻意纳入大降价案例，用于证明1万以上乃至4万元降幅真实存在；因此事件占比存在选择偏差，绝不能直接当成澎程概率。同一车型同一次发布会的多版本以event_id聚类，仅一个代表行参与事件描述。</x:v>
      </x:c>
      <x:c r="B3" s="515"/>
      <x:c r="C3" s="515"/>
      <x:c r="D3" s="515"/>
      <x:c r="E3" s="515"/>
      <x:c r="F3" s="515"/>
      <x:c r="G3" s="515"/>
      <x:c r="H3" s="515"/>
      <x:c r="I3" s="515"/>
      <x:c r="J3" s="515"/>
      <x:c r="K3" s="515"/>
      <x:c r="L3" s="515"/>
      <x:c r="M3" s="515"/>
      <x:c r="N3" s="515"/>
      <x:c r="O3" s="515"/>
      <x:c r="P3" s="515"/>
    </x:row>
    <x:row r="5" ht="58" customHeight="1">
      <x:c r="A5" s="520" t="str">
        <x:v>case_id</x:v>
      </x:c>
      <x:c r="B5" s="520" t="str">
        <x:v>event_id</x:v>
      </x:c>
      <x:c r="C5" s="520" t="str">
        <x:v>车型/版本</x:v>
      </x:c>
      <x:c r="D5" s="520" t="str">
        <x:v>比较作用域</x:v>
      </x:c>
      <x:c r="E5" s="520" t="str">
        <x:v>预售现金价</x:v>
      </x:c>
      <x:c r="F5" s="520" t="str">
        <x:v>正式现金价</x:v>
      </x:c>
      <x:c r="G5" s="520" t="str">
        <x:v>下调金额</x:v>
      </x:c>
      <x:c r="H5" s="520" t="str">
        <x:v>下调比例</x:v>
      </x:c>
      <x:c r="I5" s="520" t="str">
        <x:v>价格基准</x:v>
      </x:c>
      <x:c r="J5" s="520" t="str">
        <x:v>核心可比</x:v>
      </x:c>
      <x:c r="K5" s="520" t="str">
        <x:v>事件代表</x:v>
      </x:c>
      <x:c r="L5" s="520" t="str">
        <x:v>证据等级</x:v>
      </x:c>
      <x:c r="M5" s="520" t="str">
        <x:v>预售来源</x:v>
      </x:c>
      <x:c r="N5" s="520" t="str">
        <x:v>正式来源</x:v>
      </x:c>
      <x:c r="O5" s="520" t="str">
        <x:v>限制/备注</x:v>
      </x:c>
      <x:c r="P5" s="520" t="str">
        <x:v>事件尾部标记</x:v>
      </x:c>
    </x:row>
    <x:row r="6" ht="58" customHeight="1">
      <x:c r="A6" s="19" t="str">
        <x:v>C01</x:v>
      </x:c>
      <x:c r="B6" s="19" t="str">
        <x:v>EV-SU7-2026</x:v>
      </x:c>
      <x:c r="C6" s="19" t="str">
        <x:v>新一代SU7 标准版</x:v>
      </x:c>
      <x:c r="D6" s="19" t="str">
        <x:v>SAME_TRIM</x:v>
      </x:c>
      <x:c r="E6" s="414" t="n">
        <x:v>229900</x:v>
      </x:c>
      <x:c r="F6" s="414" t="n">
        <x:v>219900</x:v>
      </x:c>
      <x:c r="G6" s="414" t="n">
        <x:f>E6-F6</x:f>
        <x:v>10000</x:v>
      </x:c>
      <x:c r="H6" s="23" t="n">
        <x:f>G6/E6</x:f>
        <x:v>0.04349717268377556</x:v>
      </x:c>
      <x:c r="I6" s="19" t="str">
        <x:v>官方指导价</x:v>
      </x:c>
      <x:c r="J6" s="19" t="str">
        <x:v>YES</x:v>
      </x:c>
      <x:c r="K6" s="19" t="n">
        <x:v>1</x:v>
      </x:c>
      <x:c r="L6" s="19" t="str">
        <x:v>A/B</x:v>
      </x:c>
      <x:c r="M6" s="234" t="str">
        <x:v>https://www.nbd.com.cn/articles/2026-01-07/4210331.html</x:v>
      </x:c>
      <x:c r="N6" s="234" t="str">
        <x:v>https://www.mi.com/global/discover/article?id=6117</x:v>
      </x:c>
      <x:c r="O6" s="19" t="str">
        <x:v>同一发布会三个版本不是三次独立观察</x:v>
      </x:c>
      <x:c r="P6" s="19" t="n">
        <x:f>IF(AND(J6="YES",K6=1,G6&gt;10000),1,0)</x:f>
        <x:v>0</x:v>
      </x:c>
    </x:row>
    <x:row r="7" ht="58" customHeight="1">
      <x:c r="A7" s="521" t="str">
        <x:v>C02</x:v>
      </x:c>
      <x:c r="B7" s="521" t="str">
        <x:v>EV-SU7-2026</x:v>
      </x:c>
      <x:c r="C7" s="521" t="str">
        <x:v>新一代SU7 Pro</x:v>
      </x:c>
      <x:c r="D7" s="521" t="str">
        <x:v>SAME_TRIM</x:v>
      </x:c>
      <x:c r="E7" s="525" t="n">
        <x:v>259900</x:v>
      </x:c>
      <x:c r="F7" s="525" t="n">
        <x:v>249900</x:v>
      </x:c>
      <x:c r="G7" s="525" t="n">
        <x:f>E7-F7</x:f>
        <x:v>10000</x:v>
      </x:c>
      <x:c r="H7" s="526" t="n">
        <x:f>G7/E7</x:f>
        <x:v>0.038476337052712584</x:v>
      </x:c>
      <x:c r="I7" s="521" t="str">
        <x:v>官方指导价</x:v>
      </x:c>
      <x:c r="J7" s="521" t="str">
        <x:v>YES</x:v>
      </x:c>
      <x:c r="K7" s="521" t="n">
        <x:v>0</x:v>
      </x:c>
      <x:c r="L7" s="521" t="str">
        <x:v>A/B</x:v>
      </x:c>
      <x:c r="M7" s="527" t="str">
        <x:v>https://www.nbd.com.cn/articles/2026-01-07/4210331.html</x:v>
      </x:c>
      <x:c r="N7" s="527" t="str">
        <x:v>https://www.mi.com/global/discover/article?id=6117</x:v>
      </x:c>
      <x:c r="O7" s="521" t="str">
        <x:v>同事件相关</x:v>
      </x:c>
      <x:c r="P7" s="521" t="n">
        <x:f>IF(AND(J7="YES",K7=1,G7&gt;10000),1,0)</x:f>
        <x:v>0</x:v>
      </x:c>
    </x:row>
    <x:row r="8" ht="58" customHeight="1">
      <x:c r="A8" s="19" t="str">
        <x:v>C03</x:v>
      </x:c>
      <x:c r="B8" s="19" t="str">
        <x:v>EV-SU7-2026</x:v>
      </x:c>
      <x:c r="C8" s="19" t="str">
        <x:v>新一代SU7 Max</x:v>
      </x:c>
      <x:c r="D8" s="19" t="str">
        <x:v>SAME_TRIM</x:v>
      </x:c>
      <x:c r="E8" s="414" t="n">
        <x:v>309900</x:v>
      </x:c>
      <x:c r="F8" s="414" t="n">
        <x:v>303900</x:v>
      </x:c>
      <x:c r="G8" s="414" t="n">
        <x:f>E8-F8</x:f>
        <x:v>6000</x:v>
      </x:c>
      <x:c r="H8" s="23" t="n">
        <x:f>G8/E8</x:f>
        <x:v>0.01936108422071636</x:v>
      </x:c>
      <x:c r="I8" s="19" t="str">
        <x:v>官方指导价</x:v>
      </x:c>
      <x:c r="J8" s="19" t="str">
        <x:v>YES</x:v>
      </x:c>
      <x:c r="K8" s="19" t="n">
        <x:v>0</x:v>
      </x:c>
      <x:c r="L8" s="19" t="str">
        <x:v>A/B</x:v>
      </x:c>
      <x:c r="M8" s="234" t="str">
        <x:v>https://www.nbd.com.cn/articles/2026-01-07/4210331.html</x:v>
      </x:c>
      <x:c r="N8" s="234" t="str">
        <x:v>https://www.mi.com/global/discover/article?id=6117</x:v>
      </x:c>
      <x:c r="O8" s="19" t="str">
        <x:v>0.6万是特殊价格围栏，不设为通用中心</x:v>
      </x:c>
      <x:c r="P8" s="19" t="n">
        <x:f>IF(AND(J8="YES",K8=1,G8&gt;10000),1,0)</x:f>
        <x:v>0</x:v>
      </x:c>
    </x:row>
    <x:row r="9" ht="58" customHeight="1">
      <x:c r="A9" s="521" t="str">
        <x:v>C04</x:v>
      </x:c>
      <x:c r="B9" s="521" t="str">
        <x:v>EV-X9-EREV</x:v>
      </x:c>
      <x:c r="C9" s="521" t="str">
        <x:v>小鹏X9超级增程 Max</x:v>
      </x:c>
      <x:c r="D9" s="521" t="str">
        <x:v>SAME_TRIM</x:v>
      </x:c>
      <x:c r="E9" s="525" t="n">
        <x:v>350000</x:v>
      </x:c>
      <x:c r="F9" s="525" t="n">
        <x:v>309800</x:v>
      </x:c>
      <x:c r="G9" s="525" t="n">
        <x:f>E9-F9</x:f>
        <x:v>40200</x:v>
      </x:c>
      <x:c r="H9" s="526" t="n">
        <x:f>G9/E9</x:f>
        <x:v>0.11485714285714285</x:v>
      </x:c>
      <x:c r="I9" s="521" t="str">
        <x:v>官方指导价</x:v>
      </x:c>
      <x:c r="J9" s="521" t="str">
        <x:v>YES</x:v>
      </x:c>
      <x:c r="K9" s="521" t="n">
        <x:v>1</x:v>
      </x:c>
      <x:c r="L9" s="521" t="str">
        <x:v>A</x:v>
      </x:c>
      <x:c r="M9" s="527" t="str">
        <x:v>https://www.xiaopeng.com/news/company_news/5510.html</x:v>
      </x:c>
      <x:c r="N9" s="527" t="str">
        <x:v>https://www.xiaopeng.com/news/company_news/5516.html</x:v>
      </x:c>
      <x:c r="O9" s="521" t="str">
        <x:v>严格同版、同现金口径</x:v>
      </x:c>
      <x:c r="P9" s="521" t="n">
        <x:f>IF(AND(J9="YES",K9=1,G9&gt;10000),1,0)</x:f>
        <x:v>1</x:v>
      </x:c>
    </x:row>
    <x:row r="10" ht="58" customHeight="1">
      <x:c r="A10" s="19" t="str">
        <x:v>C05</x:v>
      </x:c>
      <x:c r="B10" s="19" t="str">
        <x:v>EV-X9-EREV</x:v>
      </x:c>
      <x:c r="C10" s="19" t="str">
        <x:v>小鹏X9超级增程 Ultra</x:v>
      </x:c>
      <x:c r="D10" s="19" t="str">
        <x:v>SAME_TRIM</x:v>
      </x:c>
      <x:c r="E10" s="414" t="n">
        <x:v>370000</x:v>
      </x:c>
      <x:c r="F10" s="414" t="n">
        <x:v>329800</x:v>
      </x:c>
      <x:c r="G10" s="414" t="n">
        <x:f>E10-F10</x:f>
        <x:v>40200</x:v>
      </x:c>
      <x:c r="H10" s="23" t="n">
        <x:f>G10/E10</x:f>
        <x:v>0.10864864864864865</x:v>
      </x:c>
      <x:c r="I10" s="19" t="str">
        <x:v>官方指导价</x:v>
      </x:c>
      <x:c r="J10" s="19" t="str">
        <x:v>YES</x:v>
      </x:c>
      <x:c r="K10" s="19" t="n">
        <x:v>0</x:v>
      </x:c>
      <x:c r="L10" s="19" t="str">
        <x:v>A</x:v>
      </x:c>
      <x:c r="M10" s="234" t="str">
        <x:v>https://www.xiaopeng.com/news/company_news/5510.html</x:v>
      </x:c>
      <x:c r="N10" s="234" t="str">
        <x:v>https://www.xiaopeng.com/news/company_news/5516.html</x:v>
      </x:c>
      <x:c r="O10" s="19" t="str">
        <x:v>严格同版、同现金口径</x:v>
      </x:c>
      <x:c r="P10" s="19" t="n">
        <x:f>IF(AND(J10="YES",K10=1,G10&gt;10000),1,0)</x:f>
        <x:v>0</x:v>
      </x:c>
    </x:row>
    <x:row r="11" ht="58" customHeight="1">
      <x:c r="A11" s="521" t="str">
        <x:v>C06</x:v>
      </x:c>
      <x:c r="B11" s="521" t="str">
        <x:v>EV-SONGL</x:v>
      </x:c>
      <x:c r="C11" s="521" t="str">
        <x:v>宋L 550KM卓越型</x:v>
      </x:c>
      <x:c r="D11" s="521" t="str">
        <x:v>SAME_TRIM</x:v>
      </x:c>
      <x:c r="E11" s="525" t="n">
        <x:v>240000</x:v>
      </x:c>
      <x:c r="F11" s="525" t="n">
        <x:v>199800</x:v>
      </x:c>
      <x:c r="G11" s="525" t="n">
        <x:f>E11-F11</x:f>
        <x:v>40200</x:v>
      </x:c>
      <x:c r="H11" s="526" t="n">
        <x:f>G11/E11</x:f>
        <x:v>0.1675</x:v>
      </x:c>
      <x:c r="I11" s="521" t="str">
        <x:v>官方指导价</x:v>
      </x:c>
      <x:c r="J11" s="521" t="str">
        <x:v>YES</x:v>
      </x:c>
      <x:c r="K11" s="521" t="n">
        <x:v>1</x:v>
      </x:c>
      <x:c r="L11" s="521" t="str">
        <x:v>B</x:v>
      </x:c>
      <x:c r="M11" s="527" t="str">
        <x:v>https://www.pcauto.com.cn/nation/4023/40232502.html</x:v>
      </x:c>
      <x:c r="N11" s="527" t="str">
        <x:v>https://info.xcar.com.cn/202312/news_2074719_1.html</x:v>
      </x:c>
      <x:c r="O11" s="521" t="str">
        <x:v>完整版本表来自媒体转录</x:v>
      </x:c>
      <x:c r="P11" s="521" t="n">
        <x:f>IF(AND(J11="YES",K11=1,G11&gt;10000),1,0)</x:f>
        <x:v>1</x:v>
      </x:c>
    </x:row>
    <x:row r="12" ht="58" customHeight="1">
      <x:c r="A12" s="19" t="str">
        <x:v>C07</x:v>
      </x:c>
      <x:c r="B12" s="19" t="str">
        <x:v>EV-SONGL</x:v>
      </x:c>
      <x:c r="C12" s="19" t="str">
        <x:v>宋L 602KM四驱卓越型</x:v>
      </x:c>
      <x:c r="D12" s="19" t="str">
        <x:v>SAME_TRIM</x:v>
      </x:c>
      <x:c r="E12" s="414" t="n">
        <x:v>280000</x:v>
      </x:c>
      <x:c r="F12" s="414" t="n">
        <x:v>249800</x:v>
      </x:c>
      <x:c r="G12" s="414" t="n">
        <x:f>E12-F12</x:f>
        <x:v>30200</x:v>
      </x:c>
      <x:c r="H12" s="23" t="n">
        <x:f>G12/E12</x:f>
        <x:v>0.10785714285714286</x:v>
      </x:c>
      <x:c r="I12" s="19" t="str">
        <x:v>官方指导价</x:v>
      </x:c>
      <x:c r="J12" s="19" t="str">
        <x:v>YES</x:v>
      </x:c>
      <x:c r="K12" s="19" t="n">
        <x:v>0</x:v>
      </x:c>
      <x:c r="L12" s="19" t="str">
        <x:v>B</x:v>
      </x:c>
      <x:c r="M12" s="234" t="str">
        <x:v>https://www.pcauto.com.cn/nation/4023/40232502.html</x:v>
      </x:c>
      <x:c r="N12" s="234" t="str">
        <x:v>https://info.xcar.com.cn/202312/news_2074719_1.html</x:v>
      </x:c>
      <x:c r="O12" s="19" t="str">
        <x:v>完整版本表来自媒体转录</x:v>
      </x:c>
      <x:c r="P12" s="19" t="n">
        <x:f>IF(AND(J12="YES",K12=1,G12&gt;10000),1,0)</x:f>
        <x:v>0</x:v>
      </x:c>
    </x:row>
    <x:row r="13" ht="58" customHeight="1">
      <x:c r="A13" s="521" t="str">
        <x:v>C08</x:v>
      </x:c>
      <x:c r="B13" s="521" t="str">
        <x:v>EV-C10</x:v>
      </x:c>
      <x:c r="C13" s="521" t="str">
        <x:v>零跑C10 210智享版</x:v>
      </x:c>
      <x:c r="D13" s="521" t="str">
        <x:v>SAME_TRIM</x:v>
      </x:c>
      <x:c r="E13" s="525" t="n">
        <x:v>165800</x:v>
      </x:c>
      <x:c r="F13" s="525" t="n">
        <x:v>145800</x:v>
      </x:c>
      <x:c r="G13" s="525" t="n">
        <x:f>E13-F13</x:f>
        <x:v>20000</x:v>
      </x:c>
      <x:c r="H13" s="526" t="n">
        <x:f>G13/E13</x:f>
        <x:v>0.12062726176115803</x:v>
      </x:c>
      <x:c r="I13" s="521" t="str">
        <x:v>官方指导价</x:v>
      </x:c>
      <x:c r="J13" s="521" t="str">
        <x:v>YES</x:v>
      </x:c>
      <x:c r="K13" s="521" t="n">
        <x:v>1</x:v>
      </x:c>
      <x:c r="L13" s="521" t="str">
        <x:v>B</x:v>
      </x:c>
      <x:c r="M13" s="527" t="str">
        <x:v>https://auto.ifeng.com/c/8WGUGsJDCR6</x:v>
      </x:c>
      <x:c r="N13" s="527" t="str">
        <x:v>https://www.ithome.com/0/753/259.htm</x:v>
      </x:c>
      <x:c r="O13" s="521" t="str">
        <x:v>不能拿新增410低价版制造2.7万假降幅</x:v>
      </x:c>
      <x:c r="P13" s="521" t="n">
        <x:f>IF(AND(J13="YES",K13=1,G13&gt;10000),1,0)</x:f>
        <x:v>1</x:v>
      </x:c>
    </x:row>
    <x:row r="14" ht="58" customHeight="1">
      <x:c r="A14" s="19" t="str">
        <x:v>C09</x:v>
      </x:c>
      <x:c r="B14" s="19" t="str">
        <x:v>EV-C10</x:v>
      </x:c>
      <x:c r="C14" s="19" t="str">
        <x:v>零跑C10 530舒享版</x:v>
      </x:c>
      <x:c r="D14" s="19" t="str">
        <x:v>SAME_TRIM</x:v>
      </x:c>
      <x:c r="E14" s="414" t="n">
        <x:v>155800</x:v>
      </x:c>
      <x:c r="F14" s="414" t="n">
        <x:v>138800</x:v>
      </x:c>
      <x:c r="G14" s="414" t="n">
        <x:f>E14-F14</x:f>
        <x:v>17000</x:v>
      </x:c>
      <x:c r="H14" s="23" t="n">
        <x:f>G14/E14</x:f>
        <x:v>0.10911424903722722</x:v>
      </x:c>
      <x:c r="I14" s="19" t="str">
        <x:v>官方指导价</x:v>
      </x:c>
      <x:c r="J14" s="19" t="str">
        <x:v>YES</x:v>
      </x:c>
      <x:c r="K14" s="19" t="n">
        <x:v>0</x:v>
      </x:c>
      <x:c r="L14" s="19" t="str">
        <x:v>B</x:v>
      </x:c>
      <x:c r="M14" s="234" t="str">
        <x:v>https://auto.ifeng.com/c/8WGUGsJDCR6</x:v>
      </x:c>
      <x:c r="N14" s="234" t="str">
        <x:v>https://www.ithome.com/0/753/259.htm</x:v>
      </x:c>
      <x:c r="O14" s="19" t="str">
        <x:v>严格同版下降1.7万</x:v>
      </x:c>
      <x:c r="P14" s="19" t="n">
        <x:f>IF(AND(J14="YES",K14=1,G14&gt;10000),1,0)</x:f>
        <x:v>0</x:v>
      </x:c>
    </x:row>
    <x:row r="15" ht="58" customHeight="1">
      <x:c r="A15" s="521" t="str">
        <x:v>C10</x:v>
      </x:c>
      <x:c r="B15" s="521" t="str">
        <x:v>EV-ICAR03</x:v>
      </x:c>
      <x:c r="C15" s="521" t="str">
        <x:v>iCAR 03 两驱标准版</x:v>
      </x:c>
      <x:c r="D15" s="521" t="str">
        <x:v>SAME_TRIM</x:v>
      </x:c>
      <x:c r="E15" s="525" t="n">
        <x:v>129800</x:v>
      </x:c>
      <x:c r="F15" s="525" t="n">
        <x:v>109800</x:v>
      </x:c>
      <x:c r="G15" s="525" t="n">
        <x:f>E15-F15</x:f>
        <x:v>20000</x:v>
      </x:c>
      <x:c r="H15" s="526" t="n">
        <x:f>G15/E15</x:f>
        <x:v>0.15408320493066255</x:v>
      </x:c>
      <x:c r="I15" s="521" t="str">
        <x:v>官方指导价</x:v>
      </x:c>
      <x:c r="J15" s="521" t="str">
        <x:v>YES</x:v>
      </x:c>
      <x:c r="K15" s="521" t="n">
        <x:v>1</x:v>
      </x:c>
      <x:c r="L15" s="521" t="str">
        <x:v>B</x:v>
      </x:c>
      <x:c r="M15" s="527" t="str">
        <x:v>https://www.ithome.com/0/739/898.htm</x:v>
      </x:c>
      <x:c r="N15" s="527" t="str">
        <x:v>https://sit-website.icarglobal.com/zh/news/1781532403643281409.html</x:v>
      </x:c>
      <x:c r="O15" s="521" t="str">
        <x:v>预售版本表为媒体转录，上市为官方</x:v>
      </x:c>
      <x:c r="P15" s="521" t="n">
        <x:f>IF(AND(J15="YES",K15=1,G15&gt;10000),1,0)</x:f>
        <x:v>1</x:v>
      </x:c>
    </x:row>
    <x:row r="16" ht="58" customHeight="1">
      <x:c r="A16" s="19" t="str">
        <x:v>C11</x:v>
      </x:c>
      <x:c r="B16" s="19" t="str">
        <x:v>EV-ICAR03</x:v>
      </x:c>
      <x:c r="C16" s="19" t="str">
        <x:v>iCAR 03 四驱长续航智驾</x:v>
      </x:c>
      <x:c r="D16" s="19" t="str">
        <x:v>SAME_TRIM</x:v>
      </x:c>
      <x:c r="E16" s="414" t="n">
        <x:v>185800</x:v>
      </x:c>
      <x:c r="F16" s="414" t="n">
        <x:v>169800</x:v>
      </x:c>
      <x:c r="G16" s="414" t="n">
        <x:f>E16-F16</x:f>
        <x:v>16000</x:v>
      </x:c>
      <x:c r="H16" s="23" t="n">
        <x:f>G16/E16</x:f>
        <x:v>0.0861141011840689</x:v>
      </x:c>
      <x:c r="I16" s="19" t="str">
        <x:v>官方指导价</x:v>
      </x:c>
      <x:c r="J16" s="19" t="str">
        <x:v>YES</x:v>
      </x:c>
      <x:c r="K16" s="19" t="n">
        <x:v>0</x:v>
      </x:c>
      <x:c r="L16" s="19" t="str">
        <x:v>B</x:v>
      </x:c>
      <x:c r="M16" s="234" t="str">
        <x:v>https://www.ithome.com/0/739/898.htm</x:v>
      </x:c>
      <x:c r="N16" s="234" t="str">
        <x:v>https://info.xcar.com.cn/202402/news_2075185_1.html</x:v>
      </x:c>
      <x:c r="O16" s="19" t="str">
        <x:v>同事件相关</x:v>
      </x:c>
      <x:c r="P16" s="19" t="n">
        <x:f>IF(AND(J16="YES",K16=1,G16&gt;10000),1,0)</x:f>
        <x:v>0</x:v>
      </x:c>
    </x:row>
    <x:row r="17" ht="58" customHeight="1">
      <x:c r="A17" s="521" t="str">
        <x:v>C12</x:v>
      </x:c>
      <x:c r="B17" s="521" t="str">
        <x:v>EV-G6</x:v>
      </x:c>
      <x:c r="C17" s="521" t="str">
        <x:v>小鹏G6 起售价</x:v>
      </x:c>
      <x:c r="D17" s="521" t="str">
        <x:v>START_PRICE</x:v>
      </x:c>
      <x:c r="E17" s="525" t="n">
        <x:v>225000</x:v>
      </x:c>
      <x:c r="F17" s="525" t="n">
        <x:v>209900</x:v>
      </x:c>
      <x:c r="G17" s="525" t="n">
        <x:f>E17-F17</x:f>
        <x:v>15100</x:v>
      </x:c>
      <x:c r="H17" s="526" t="n">
        <x:f>G17/E17</x:f>
        <x:v>0.06711111111111111</x:v>
      </x:c>
      <x:c r="I17" s="521" t="str">
        <x:v>车型起售价</x:v>
      </x:c>
      <x:c r="J17" s="521" t="str">
        <x:v>YES</x:v>
      </x:c>
      <x:c r="K17" s="521" t="n">
        <x:v>1</x:v>
      </x:c>
      <x:c r="L17" s="521" t="str">
        <x:v>A</x:v>
      </x:c>
      <x:c r="M17" s="527" t="str">
        <x:v>https://www.xiaopeng.com/news/company_news/5039.html</x:v>
      </x:c>
      <x:c r="N17" s="527" t="str">
        <x:v>https://www.xpeng.com/news/0189077394e388fa98d62c9e8d790065</x:v>
      </x:c>
      <x:c r="O17" s="521" t="str">
        <x:v>预售只公布起价，不能称严格同版</x:v>
      </x:c>
      <x:c r="P17" s="521" t="n">
        <x:f>IF(AND(J17="YES",K17=1,G17&gt;10000),1,0)</x:f>
        <x:v>1</x:v>
      </x:c>
    </x:row>
    <x:row r="18" ht="58" customHeight="1">
      <x:c r="A18" s="19" t="str">
        <x:v>C13</x:v>
      </x:c>
      <x:c r="B18" s="19" t="str">
        <x:v>EV-X9-BEV</x:v>
      </x:c>
      <x:c r="C18" s="19" t="str">
        <x:v>小鹏X9纯电 起售价</x:v>
      </x:c>
      <x:c r="D18" s="19" t="str">
        <x:v>START_PRICE</x:v>
      </x:c>
      <x:c r="E18" s="414" t="n">
        <x:v>388000</x:v>
      </x:c>
      <x:c r="F18" s="414" t="n">
        <x:v>359800</x:v>
      </x:c>
      <x:c r="G18" s="414" t="n">
        <x:f>E18-F18</x:f>
        <x:v>28200</x:v>
      </x:c>
      <x:c r="H18" s="23" t="n">
        <x:f>G18/E18</x:f>
        <x:v>0.07268041237113403</x:v>
      </x:c>
      <x:c r="I18" s="19" t="str">
        <x:v>车型起售价</x:v>
      </x:c>
      <x:c r="J18" s="19" t="str">
        <x:v>YES</x:v>
      </x:c>
      <x:c r="K18" s="19" t="n">
        <x:v>1</x:v>
      </x:c>
      <x:c r="L18" s="19" t="str">
        <x:v>A</x:v>
      </x:c>
      <x:c r="M18" s="234" t="str">
        <x:v>https://www.xiaopeng.com/news/company_news/5203.html</x:v>
      </x:c>
      <x:c r="N18" s="234" t="str">
        <x:v>https://www.xiaopeng.com/news/company_news/5233.html</x:v>
      </x:c>
      <x:c r="O18" s="19" t="str">
        <x:v>预售未公布完整版本表</x:v>
      </x:c>
      <x:c r="P18" s="19" t="n">
        <x:f>IF(AND(J18="YES",K18=1,G18&gt;10000),1,0)</x:f>
        <x:v>1</x:v>
      </x:c>
    </x:row>
    <x:row r="19" ht="58" customHeight="1">
      <x:c r="A19" s="521" t="str">
        <x:v>C14</x:v>
      </x:c>
      <x:c r="B19" s="521" t="str">
        <x:v>EV-P7PLUS</x:v>
      </x:c>
      <x:c r="C19" s="521" t="str">
        <x:v>小鹏P7+ 起售价</x:v>
      </x:c>
      <x:c r="D19" s="521" t="str">
        <x:v>START_PRICE</x:v>
      </x:c>
      <x:c r="E19" s="525" t="n">
        <x:v>209800</x:v>
      </x:c>
      <x:c r="F19" s="525" t="n">
        <x:v>186800</x:v>
      </x:c>
      <x:c r="G19" s="525" t="n">
        <x:f>E19-F19</x:f>
        <x:v>23000</x:v>
      </x:c>
      <x:c r="H19" s="526" t="n">
        <x:f>G19/E19</x:f>
        <x:v>0.109628217349857</x:v>
      </x:c>
      <x:c r="I19" s="521" t="str">
        <x:v>车型起售价</x:v>
      </x:c>
      <x:c r="J19" s="521" t="str">
        <x:v>YES</x:v>
      </x:c>
      <x:c r="K19" s="521" t="n">
        <x:v>1</x:v>
      </x:c>
      <x:c r="L19" s="521" t="str">
        <x:v>A</x:v>
      </x:c>
      <x:c r="M19" s="527" t="str">
        <x:v>https://www.xiaopeng.com/news/company_news/5385.html</x:v>
      </x:c>
      <x:c r="N19" s="527" t="str">
        <x:v>https://www.xiaopeng.com/news/company_news/5413.html</x:v>
      </x:c>
      <x:c r="O19" s="521" t="str">
        <x:v>起售价证据</x:v>
      </x:c>
      <x:c r="P19" s="521" t="n">
        <x:f>IF(AND(J19="YES",K19=1,G19&gt;10000),1,0)</x:f>
        <x:v>1</x:v>
      </x:c>
    </x:row>
    <x:row r="20" ht="58" customHeight="1">
      <x:c r="A20" s="19" t="str">
        <x:v>C15</x:v>
      </x:c>
      <x:c r="B20" s="19" t="str">
        <x:v>EV-L60</x:v>
      </x:c>
      <x:c r="C20" s="19" t="str">
        <x:v>乐道L60 整车购买起价</x:v>
      </x:c>
      <x:c r="D20" s="19" t="str">
        <x:v>START_PRICE</x:v>
      </x:c>
      <x:c r="E20" s="414" t="n">
        <x:v>219900</x:v>
      </x:c>
      <x:c r="F20" s="414" t="n">
        <x:v>206900</x:v>
      </x:c>
      <x:c r="G20" s="414" t="n">
        <x:f>E20-F20</x:f>
        <x:v>13000</x:v>
      </x:c>
      <x:c r="H20" s="23" t="n">
        <x:f>G20/E20</x:f>
        <x:v>0.05911778080945884</x:v>
      </x:c>
      <x:c r="I20" s="19" t="str">
        <x:v>整车购买价</x:v>
      </x:c>
      <x:c r="J20" s="19" t="str">
        <x:v>YES</x:v>
      </x:c>
      <x:c r="K20" s="19" t="n">
        <x:v>1</x:v>
      </x:c>
      <x:c r="L20" s="19" t="str">
        <x:v>A</x:v>
      </x:c>
      <x:c r="M20" s="234" t="str">
        <x:v>https://www.onvo.cn/news/20240515002</x:v>
      </x:c>
      <x:c r="N20" s="234" t="str">
        <x:v>https://www.onvo.cn/news/20240919001</x:v>
      </x:c>
      <x:c r="O20" s="19" t="str">
        <x:v>14.99万BaaS价不得混入</x:v>
      </x:c>
      <x:c r="P20" s="19" t="n">
        <x:f>IF(AND(J20="YES",K20=1,G20&gt;10000),1,0)</x:f>
        <x:v>1</x:v>
      </x:c>
    </x:row>
    <x:row r="21" ht="58" customHeight="1">
      <x:c r="A21" s="521" t="str">
        <x:v>C16</x:v>
      </x:c>
      <x:c r="B21" s="521" t="str">
        <x:v>EV-L90</x:v>
      </x:c>
      <x:c r="C21" s="521" t="str">
        <x:v>乐道L90 整车购买起价</x:v>
      </x:c>
      <x:c r="D21" s="521" t="str">
        <x:v>START_PRICE</x:v>
      </x:c>
      <x:c r="E21" s="525" t="n">
        <x:v>279900</x:v>
      </x:c>
      <x:c r="F21" s="525" t="n">
        <x:v>265800</x:v>
      </x:c>
      <x:c r="G21" s="525" t="n">
        <x:f>E21-F21</x:f>
        <x:v>14100</x:v>
      </x:c>
      <x:c r="H21" s="526" t="n">
        <x:f>G21/E21</x:f>
        <x:v>0.05037513397642015</x:v>
      </x:c>
      <x:c r="I21" s="521" t="str">
        <x:v>整车购买价</x:v>
      </x:c>
      <x:c r="J21" s="521" t="str">
        <x:v>YES</x:v>
      </x:c>
      <x:c r="K21" s="521" t="n">
        <x:v>1</x:v>
      </x:c>
      <x:c r="L21" s="521" t="str">
        <x:v>A</x:v>
      </x:c>
      <x:c r="M21" s="527" t="str">
        <x:v>https://www.onvo.cn/news/20250710001</x:v>
      </x:c>
      <x:c r="N21" s="527" t="str">
        <x:v>https://www.onvo.cn/news/20250731001</x:v>
      </x:c>
      <x:c r="O21" s="521" t="str">
        <x:v>同级大型SUV的直接证据</x:v>
      </x:c>
      <x:c r="P21" s="521" t="n">
        <x:f>IF(AND(J21="YES",K21=1,G21&gt;10000),1,0)</x:f>
        <x:v>1</x:v>
      </x:c>
    </x:row>
    <x:row r="22" ht="58" customHeight="1">
      <x:c r="A22" s="19" t="str">
        <x:v>C17</x:v>
      </x:c>
      <x:c r="B22" s="19" t="str">
        <x:v>EV-L80</x:v>
      </x:c>
      <x:c r="C22" s="19" t="str">
        <x:v>乐道L80 整车购买起价</x:v>
      </x:c>
      <x:c r="D22" s="19" t="str">
        <x:v>START_PRICE</x:v>
      </x:c>
      <x:c r="E22" s="414" t="n">
        <x:v>245800</x:v>
      </x:c>
      <x:c r="F22" s="414" t="n">
        <x:v>242800</x:v>
      </x:c>
      <x:c r="G22" s="414" t="n">
        <x:f>E22-F22</x:f>
        <x:v>3000</x:v>
      </x:c>
      <x:c r="H22" s="23" t="n">
        <x:f>G22/E22</x:f>
        <x:v>0.012205044751830757</x:v>
      </x:c>
      <x:c r="I22" s="19" t="str">
        <x:v>整车购买价</x:v>
      </x:c>
      <x:c r="J22" s="19" t="str">
        <x:v>YES</x:v>
      </x:c>
      <x:c r="K22" s="19" t="n">
        <x:v>1</x:v>
      </x:c>
      <x:c r="L22" s="19" t="str">
        <x:v>A</x:v>
      </x:c>
      <x:c r="M22" s="234" t="str">
        <x:v>https://www.onvo.cn/news/20260428001</x:v>
      </x:c>
      <x:c r="N22" s="234" t="str">
        <x:v>https://www.onvo.cn/news/20260515001</x:v>
      </x:c>
      <x:c r="O22" s="19" t="str">
        <x:v>小降价也真实存在</x:v>
      </x:c>
      <x:c r="P22" s="19" t="n">
        <x:f>IF(AND(J22="YES",K22=1,G22&gt;10000),1,0)</x:f>
        <x:v>0</x:v>
      </x:c>
    </x:row>
    <x:row r="23" ht="58" customHeight="1">
      <x:c r="A23" s="521" t="str">
        <x:v>C18</x:v>
      </x:c>
      <x:c r="B23" s="521" t="str">
        <x:v>EV-DEEPALS7</x:v>
      </x:c>
      <x:c r="C23" s="521" t="str">
        <x:v>深蓝S7 起售价</x:v>
      </x:c>
      <x:c r="D23" s="521" t="str">
        <x:v>START_PRICE</x:v>
      </x:c>
      <x:c r="E23" s="525" t="n">
        <x:v>169900</x:v>
      </x:c>
      <x:c r="F23" s="525" t="n">
        <x:v>149900</x:v>
      </x:c>
      <x:c r="G23" s="525" t="n">
        <x:f>E23-F23</x:f>
        <x:v>20000</x:v>
      </x:c>
      <x:c r="H23" s="526" t="n">
        <x:f>G23/E23</x:f>
        <x:v>0.11771630370806356</x:v>
      </x:c>
      <x:c r="I23" s="521" t="str">
        <x:v>车型起售价</x:v>
      </x:c>
      <x:c r="J23" s="521" t="str">
        <x:v>YES</x:v>
      </x:c>
      <x:c r="K23" s="521" t="n">
        <x:v>1</x:v>
      </x:c>
      <x:c r="L23" s="521" t="str">
        <x:v>B</x:v>
      </x:c>
      <x:c r="M23" s="527" t="str">
        <x:v>https://big5.news.cn/gate/big5/www.xinhuanet.com/auto/20230522/4d3500465c394534acab1ce747907a21/c.html</x:v>
      </x:c>
      <x:c r="N23" s="527" t="str">
        <x:v>https://www.news.cn/auto/20230626/d60ac55e1d854f07accf29e745869628/c.html</x:v>
      </x:c>
      <x:c r="O23" s="521" t="str">
        <x:v>新华网转录，起售价口径</x:v>
      </x:c>
      <x:c r="P23" s="521" t="n">
        <x:f>IF(AND(J23="YES",K23=1,G23&gt;10000),1,0)</x:f>
        <x:v>1</x:v>
      </x:c>
    </x:row>
    <x:row r="24" ht="58" customHeight="1">
      <x:c r="A24" s="19" t="str">
        <x:v>C19</x:v>
      </x:c>
      <x:c r="B24" s="19" t="str">
        <x:v>EV-ZEEKR007</x:v>
      </x:c>
      <x:c r="C24" s="19" t="str">
        <x:v>极氪007 起售价</x:v>
      </x:c>
      <x:c r="D24" s="19" t="str">
        <x:v>START_PRICE</x:v>
      </x:c>
      <x:c r="E24" s="414" t="n">
        <x:v>229900</x:v>
      </x:c>
      <x:c r="F24" s="414" t="n">
        <x:v>209900</x:v>
      </x:c>
      <x:c r="G24" s="414" t="n">
        <x:f>E24-F24</x:f>
        <x:v>20000</x:v>
      </x:c>
      <x:c r="H24" s="23" t="n">
        <x:f>G24/E24</x:f>
        <x:v>0.08699434536755112</x:v>
      </x:c>
      <x:c r="I24" s="19" t="str">
        <x:v>车型起售价</x:v>
      </x:c>
      <x:c r="J24" s="19" t="str">
        <x:v>YES</x:v>
      </x:c>
      <x:c r="K24" s="19" t="n">
        <x:v>1</x:v>
      </x:c>
      <x:c r="L24" s="19" t="str">
        <x:v>B</x:v>
      </x:c>
      <x:c r="M24" s="234" t="str">
        <x:v>https://www.xinhuanet.com/auto/20231120/61627838861b418eab6b66505be28881/c.html</x:v>
      </x:c>
      <x:c r="N24" s="234" t="str">
        <x:v>https://www.xinhuanet.com/auto/20231229/0f5605f660c04b8cb7e4ef765a40dff5/c.html</x:v>
      </x:c>
      <x:c r="O24" s="19" t="str">
        <x:v>考虑1000抵6000后有效降幅约1.5万</x:v>
      </x:c>
      <x:c r="P24" s="19" t="n">
        <x:f>IF(AND(J24="YES",K24=1,G24&gt;10000),1,0)</x:f>
        <x:v>1</x:v>
      </x:c>
    </x:row>
    <x:row r="25" ht="58" customHeight="1">
      <x:c r="A25" s="521" t="str">
        <x:v>C20</x:v>
      </x:c>
      <x:c r="B25" s="521" t="str">
        <x:v>EV-LYNK900</x:v>
      </x:c>
      <x:c r="C25" s="521" t="str">
        <x:v>领克900 起售价</x:v>
      </x:c>
      <x:c r="D25" s="521" t="str">
        <x:v>START_PRICE_LIMITED</x:v>
      </x:c>
      <x:c r="E25" s="525" t="n">
        <x:v>330000</x:v>
      </x:c>
      <x:c r="F25" s="525" t="n">
        <x:v>289900</x:v>
      </x:c>
      <x:c r="G25" s="525" t="n">
        <x:f>E25-F25</x:f>
        <x:v>40100</x:v>
      </x:c>
      <x:c r="H25" s="526" t="n">
        <x:f>G25/E25</x:f>
        <x:v>0.12151515151515152</x:v>
      </x:c>
      <x:c r="I25" s="521" t="str">
        <x:v>限时上市价</x:v>
      </x:c>
      <x:c r="J25" s="521" t="str">
        <x:v>NO</x:v>
      </x:c>
      <x:c r="K25" s="521" t="n">
        <x:v>1</x:v>
      </x:c>
      <x:c r="L25" s="521" t="str">
        <x:v>A</x:v>
      </x:c>
      <x:c r="M25" s="527" t="str">
        <x:v>https://www.lynkco.com.cn/brand/news/newslist/2025/327</x:v>
      </x:c>
      <x:c r="N25" s="527" t="str">
        <x:v>https://www.zeekrgroup.com/news/202504281</x:v>
      </x:c>
      <x:c r="O25" s="521" t="str">
        <x:v>28.99是限时价，不混入核心指导价概率</x:v>
      </x:c>
      <x:c r="P25" s="521" t="n">
        <x:f>IF(AND(J25="YES",K25=1,G25&gt;10000),1,0)</x:f>
        <x:v>0</x:v>
      </x:c>
    </x:row>
    <x:row r="28" ht="24" customHeight="1">
      <x:c r="A28" s="524" t="str">
        <x:v>描述性统计（只证明可行性，不作为澎程概率）</x:v>
      </x:c>
      <x:c r="B28" s="524"/>
      <x:c r="C28" s="524"/>
      <x:c r="D28" s="524"/>
      <x:c r="E28" s="524"/>
      <x:c r="F28" s="524"/>
      <x:c r="G28" s="524"/>
      <x:c r="H28" s="524"/>
      <x:c r="I28" s="524"/>
      <x:c r="J28" s="524"/>
      <x:c r="K28" s="524"/>
      <x:c r="L28" s="524"/>
      <x:c r="M28" s="524"/>
      <x:c r="N28" s="524"/>
      <x:c r="O28" s="524"/>
      <x:c r="P28" s="524"/>
    </x:row>
    <x:row r="29" ht="48" customHeight="1">
      <x:c r="A29" s="19" t="str">
        <x:v>核心可比事件数</x:v>
      </x:c>
      <x:c r="B29" s="19" t="n">
        <x:f>SUMIFS(K6:K25,J6:J25,"YES")</x:f>
        <x:v>13</x:v>
      </x:c>
      <x:c r="C29" s="19" t="str"/>
      <x:c r="D29" s="19" t="str"/>
      <x:c r="E29" s="19"/>
      <x:c r="F29" s="19"/>
      <x:c r="G29" s="19"/>
      <x:c r="H29" s="19"/>
      <x:c r="I29" s="19"/>
      <x:c r="J29" s="19"/>
      <x:c r="K29" s="19"/>
      <x:c r="L29" s="19"/>
      <x:c r="M29" s="19"/>
      <x:c r="N29" s="19"/>
      <x:c r="O29" s="19"/>
      <x:c r="P29" s="19"/>
    </x:row>
    <x:row r="30" ht="48" customHeight="1">
      <x:c r="A30" s="521" t="str">
        <x:v>其中事件代表降幅&gt;1万</x:v>
      </x:c>
      <x:c r="B30" s="521" t="n">
        <x:f>SUM(P6:P25)</x:f>
        <x:v>11</x:v>
      </x:c>
      <x:c r="C30" s="521" t="str"/>
      <x:c r="D30" s="521" t="str"/>
      <x:c r="E30" s="521"/>
      <x:c r="F30" s="521"/>
      <x:c r="G30" s="521"/>
      <x:c r="H30" s="521"/>
      <x:c r="I30" s="521"/>
      <x:c r="J30" s="521"/>
      <x:c r="K30" s="521"/>
      <x:c r="L30" s="521"/>
      <x:c r="M30" s="521"/>
      <x:c r="N30" s="521"/>
      <x:c r="O30" s="521"/>
      <x:c r="P30" s="521"/>
    </x:row>
    <x:row r="31" ht="48" customHeight="1">
      <x:c r="A31" s="19" t="str">
        <x:v>严格同版本最大现金降幅</x:v>
      </x:c>
      <x:c r="B31" s="414" t="n">
        <x:f>MAXIFS(G6:G25,D6:D25,"SAME_TRIM",J6:J25,"YES")</x:f>
        <x:v>40200</x:v>
      </x:c>
      <x:c r="C31" s="19" t="str"/>
      <x:c r="D31" s="19" t="str"/>
      <x:c r="E31" s="19"/>
      <x:c r="F31" s="19"/>
      <x:c r="G31" s="19"/>
      <x:c r="H31" s="19"/>
      <x:c r="I31" s="19"/>
      <x:c r="J31" s="19"/>
      <x:c r="K31" s="19"/>
      <x:c r="L31" s="19"/>
      <x:c r="M31" s="19"/>
      <x:c r="N31" s="19"/>
      <x:c r="O31" s="19"/>
      <x:c r="P31" s="19"/>
    </x:row>
    <x:row r="32" ht="48" customHeight="1">
      <x:c r="A32" s="521" t="str">
        <x:v>车型起售价最大现金降幅</x:v>
      </x:c>
      <x:c r="B32" s="525" t="n">
        <x:f>MAXIFS(G6:G25,D6:D25,"START_PRICE",J6:J25,"YES")</x:f>
        <x:v>28200</x:v>
      </x:c>
      <x:c r="C32" s="521" t="str"/>
      <x:c r="D32" s="521" t="str"/>
      <x:c r="E32" s="521"/>
      <x:c r="F32" s="521"/>
      <x:c r="G32" s="521"/>
      <x:c r="H32" s="521"/>
      <x:c r="I32" s="521"/>
      <x:c r="J32" s="521"/>
      <x:c r="K32" s="521"/>
      <x:c r="L32" s="521"/>
      <x:c r="M32" s="521"/>
      <x:c r="N32" s="521"/>
      <x:c r="O32" s="521"/>
      <x:c r="P32" s="521"/>
    </x:row>
    <x:row r="33" ht="48" customHeight="1">
      <x:c r="A33" s="19" t="str">
        <x:v>概率使用规则</x:v>
      </x:c>
      <x:c r="B33" s="19" t="str">
        <x:v>禁止直接外推案例占比</x:v>
      </x:c>
      <x:c r="C33" s="19" t="str">
        <x:v>决策权重见98表</x:v>
      </x:c>
      <x:c r="D33" s="19" t="str">
        <x:v>案例库为尾部检索样本</x:v>
      </x:c>
      <x:c r="E33" s="19"/>
      <x:c r="F33" s="19"/>
      <x:c r="G33" s="19"/>
      <x:c r="H33" s="19"/>
      <x:c r="I33" s="19"/>
      <x:c r="J33" s="19"/>
      <x:c r="K33" s="19"/>
      <x:c r="L33" s="19"/>
      <x:c r="M33" s="19"/>
      <x:c r="N33" s="19"/>
      <x:c r="O33" s="19"/>
      <x:c r="P33" s="19"/>
    </x:row>
  </x:sheetData>
  <x:mergeCells>
    <x:mergeCell ref="A1:P1"/>
    <x:mergeCell ref="A2:P2"/>
    <x:mergeCell ref="A3:P3"/>
    <x:mergeCell ref="A28:P28"/>
  </x:mergeCells>
  <x:conditionalFormatting sqref="D6:L25">
    <x:cfRule type="containsText" dxfId="2320" priority="1" operator="containsText" text="PASS"/>
    <x:cfRule type="containsText" dxfId="2321" priority="2" operator="containsText" text="READY"/>
    <x:cfRule type="containsText" dxfId="2322" priority="3" operator="containsText" text="CORE"/>
    <x:cfRule type="containsText" dxfId="2323" priority="4" operator="containsText" text="MODE"/>
    <x:cfRule type="containsText" dxfId="2324" priority="5" operator="containsText" text="OFFICIAL"/>
    <x:cfRule type="containsText" dxfId="2325" priority="6" operator="containsText" text="YES"/>
    <x:cfRule type="containsText" dxfId="2326" priority="7" operator="containsText" text="PROVISIONAL"/>
    <x:cfRule type="containsText" dxfId="2327" priority="8" operator="containsText" text="SCENARIO"/>
    <x:cfRule type="containsText" dxfId="2328" priority="9" operator="containsText" text="CONDITIONAL"/>
    <x:cfRule type="containsText" dxfId="2329" priority="10" operator="containsText" text="TAIL"/>
    <x:cfRule type="containsText" dxfId="2330" priority="11" operator="containsText" text="LIMITED"/>
    <x:cfRule type="containsText" dxfId="2331" priority="12" operator="containsText" text="BaaS"/>
    <x:cfRule type="containsText" dxfId="2332" priority="13" operator="containsText" text="EXCLUDED"/>
    <x:cfRule type="containsText" dxfId="2333" priority="14" operator="containsText" text="NO"/>
    <x:cfRule type="containsText" dxfId="2334" priority="15" operator="containsText" text="BLOCKED"/>
    <x:cfRule type="containsText" dxfId="2335" priority="16" operator="containsText" text="FAIL"/>
    <x:cfRule type="containsText" dxfId="2336" priority="17" operator="containsText" text="SUPERSEDED"/>
  </x:conditionalFormatting>
  <x:pageMargins left="0.7" right="0.7" top="0.75" bottom="0.75" header="0.3" footer="0.3"/>
</x:worksheet>
</file>

<file path=xl/worksheets/sheet9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24" hidden="0" customWidth="1"/>
    <x:col min="3" max="3" width="25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4" hidden="0" customWidth="1"/>
    <x:col min="14" max="14" width="42" hidden="0" customWidth="1"/>
    <x:col min="15" max="15" width="48" hidden="0" customWidth="1"/>
  </x:cols>
  <x:sheetData>
    <x:row r="1" ht="30" customHeight="1">
      <x:c r="A1" s="508" t="str">
        <x:v>97｜2026竞品现金价格压力：N70与N90必须非对称</x:v>
      </x:c>
      <x:c r="B1" s="508"/>
      <x:c r="C1" s="508"/>
      <x:c r="D1" s="508"/>
      <x:c r="E1" s="508"/>
      <x:c r="F1" s="508"/>
      <x:c r="G1" s="508"/>
      <x:c r="H1" s="508"/>
      <x:c r="I1" s="508"/>
      <x:c r="J1" s="508"/>
      <x:c r="K1" s="508"/>
      <x:c r="L1" s="508"/>
      <x:c r="M1" s="508"/>
      <x:c r="N1" s="508"/>
      <x:c r="O1" s="508"/>
    </x:row>
    <x:row r="2" ht="22" customHeight="1">
      <x:c r="A2" s="511" t="str">
        <x:v>同尺寸/座位/动力优先｜指导价、限时权益价、BaaS严格区分</x:v>
      </x:c>
      <x:c r="B2" s="511"/>
      <x:c r="C2" s="511"/>
      <x:c r="D2" s="511"/>
      <x:c r="E2" s="511"/>
      <x:c r="F2" s="511"/>
      <x:c r="G2" s="511"/>
      <x:c r="H2" s="511"/>
      <x:c r="I2" s="511"/>
      <x:c r="J2" s="511"/>
      <x:c r="K2" s="511"/>
      <x:c r="L2" s="511"/>
      <x:c r="M2" s="511"/>
      <x:c r="N2" s="511"/>
      <x:c r="O2" s="511"/>
    </x:row>
    <x:row r="3" ht="76" customHeight="1">
      <x:c r="A3" s="515" t="str">
        <x:v>比较只用于确定价格压力方向，不做逐配置等价。正数价差表示澎程更贵。N90面对的同尺寸、同座位、同能源价群集中在27.98万元附近，因此其降2万元比N70更自然。</x:v>
      </x:c>
      <x:c r="B3" s="515"/>
      <x:c r="C3" s="515"/>
      <x:c r="D3" s="515"/>
      <x:c r="E3" s="515"/>
      <x:c r="F3" s="515"/>
      <x:c r="G3" s="515"/>
      <x:c r="H3" s="515"/>
      <x:c r="I3" s="515"/>
      <x:c r="J3" s="515"/>
      <x:c r="K3" s="515"/>
      <x:c r="L3" s="515"/>
      <x:c r="M3" s="515"/>
      <x:c r="N3" s="515"/>
      <x:c r="O3" s="515"/>
    </x:row>
    <x:row r="5" ht="56" customHeight="1">
      <x:c r="A5" s="520" t="str">
        <x:v>目标</x:v>
      </x:c>
      <x:c r="B5" s="520" t="str">
        <x:v>竞品</x:v>
      </x:c>
      <x:c r="C5" s="520" t="str">
        <x:v>比较版本/口径</x:v>
      </x:c>
      <x:c r="D5" s="520" t="str">
        <x:v>竞品价</x:v>
      </x:c>
      <x:c r="E5" s="520" t="str">
        <x:v>澎程预售</x:v>
      </x:c>
      <x:c r="F5" s="520" t="str">
        <x:v>预售价差</x:v>
      </x:c>
      <x:c r="G5" s="520" t="str">
        <x:v>澎程降1万价</x:v>
      </x:c>
      <x:c r="H5" s="520" t="str">
        <x:v>降1万价差</x:v>
      </x:c>
      <x:c r="I5" s="520" t="str">
        <x:v>澎程降2万价</x:v>
      </x:c>
      <x:c r="J5" s="520" t="str">
        <x:v>降2万价差</x:v>
      </x:c>
      <x:c r="K5" s="520" t="str">
        <x:v>澎程降3万价</x:v>
      </x:c>
      <x:c r="L5" s="520" t="str">
        <x:v>降3万价差</x:v>
      </x:c>
      <x:c r="M5" s="520" t="str">
        <x:v>相关性</x:v>
      </x:c>
      <x:c r="N5" s="520" t="str">
        <x:v>价格口径/限制</x:v>
      </x:c>
      <x:c r="O5" s="520" t="str">
        <x:v>官方来源</x:v>
      </x:c>
    </x:row>
    <x:row r="6" ht="58" customHeight="1">
      <x:c r="A6" s="19" t="str">
        <x:v>N70 Max</x:v>
      </x:c>
      <x:c r="B6" s="19" t="str">
        <x:v>2026小鹏G7增程</x:v>
      </x:c>
      <x:c r="C6" s="19" t="str">
        <x:v>顶配建议零售价</x:v>
      </x:c>
      <x:c r="D6" s="414" t="n">
        <x:v>205800</x:v>
      </x:c>
      <x:c r="E6" s="414" t="n">
        <x:v>259900</x:v>
      </x:c>
      <x:c r="F6" s="414" t="n">
        <x:f>E6-D6</x:f>
        <x:v>54100</x:v>
      </x:c>
      <x:c r="G6" s="414" t="n">
        <x:v>249900</x:v>
      </x:c>
      <x:c r="H6" s="414" t="n">
        <x:f>G6-D6</x:f>
        <x:v>44100</x:v>
      </x:c>
      <x:c r="I6" s="414" t="n">
        <x:v>239900</x:v>
      </x:c>
      <x:c r="J6" s="414" t="n">
        <x:f>I6-D6</x:f>
        <x:v>34100</x:v>
      </x:c>
      <x:c r="K6" s="414" t="n">
        <x:v>229900</x:v>
      </x:c>
      <x:c r="L6" s="414" t="n">
        <x:f>K6-D6</x:f>
        <x:v>24100</x:v>
      </x:c>
      <x:c r="M6" s="19" t="str">
        <x:v>MEDIUM</x:v>
      </x:c>
      <x:c r="N6" s="19" t="str">
        <x:v>后驱、55.8kWh；早鸟权益已过期，不扣价</x:v>
      </x:c>
      <x:c r="O6" s="234" t="str">
        <x:v>https://www.xiaopeng.com/news/company_news/5529.html</x:v>
      </x:c>
    </x:row>
    <x:row r="7" ht="58" customHeight="1">
      <x:c r="A7" s="521" t="str">
        <x:v>N70 Max</x:v>
      </x:c>
      <x:c r="B7" s="521" t="str">
        <x:v>新理想L6</x:v>
      </x:c>
      <x:c r="C7" s="521" t="str">
        <x:v>全国统一零售价</x:v>
      </x:c>
      <x:c r="D7" s="525" t="n">
        <x:v>249800</x:v>
      </x:c>
      <x:c r="E7" s="525" t="n">
        <x:v>259900</x:v>
      </x:c>
      <x:c r="F7" s="525" t="n">
        <x:f>E7-D7</x:f>
        <x:v>10100</x:v>
      </x:c>
      <x:c r="G7" s="525" t="n">
        <x:v>249900</x:v>
      </x:c>
      <x:c r="H7" s="525" t="n">
        <x:f>G7-D7</x:f>
        <x:v>100</x:v>
      </x:c>
      <x:c r="I7" s="525" t="n">
        <x:v>239900</x:v>
      </x:c>
      <x:c r="J7" s="525" t="n">
        <x:f>I7-D7</x:f>
        <x:v>-9900</x:v>
      </x:c>
      <x:c r="K7" s="525" t="n">
        <x:v>229900</x:v>
      </x:c>
      <x:c r="L7" s="525" t="n">
        <x:f>K7-D7</x:f>
        <x:v>-19900</x:v>
      </x:c>
      <x:c r="M7" s="521" t="str">
        <x:v>HIGH</x:v>
      </x:c>
      <x:c r="N7" s="521" t="str">
        <x:v>五座四驱增程，最干净同类锚；首销权益不扣价</x:v>
      </x:c>
      <x:c r="O7" s="527" t="str">
        <x:v>https://ir.lixiang.com/news-releases/news-release-details/li-auto-inc-launches-new-li-l6-versatile-all-wheel-drive-suv</x:v>
      </x:c>
    </x:row>
    <x:row r="8" ht="58" customHeight="1">
      <x:c r="A8" s="19" t="str">
        <x:v>N70 Max</x:v>
      </x:c>
      <x:c r="B8" s="19" t="str">
        <x:v>2026乐道L80</x:v>
      </x:c>
      <x:c r="C8" s="19" t="str">
        <x:v>Pro整车购买价</x:v>
      </x:c>
      <x:c r="D8" s="414" t="n">
        <x:v>242800</x:v>
      </x:c>
      <x:c r="E8" s="414" t="n">
        <x:v>259900</x:v>
      </x:c>
      <x:c r="F8" s="414" t="n">
        <x:f>E8-D8</x:f>
        <x:v>17100</x:v>
      </x:c>
      <x:c r="G8" s="414" t="n">
        <x:v>249900</x:v>
      </x:c>
      <x:c r="H8" s="414" t="n">
        <x:f>G8-D8</x:f>
        <x:v>7100</x:v>
      </x:c>
      <x:c r="I8" s="414" t="n">
        <x:v>239900</x:v>
      </x:c>
      <x:c r="J8" s="414" t="n">
        <x:f>I8-D8</x:f>
        <x:v>-2900</x:v>
      </x:c>
      <x:c r="K8" s="414" t="n">
        <x:v>229900</x:v>
      </x:c>
      <x:c r="L8" s="414" t="n">
        <x:f>K8-D8</x:f>
        <x:v>-12900</x:v>
      </x:c>
      <x:c r="M8" s="19" t="str">
        <x:v>HIGH</x:v>
      </x:c>
      <x:c r="N8" s="19" t="str">
        <x:v>大五座纯电；BaaS 15.68万不可比较</x:v>
      </x:c>
      <x:c r="O8" s="234" t="str">
        <x:v>https://www.onvo.cn/news/20260515001</x:v>
      </x:c>
    </x:row>
    <x:row r="9" ht="58" customHeight="1">
      <x:c r="A9" s="521" t="str">
        <x:v>N70 Max</x:v>
      </x:c>
      <x:c r="B9" s="521" t="str">
        <x:v>2026乐道L80</x:v>
      </x:c>
      <x:c r="C9" s="521" t="str">
        <x:v>Max+整车购买价</x:v>
      </x:c>
      <x:c r="D9" s="525" t="n">
        <x:v>259800</x:v>
      </x:c>
      <x:c r="E9" s="525" t="n">
        <x:v>259900</x:v>
      </x:c>
      <x:c r="F9" s="525" t="n">
        <x:f>E9-D9</x:f>
        <x:v>100</x:v>
      </x:c>
      <x:c r="G9" s="525" t="n">
        <x:v>249900</x:v>
      </x:c>
      <x:c r="H9" s="525" t="n">
        <x:f>G9-D9</x:f>
        <x:v>-9900</x:v>
      </x:c>
      <x:c r="I9" s="525" t="n">
        <x:v>239900</x:v>
      </x:c>
      <x:c r="J9" s="525" t="n">
        <x:f>I9-D9</x:f>
        <x:v>-19900</x:v>
      </x:c>
      <x:c r="K9" s="525" t="n">
        <x:v>229900</x:v>
      </x:c>
      <x:c r="L9" s="525" t="n">
        <x:f>K9-D9</x:f>
        <x:v>-29900</x:v>
      </x:c>
      <x:c r="M9" s="521" t="str">
        <x:v>MEDIUM</x:v>
      </x:c>
      <x:c r="N9" s="521" t="str">
        <x:v>尺寸更大、85kWh、空气悬架</x:v>
      </x:c>
      <x:c r="O9" s="527" t="str">
        <x:v>https://www.onvo.cn/news/20260515001</x:v>
      </x:c>
    </x:row>
    <x:row r="10" ht="58" customHeight="1">
      <x:c r="A10" s="19" t="str">
        <x:v>N90 Max</x:v>
      </x:c>
      <x:c r="B10" s="19" t="str">
        <x:v>2026乐道L90</x:v>
      </x:c>
      <x:c r="C10" s="19" t="str">
        <x:v>6座Max+整车购买价</x:v>
      </x:c>
      <x:c r="D10" s="414" t="n">
        <x:v>279800</x:v>
      </x:c>
      <x:c r="E10" s="414" t="n">
        <x:v>299900</x:v>
      </x:c>
      <x:c r="F10" s="414" t="n">
        <x:f>E10-D10</x:f>
        <x:v>20100</x:v>
      </x:c>
      <x:c r="G10" s="414" t="n">
        <x:v>289900</x:v>
      </x:c>
      <x:c r="H10" s="414" t="n">
        <x:f>G10-D10</x:f>
        <x:v>10100</x:v>
      </x:c>
      <x:c r="I10" s="414" t="n">
        <x:v>279900</x:v>
      </x:c>
      <x:c r="J10" s="414" t="n">
        <x:f>I10-D10</x:f>
        <x:v>100</x:v>
      </x:c>
      <x:c r="K10" s="414" t="n">
        <x:v>269900</x:v>
      </x:c>
      <x:c r="L10" s="414" t="n">
        <x:f>K10-D10</x:f>
        <x:v>-9900</x:v>
      </x:c>
      <x:c r="M10" s="19" t="str">
        <x:v>HIGH</x:v>
      </x:c>
      <x:c r="N10" s="19" t="str">
        <x:v>大型6座纯电、85kWh、空气悬架</x:v>
      </x:c>
      <x:c r="O10" s="234" t="str">
        <x:v>https://www.onvo.cn/news/20260421001</x:v>
      </x:c>
    </x:row>
    <x:row r="11" ht="58" customHeight="1">
      <x:c r="A11" s="521" t="str">
        <x:v>N90 Max</x:v>
      </x:c>
      <x:c r="B11" s="521" t="str">
        <x:v>2026乐道L90</x:v>
      </x:c>
      <x:c r="C11" s="521" t="str">
        <x:v>7座Max+整车购买价</x:v>
      </x:c>
      <x:c r="D11" s="525" t="n">
        <x:v>285800</x:v>
      </x:c>
      <x:c r="E11" s="525" t="n">
        <x:v>299900</x:v>
      </x:c>
      <x:c r="F11" s="525" t="n">
        <x:f>E11-D11</x:f>
        <x:v>14100</x:v>
      </x:c>
      <x:c r="G11" s="525" t="n">
        <x:v>289900</x:v>
      </x:c>
      <x:c r="H11" s="525" t="n">
        <x:f>G11-D11</x:f>
        <x:v>4100</x:v>
      </x:c>
      <x:c r="I11" s="525" t="n">
        <x:v>279900</x:v>
      </x:c>
      <x:c r="J11" s="525" t="n">
        <x:f>I11-D11</x:f>
        <x:v>-5900</x:v>
      </x:c>
      <x:c r="K11" s="525" t="n">
        <x:v>269900</x:v>
      </x:c>
      <x:c r="L11" s="525" t="n">
        <x:f>K11-D11</x:f>
        <x:v>-15900</x:v>
      </x:c>
      <x:c r="M11" s="521" t="str">
        <x:v>HIGH</x:v>
      </x:c>
      <x:c r="N11" s="521" t="str">
        <x:v>座位最直接；降1万仍高0.41万</x:v>
      </x:c>
      <x:c r="O11" s="527" t="str">
        <x:v>https://www.onvo.cn/news/20260421001</x:v>
      </x:c>
    </x:row>
    <x:row r="12" ht="58" customHeight="1">
      <x:c r="A12" s="19" t="str">
        <x:v>N90 Max</x:v>
      </x:c>
      <x:c r="B12" s="19" t="str">
        <x:v>小鹏GX增程</x:v>
      </x:c>
      <x:c r="C12" s="19" t="str">
        <x:v>四驱入门限时权益价</x:v>
      </x:c>
      <x:c r="D12" s="414" t="n">
        <x:v>279800</x:v>
      </x:c>
      <x:c r="E12" s="414" t="n">
        <x:v>299900</x:v>
      </x:c>
      <x:c r="F12" s="414" t="n">
        <x:f>E12-D12</x:f>
        <x:v>20100</x:v>
      </x:c>
      <x:c r="G12" s="414" t="n">
        <x:v>289900</x:v>
      </x:c>
      <x:c r="H12" s="414" t="n">
        <x:f>G12-D12</x:f>
        <x:v>10100</x:v>
      </x:c>
      <x:c r="I12" s="414" t="n">
        <x:v>279900</x:v>
      </x:c>
      <x:c r="J12" s="414" t="n">
        <x:f>I12-D12</x:f>
        <x:v>100</x:v>
      </x:c>
      <x:c r="K12" s="414" t="n">
        <x:v>269900</x:v>
      </x:c>
      <x:c r="L12" s="414" t="n">
        <x:f>K12-D12</x:f>
        <x:v>-9900</x:v>
      </x:c>
      <x:c r="M12" s="19" t="str">
        <x:v>HIGH</x:v>
      </x:c>
      <x:c r="N12" s="19" t="str">
        <x:v>不是常规指导价；但形成强广告价压力</x:v>
      </x:c>
      <x:c r="O12" s="234" t="str">
        <x:v>https://www.xiaopeng.com/news/company_news/5563.html?fromto=GWDHSJ</x:v>
      </x:c>
    </x:row>
    <x:row r="13" ht="58" customHeight="1">
      <x:c r="A13" s="521" t="str">
        <x:v>N90 Max</x:v>
      </x:c>
      <x:c r="B13" s="521" t="str">
        <x:v>零跑D19</x:v>
      </x:c>
      <x:c r="C13" s="521" t="str">
        <x:v>全系正式价格上沿</x:v>
      </x:c>
      <x:c r="D13" s="525" t="n">
        <x:v>269800</x:v>
      </x:c>
      <x:c r="E13" s="525" t="n">
        <x:v>299900</x:v>
      </x:c>
      <x:c r="F13" s="525" t="n">
        <x:f>E13-D13</x:f>
        <x:v>30100</x:v>
      </x:c>
      <x:c r="G13" s="525" t="n">
        <x:v>289900</x:v>
      </x:c>
      <x:c r="H13" s="525" t="n">
        <x:f>G13-D13</x:f>
        <x:v>20100</x:v>
      </x:c>
      <x:c r="I13" s="525" t="n">
        <x:v>279900</x:v>
      </x:c>
      <x:c r="J13" s="525" t="n">
        <x:f>I13-D13</x:f>
        <x:v>10100</x:v>
      </x:c>
      <x:c r="K13" s="525" t="n">
        <x:v>269900</x:v>
      </x:c>
      <x:c r="L13" s="525" t="n">
        <x:f>K13-D13</x:f>
        <x:v>100</x:v>
      </x:c>
      <x:c r="M13" s="521" t="str">
        <x:v>MEDIUM</x:v>
      </x:c>
      <x:c r="N13" s="521" t="str">
        <x:v>品牌/配置层级不同，作为压力下沿</x:v>
      </x:c>
      <x:c r="O13" s="527" t="str">
        <x:v>https://www.hkexnews.hk/listedco/listconews/sehk/2026/0515/2026051501071_c.pdf</x:v>
      </x:c>
    </x:row>
    <x:row r="14" ht="58" customHeight="1">
      <x:c r="A14" s="19" t="str">
        <x:v>N90 Max</x:v>
      </x:c>
      <x:c r="B14" s="19" t="str">
        <x:v>腾势N8L</x:v>
      </x:c>
      <x:c r="C14" s="19" t="str">
        <x:v>正式指导价下沿</x:v>
      </x:c>
      <x:c r="D14" s="414" t="n">
        <x:v>299800</x:v>
      </x:c>
      <x:c r="E14" s="414" t="n">
        <x:v>299900</x:v>
      </x:c>
      <x:c r="F14" s="414" t="n">
        <x:f>E14-D14</x:f>
        <x:v>100</x:v>
      </x:c>
      <x:c r="G14" s="414" t="n">
        <x:v>289900</x:v>
      </x:c>
      <x:c r="H14" s="414" t="n">
        <x:f>G14-D14</x:f>
        <x:v>-9900</x:v>
      </x:c>
      <x:c r="I14" s="414" t="n">
        <x:v>279900</x:v>
      </x:c>
      <x:c r="J14" s="414" t="n">
        <x:f>I14-D14</x:f>
        <x:v>-19900</x:v>
      </x:c>
      <x:c r="K14" s="414" t="n">
        <x:v>269900</x:v>
      </x:c>
      <x:c r="L14" s="414" t="n">
        <x:f>K14-D14</x:f>
        <x:v>-29900</x:v>
      </x:c>
      <x:c r="M14" s="19" t="str">
        <x:v>MEDIUM</x:v>
      </x:c>
      <x:c r="N14" s="19" t="str">
        <x:v>三电机插混，上沿锚而非性价比中心</x:v>
      </x:c>
      <x:c r="O14" s="234" t="str">
        <x:v>https://www.denza.com/cn2_0/denza-voice/detail56</x:v>
      </x:c>
    </x:row>
    <x:row r="18" ht="24" customHeight="1">
      <x:c r="A18" s="524" t="str">
        <x:v>竞争压力结论</x:v>
      </x:c>
      <x:c r="B18" s="524"/>
      <x:c r="C18" s="524"/>
      <x:c r="D18" s="524"/>
      <x:c r="E18" s="524"/>
      <x:c r="F18" s="524"/>
      <x:c r="G18" s="524"/>
      <x:c r="H18" s="524"/>
      <x:c r="I18" s="524"/>
      <x:c r="J18" s="524"/>
      <x:c r="K18" s="524"/>
      <x:c r="L18" s="524"/>
      <x:c r="M18" s="524"/>
      <x:c r="N18" s="524"/>
      <x:c r="O18" s="524"/>
    </x:row>
    <x:row r="19" ht="52" customHeight="1">
      <x:c r="A19" s="19" t="str">
        <x:v>N70判断</x:v>
      </x:c>
      <x:c r="B19" s="19" t="str">
        <x:v>24.99万与新L6 24.98万几乎平价</x:v>
      </x:c>
      <x:c r="C19" s="19" t="str"/>
      <x:c r="D19" s="19" t="str"/>
      <x:c r="E19" s="19" t="str"/>
      <x:c r="F19" s="19" t="str"/>
      <x:c r="G19" s="19" t="str"/>
      <x:c r="H19" s="19" t="str"/>
      <x:c r="I19" s="19" t="str"/>
      <x:c r="J19" s="19" t="str"/>
      <x:c r="K19" s="19" t="str"/>
      <x:c r="L19" s="19" t="str"/>
      <x:c r="M19" s="19" t="str">
        <x:v>MODE</x:v>
      </x:c>
      <x:c r="N19" s="19" t="str">
        <x:v>降1万仍为众数；23.99为厚尾</x:v>
      </x:c>
      <x:c r="O19" s="19" t="str">
        <x:v>98表</x:v>
      </x:c>
    </x:row>
    <x:row r="20" ht="52" customHeight="1">
      <x:c r="A20" s="521" t="str">
        <x:v>N90判断</x:v>
      </x:c>
      <x:c r="B20" s="521" t="str">
        <x:v>27.99万与L90 6座Max+/GX增程入门约27.98万对齐</x:v>
      </x:c>
      <x:c r="C20" s="521" t="str"/>
      <x:c r="D20" s="521" t="str"/>
      <x:c r="E20" s="521" t="str"/>
      <x:c r="F20" s="521" t="str"/>
      <x:c r="G20" s="521" t="str"/>
      <x:c r="H20" s="521" t="str"/>
      <x:c r="I20" s="521" t="str"/>
      <x:c r="J20" s="521" t="str"/>
      <x:c r="K20" s="521" t="str"/>
      <x:c r="L20" s="521" t="str"/>
      <x:c r="M20" s="521" t="str">
        <x:v>MODE</x:v>
      </x:c>
      <x:c r="N20" s="521" t="str">
        <x:v>降2万升级为新众数</x:v>
      </x:c>
      <x:c r="O20" s="521" t="str">
        <x:v>98表</x:v>
      </x:c>
    </x:row>
    <x:row r="21" ht="52" customHeight="1">
      <x:c r="A21" s="19" t="str">
        <x:v>强进攻</x:v>
      </x:c>
      <x:c r="B21" s="19" t="str">
        <x:v>23.99 / 26.99万元</x:v>
      </x:c>
      <x:c r="C21" s="19" t="str"/>
      <x:c r="D21" s="19" t="str"/>
      <x:c r="E21" s="19" t="str"/>
      <x:c r="F21" s="19" t="str"/>
      <x:c r="G21" s="19" t="str"/>
      <x:c r="H21" s="19" t="str"/>
      <x:c r="I21" s="19" t="str"/>
      <x:c r="J21" s="19" t="str"/>
      <x:c r="K21" s="19" t="str"/>
      <x:c r="L21" s="19" t="str"/>
      <x:c r="M21" s="19" t="str">
        <x:v>TAIL</x:v>
      </x:c>
      <x:c r="N21" s="19" t="str">
        <x:v>维持3万元Max梯度</x:v>
      </x:c>
      <x:c r="O21" s="19" t="str">
        <x:v>99表</x:v>
      </x:c>
    </x:row>
    <x:row r="22" ht="52" customHeight="1">
      <x:c r="A22" s="521" t="str">
        <x:v>禁止误算</x:v>
      </x:c>
      <x:c r="B22" s="521" t="str">
        <x:v>GX 39.98预售→26.98限时价不是同版直降13万</x:v>
      </x:c>
      <x:c r="C22" s="521" t="str"/>
      <x:c r="D22" s="521" t="str"/>
      <x:c r="E22" s="521" t="str"/>
      <x:c r="F22" s="521" t="str"/>
      <x:c r="G22" s="521" t="str"/>
      <x:c r="H22" s="521" t="str"/>
      <x:c r="I22" s="521" t="str"/>
      <x:c r="J22" s="521" t="str"/>
      <x:c r="K22" s="521" t="str"/>
      <x:c r="L22" s="521" t="str"/>
      <x:c r="M22" s="521" t="str">
        <x:v>EXCLUDED</x:v>
      </x:c>
      <x:c r="N22" s="521" t="str">
        <x:v>动力/版本/权益口径均变化</x:v>
      </x:c>
      <x:c r="O22" s="521" t="str">
        <x:v>96表</x:v>
      </x:c>
    </x:row>
  </x:sheetData>
  <x:mergeCells>
    <x:mergeCell ref="A1:O1"/>
    <x:mergeCell ref="A2:O2"/>
    <x:mergeCell ref="A3:O3"/>
    <x:mergeCell ref="A18:O18"/>
  </x:mergeCells>
  <x:conditionalFormatting sqref="M6:N14">
    <x:cfRule type="containsText" dxfId="2337" priority="1" operator="containsText" text="PASS"/>
    <x:cfRule type="containsText" dxfId="2338" priority="2" operator="containsText" text="READY"/>
    <x:cfRule type="containsText" dxfId="2339" priority="3" operator="containsText" text="CORE"/>
    <x:cfRule type="containsText" dxfId="2340" priority="4" operator="containsText" text="MODE"/>
    <x:cfRule type="containsText" dxfId="2341" priority="5" operator="containsText" text="OFFICIAL"/>
    <x:cfRule type="containsText" dxfId="2342" priority="6" operator="containsText" text="YES"/>
    <x:cfRule type="containsText" dxfId="2343" priority="7" operator="containsText" text="PROVISIONAL"/>
    <x:cfRule type="containsText" dxfId="2344" priority="8" operator="containsText" text="SCENARIO"/>
    <x:cfRule type="containsText" dxfId="2345" priority="9" operator="containsText" text="CONDITIONAL"/>
    <x:cfRule type="containsText" dxfId="2346" priority="10" operator="containsText" text="TAIL"/>
    <x:cfRule type="containsText" dxfId="2347" priority="11" operator="containsText" text="LIMITED"/>
    <x:cfRule type="containsText" dxfId="2348" priority="12" operator="containsText" text="BaaS"/>
    <x:cfRule type="containsText" dxfId="2349" priority="13" operator="containsText" text="EXCLUDED"/>
    <x:cfRule type="containsText" dxfId="2350" priority="14" operator="containsText" text="NO"/>
    <x:cfRule type="containsText" dxfId="2351" priority="15" operator="containsText" text="BLOCKED"/>
    <x:cfRule type="containsText" dxfId="2352" priority="16" operator="containsText" text="FAIL"/>
    <x:cfRule type="containsText" dxfId="2353" priority="17" operator="containsText" text="SUPERSEDED"/>
  </x:conditionalFormatting>
  <x:conditionalFormatting sqref="M19:N22">
    <x:cfRule type="containsText" dxfId="2354" priority="18" operator="containsText" text="PASS"/>
    <x:cfRule type="containsText" dxfId="2355" priority="19" operator="containsText" text="READY"/>
    <x:cfRule type="containsText" dxfId="2356" priority="20" operator="containsText" text="CORE"/>
    <x:cfRule type="containsText" dxfId="2357" priority="21" operator="containsText" text="MODE"/>
    <x:cfRule type="containsText" dxfId="2358" priority="22" operator="containsText" text="OFFICIAL"/>
    <x:cfRule type="containsText" dxfId="2359" priority="23" operator="containsText" text="YES"/>
    <x:cfRule type="containsText" dxfId="2360" priority="24" operator="containsText" text="PROVISIONAL"/>
    <x:cfRule type="containsText" dxfId="2361" priority="25" operator="containsText" text="SCENARIO"/>
    <x:cfRule type="containsText" dxfId="2362" priority="26" operator="containsText" text="CONDITIONAL"/>
    <x:cfRule type="containsText" dxfId="2363" priority="27" operator="containsText" text="TAIL"/>
    <x:cfRule type="containsText" dxfId="2364" priority="28" operator="containsText" text="LIMITED"/>
    <x:cfRule type="containsText" dxfId="2365" priority="29" operator="containsText" text="BaaS"/>
    <x:cfRule type="containsText" dxfId="2366" priority="30" operator="containsText" text="EXCLUDED"/>
    <x:cfRule type="containsText" dxfId="2367" priority="31" operator="containsText" text="NO"/>
    <x:cfRule type="containsText" dxfId="2368" priority="32" operator="containsText" text="BLOCKED"/>
    <x:cfRule type="containsText" dxfId="2369" priority="33" operator="containsText" text="FAIL"/>
    <x:cfRule type="containsText" dxfId="2370" priority="34" operator="containsText" text="SUPERSEDED"/>
  </x:conditionalFormatting>
  <x:pageMargins left="0.7" right="0.7" top="0.75" bottom="0.75" header="0.3" footer="0.3"/>
</x:worksheet>
</file>

<file path=xl/worksheets/sheet9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9" hidden="0" customWidth="1"/>
    <x:col min="3" max="3" width="17" hidden="0" customWidth="1"/>
    <x:col min="4" max="4" width="20" hidden="0" customWidth="1"/>
    <x:col min="5" max="5" width="17" hidden="0" customWidth="1"/>
    <x:col min="6" max="6" width="20" hidden="0" customWidth="1"/>
    <x:col min="7" max="7" width="26" hidden="0" customWidth="1"/>
    <x:col min="8" max="8" width="48" hidden="0" customWidth="1"/>
  </x:cols>
  <x:sheetData>
    <x:row r="1" ht="36" customHeight="1">
      <x:c r="A1" s="626" t="str">
        <x:v>【历史阶段｜不得作为最终结论】98_正式价边际分布</x:v>
      </x:c>
      <x:c r="B1" s="626"/>
      <x:c r="C1" s="626"/>
      <x:c r="D1" s="626"/>
      <x:c r="E1" s="626"/>
      <x:c r="F1" s="626"/>
      <x:c r="G1" s="626"/>
      <x:c r="H1" s="626"/>
      <x:c r="I1" s="626"/>
      <x:c r="J1" s="626"/>
      <x:c r="K1" s="626"/>
      <x:c r="L1" s="626"/>
      <x:c r="M1" s="626"/>
      <x:c r="N1" s="626"/>
      <x:c r="O1" s="626"/>
      <x:c r="P1" s="626"/>
      <x:c r="Q1" s="626"/>
      <x:c r="R1" s="626"/>
      <x:c r="S1" s="626"/>
      <x:c r="T1" s="626"/>
      <x:c r="U1" s="626"/>
      <x:c r="V1" s="626"/>
      <x:c r="W1" s="626"/>
      <x:c r="X1" s="626"/>
      <x:c r="Y1" s="626"/>
      <x:c r="Z1" s="626"/>
    </x:row>
    <x:row r="2" ht="30" customHeight="1">
      <x:c r="A2" s="626" t="str">
        <x:v>本表保留用于审计追溯；最终结论以142_最终反证审计与134_全系结论为准。</x:v>
      </x:c>
      <x:c r="B2" s="626"/>
      <x:c r="C2" s="626"/>
      <x:c r="D2" s="626"/>
      <x:c r="E2" s="626"/>
      <x:c r="F2" s="626"/>
      <x:c r="G2" s="626"/>
      <x:c r="H2" s="626"/>
      <x:c r="I2" s="626"/>
      <x:c r="J2" s="626"/>
      <x:c r="K2" s="626"/>
      <x:c r="L2" s="626"/>
      <x:c r="M2" s="626"/>
      <x:c r="N2" s="626"/>
      <x:c r="O2" s="626"/>
      <x:c r="P2" s="626"/>
      <x:c r="Q2" s="626"/>
      <x:c r="R2" s="626"/>
      <x:c r="S2" s="626"/>
      <x:c r="T2" s="626"/>
      <x:c r="U2" s="626"/>
      <x:c r="V2" s="626"/>
      <x:c r="W2" s="626"/>
      <x:c r="X2" s="626"/>
      <x:c r="Y2" s="626"/>
      <x:c r="Z2" s="626"/>
    </x:row>
    <x:row r="3" ht="76" customHeight="1">
      <x:c r="A3" s="515" t="str">
        <x:v>≥4万元档以4万元作为期望值计算下界，因此情景均值是保守下界。正式指导价与权益后有效成本分开；1.5/2.5万元经济降幅可由现金价下调1/2万元加约0.5万元权益实现，不强行生成x.49指导价。</x:v>
      </x:c>
      <x:c r="B3" s="515"/>
      <x:c r="C3" s="515"/>
      <x:c r="D3" s="515"/>
      <x:c r="E3" s="515"/>
      <x:c r="F3" s="515"/>
      <x:c r="G3" s="515"/>
      <x:c r="H3" s="515"/>
    </x:row>
    <x:row r="5" ht="52" customHeight="1">
      <x:c r="A5" s="520" t="str">
        <x:v>现金降幅档</x:v>
      </x:c>
      <x:c r="B5" s="520" t="str">
        <x:v>计算下界</x:v>
      </x:c>
      <x:c r="C5" s="520" t="str">
        <x:v>N70权重</x:v>
      </x:c>
      <x:c r="D5" s="520" t="str">
        <x:v>N70正式现金价</x:v>
      </x:c>
      <x:c r="E5" s="520" t="str">
        <x:v>N90权重</x:v>
      </x:c>
      <x:c r="F5" s="520" t="str">
        <x:v>N90正式现金价</x:v>
      </x:c>
      <x:c r="G5" s="520" t="str">
        <x:v>价格节点角色</x:v>
      </x:c>
      <x:c r="H5" s="520" t="str">
        <x:v>主要触发/解释</x:v>
      </x:c>
    </x:row>
    <x:row r="6" ht="54" customHeight="1">
      <x:c r="A6" s="19" t="str">
        <x:v>0</x:v>
      </x:c>
      <x:c r="B6" s="414" t="n">
        <x:v>0</x:v>
      </x:c>
      <x:c r="C6" s="528" t="n">
        <x:v>0.05</x:v>
      </x:c>
      <x:c r="D6" s="414" t="n">
        <x:f>259900-B6</x:f>
        <x:v>259900</x:v>
      </x:c>
      <x:c r="E6" s="528" t="n">
        <x:v>0.03</x:v>
      </x:c>
      <x:c r="F6" s="414" t="n">
        <x:f>299900-B6</x:f>
        <x:v>299900</x:v>
      </x:c>
      <x:c r="G6" s="19" t="str">
        <x:v>强需求/产能受限</x:v>
      </x:c>
      <x:c r="H6" s="19" t="str">
        <x:v>订单极强、正式版增配显著</x:v>
      </x:c>
    </x:row>
    <x:row r="7" ht="54" customHeight="1">
      <x:c r="A7" s="521" t="str">
        <x:v>0.6万</x:v>
      </x:c>
      <x:c r="B7" s="525" t="n">
        <x:v>6000</x:v>
      </x:c>
      <x:c r="C7" s="529" t="n">
        <x:v>0.07</x:v>
      </x:c>
      <x:c r="D7" s="525" t="n">
        <x:f>259900-B7</x:f>
        <x:v>253900</x:v>
      </x:c>
      <x:c r="E7" s="529" t="n">
        <x:v>0.04</x:v>
      </x:c>
      <x:c r="F7" s="525" t="n">
        <x:f>299900-B7</x:f>
        <x:v>293900</x:v>
      </x:c>
      <x:c r="G7" s="521" t="str">
        <x:v>SU7式特殊围栏</x:v>
      </x:c>
      <x:c r="H7" s="521" t="str">
        <x:v>保留但不再作为普遍中心</x:v>
      </x:c>
    </x:row>
    <x:row r="8" ht="54" customHeight="1">
      <x:c r="A8" s="19" t="str">
        <x:v>1万</x:v>
      </x:c>
      <x:c r="B8" s="414" t="n">
        <x:v>10000</x:v>
      </x:c>
      <x:c r="C8" s="528" t="n">
        <x:v>0.5</x:v>
      </x:c>
      <x:c r="D8" s="414" t="n">
        <x:f>259900-B8</x:f>
        <x:v>249900</x:v>
      </x:c>
      <x:c r="E8" s="528" t="n">
        <x:v>0.28</x:v>
      </x:c>
      <x:c r="F8" s="414" t="n">
        <x:f>299900-B8</x:f>
        <x:v>289900</x:v>
      </x:c>
      <x:c r="G8" s="19" t="str">
        <x:v>N70 MODE</x:v>
      </x:c>
      <x:c r="H8" s="19" t="str">
        <x:v>N70对齐新L6 24.98万</x:v>
      </x:c>
    </x:row>
    <x:row r="9" ht="54" customHeight="1">
      <x:c r="A9" s="521" t="str">
        <x:v>2万</x:v>
      </x:c>
      <x:c r="B9" s="525" t="n">
        <x:v>20000</x:v>
      </x:c>
      <x:c r="C9" s="529" t="n">
        <x:v>0.3</x:v>
      </x:c>
      <x:c r="D9" s="525" t="n">
        <x:f>259900-B9</x:f>
        <x:v>239900</x:v>
      </x:c>
      <x:c r="E9" s="529" t="n">
        <x:v>0.44</x:v>
      </x:c>
      <x:c r="F9" s="525" t="n">
        <x:f>299900-B9</x:f>
        <x:v>279900</x:v>
      </x:c>
      <x:c r="G9" s="521" t="str">
        <x:v>N90 MODE / N70厚尾</x:v>
      </x:c>
      <x:c r="H9" s="521" t="str">
        <x:v>N90对齐L90/GX约27.98万</x:v>
      </x:c>
    </x:row>
    <x:row r="10" ht="54" customHeight="1">
      <x:c r="A10" s="19" t="str">
        <x:v>3万</x:v>
      </x:c>
      <x:c r="B10" s="414" t="n">
        <x:v>30000</x:v>
      </x:c>
      <x:c r="C10" s="528" t="n">
        <x:v>0.07</x:v>
      </x:c>
      <x:c r="D10" s="414" t="n">
        <x:f>259900-B10</x:f>
        <x:v>229900</x:v>
      </x:c>
      <x:c r="E10" s="528" t="n">
        <x:v>0.18</x:v>
      </x:c>
      <x:c r="F10" s="414" t="n">
        <x:f>299900-B10</x:f>
        <x:v>269900</x:v>
      </x:c>
      <x:c r="G10" s="19" t="str">
        <x:v>进攻情景</x:v>
      </x:c>
      <x:c r="H10" s="19" t="str">
        <x:v>预订偏弱、明确价值压制</x:v>
      </x:c>
    </x:row>
    <x:row r="11" ht="54" customHeight="1">
      <x:c r="A11" s="521" t="str">
        <x:v>≥4万</x:v>
      </x:c>
      <x:c r="B11" s="525" t="n">
        <x:v>40000</x:v>
      </x:c>
      <x:c r="C11" s="529" t="n">
        <x:v>0.01</x:v>
      </x:c>
      <x:c r="D11" s="525" t="n">
        <x:f>259900-B11</x:f>
        <x:v>219900</x:v>
      </x:c>
      <x:c r="E11" s="529" t="n">
        <x:v>0.03</x:v>
      </x:c>
      <x:c r="F11" s="525" t="n">
        <x:f>299900-B11</x:f>
        <x:v>259900</x:v>
      </x:c>
      <x:c r="G11" s="521" t="str">
        <x:v>开放战略尾部</x:v>
      </x:c>
      <x:c r="H11" s="521" t="str">
        <x:v>版本重构/新增低价节点/竞争急剧加码；非零但不作中心</x:v>
      </x:c>
    </x:row>
    <x:row r="14" ht="24" customHeight="1">
      <x:c r="A14" s="524" t="str">
        <x:v>分布摘要（公式回链上表）</x:v>
      </x:c>
      <x:c r="B14" s="524"/>
      <x:c r="C14" s="524"/>
      <x:c r="D14" s="524"/>
      <x:c r="E14" s="524"/>
      <x:c r="F14" s="524"/>
      <x:c r="G14" s="524"/>
      <x:c r="H14" s="524"/>
    </x:row>
    <x:row r="15" ht="44" customHeight="1">
      <x:c r="A15" s="520" t="str">
        <x:v>指标</x:v>
      </x:c>
      <x:c r="B15" s="520" t="str">
        <x:v>N70 Max</x:v>
      </x:c>
      <x:c r="C15" s="520" t="str">
        <x:v>N90 Max</x:v>
      </x:c>
      <x:c r="D15" s="520" t="str">
        <x:v>解释</x:v>
      </x:c>
    </x:row>
    <x:row r="16" ht="48" customHeight="1">
      <x:c r="A16" s="19" t="str">
        <x:v>权重合计</x:v>
      </x:c>
      <x:c r="B16" s="23" t="n">
        <x:f>SUM(C6:C11)</x:f>
        <x:v>1</x:v>
      </x:c>
      <x:c r="C16" s="23" t="n">
        <x:f>SUM(E6:E11)</x:f>
        <x:v>1</x:v>
      </x:c>
      <x:c r="D16" s="19" t="str">
        <x:v>必须为100%</x:v>
      </x:c>
    </x:row>
    <x:row r="17" ht="48" customHeight="1">
      <x:c r="A17" s="521" t="str">
        <x:v>期望现金降幅下界</x:v>
      </x:c>
      <x:c r="B17" s="525" t="n">
        <x:f>SUMPRODUCT(B6:B11,C6:C11)</x:f>
        <x:v>13920</x:v>
      </x:c>
      <x:c r="C17" s="525" t="n">
        <x:f>SUMPRODUCT(B6:B11,E6:E11)</x:f>
        <x:v>18440</x:v>
      </x:c>
      <x:c r="D17" s="521" t="str">
        <x:v>≥4万尾部按4万计算</x:v>
      </x:c>
    </x:row>
    <x:row r="18" ht="48" customHeight="1">
      <x:c r="A18" s="19" t="str">
        <x:v>期望正式现金价上界</x:v>
      </x:c>
      <x:c r="B18" s="414" t="n">
        <x:f>259900-B17</x:f>
        <x:v>245980</x:v>
      </x:c>
      <x:c r="C18" s="414" t="n">
        <x:f>299900-C17</x:f>
        <x:v>281460</x:v>
      </x:c>
      <x:c r="D18" s="19" t="str">
        <x:v>预售价减期望降幅下界</x:v>
      </x:c>
    </x:row>
    <x:row r="19" ht="48" customHeight="1">
      <x:c r="A19" s="521" t="str">
        <x:v>众数降幅</x:v>
      </x:c>
      <x:c r="B19" s="525" t="n">
        <x:f>INDEX(B6:B11,MATCH(MAX(C6:C11),C6:C11,0))</x:f>
        <x:v>10000</x:v>
      </x:c>
      <x:c r="C19" s="525" t="n">
        <x:f>INDEX(B6:B11,MATCH(MAX(E6:E11),E6:E11,0))</x:f>
        <x:v>20000</x:v>
      </x:c>
      <x:c r="D19" s="521" t="str">
        <x:v>最高权重价格档</x:v>
      </x:c>
    </x:row>
    <x:row r="20" ht="48" customHeight="1">
      <x:c r="A20" s="19" t="str">
        <x:v>众数正式现金价</x:v>
      </x:c>
      <x:c r="B20" s="414" t="n">
        <x:f>259900-B19</x:f>
        <x:v>249900</x:v>
      </x:c>
      <x:c r="C20" s="414" t="n">
        <x:f>299900-C19</x:f>
        <x:v>279900</x:v>
      </x:c>
      <x:c r="D20" s="19" t="str">
        <x:v>广告价中心</x:v>
      </x:c>
    </x:row>
    <x:row r="21" ht="48" customHeight="1">
      <x:c r="A21" s="521" t="str">
        <x:v>P(现金降幅&gt;1万)</x:v>
      </x:c>
      <x:c r="B21" s="526" t="n">
        <x:f>SUM(C9:C11)</x:f>
        <x:v>0.38</x:v>
      </x:c>
      <x:c r="C21" s="526" t="n">
        <x:f>SUM(E9:E11)</x:f>
        <x:v>0.65</x:v>
      </x:c>
      <x:c r="D21" s="521" t="str">
        <x:v>2万及更深档合计</x:v>
      </x:c>
    </x:row>
    <x:row r="22" ht="48" customHeight="1">
      <x:c r="A22" s="19" t="str">
        <x:v>P(现金降幅≥3万)</x:v>
      </x:c>
      <x:c r="B22" s="23" t="n">
        <x:f>SUM(C10:C11)</x:f>
        <x:v>0.08</x:v>
      </x:c>
      <x:c r="C22" s="23" t="n">
        <x:f>SUM(E10:E11)</x:f>
        <x:v>0.21</x:v>
      </x:c>
      <x:c r="D22" s="19" t="str">
        <x:v>进攻及开放尾部</x:v>
      </x:c>
    </x:row>
    <x:row r="23" ht="48" customHeight="1">
      <x:c r="A23" s="521" t="str">
        <x:v>P(现金降幅≥4万)</x:v>
      </x:c>
      <x:c r="B23" s="526" t="n">
        <x:f>C11</x:f>
        <x:v>0.01</x:v>
      </x:c>
      <x:c r="C23" s="526" t="n">
        <x:f>E11</x:f>
        <x:v>0.03</x:v>
      </x:c>
      <x:c r="D23" s="521" t="str">
        <x:v>不再人为设为零</x:v>
      </x:c>
    </x:row>
    <x:row r="26" ht="24" customHeight="1">
      <x:c r="A26" s="524" t="str">
        <x:v>权益层：不改变正式现金指导价分布</x:v>
      </x:c>
      <x:c r="B26" s="524"/>
      <x:c r="C26" s="524"/>
      <x:c r="D26" s="524"/>
      <x:c r="E26" s="524"/>
      <x:c r="F26" s="524"/>
      <x:c r="G26" s="524"/>
      <x:c r="H26" s="524"/>
    </x:row>
    <x:row r="27" ht="46" customHeight="1">
      <x:c r="A27" s="520" t="str">
        <x:v>权益类型</x:v>
      </x:c>
      <x:c r="B27" s="520" t="str">
        <x:v>可能量级</x:v>
      </x:c>
      <x:c r="C27" s="520" t="str">
        <x:v>是否减正式价</x:v>
      </x:c>
      <x:c r="D27" s="520" t="str">
        <x:v>何时计入有效购车成本</x:v>
      </x:c>
      <x:c r="E27" s="520" t="str">
        <x:v>常见实现</x:v>
      </x:c>
      <x:c r="F27" s="520" t="str">
        <x:v>当前权重</x:v>
      </x:c>
      <x:c r="G27" s="520" t="str">
        <x:v>状态</x:v>
      </x:c>
      <x:c r="H27" s="520" t="str">
        <x:v>防误算</x:v>
      </x:c>
    </x:row>
    <x:row r="28" ht="52" customHeight="1">
      <x:c r="A28" s="19" t="str">
        <x:v>选装券/免费配置</x:v>
      </x:c>
      <x:c r="B28" s="19" t="str">
        <x:v>0.3—1.0万</x:v>
      </x:c>
      <x:c r="C28" s="19" t="str">
        <x:v>NO</x:v>
      </x:c>
      <x:c r="D28" s="19" t="str">
        <x:v>明确可量化且用户可兑现</x:v>
      </x:c>
      <x:c r="E28" s="19" t="str">
        <x:v>现金降1万+0.5万权益</x:v>
      </x:c>
      <x:c r="F28" s="19" t="str"/>
      <x:c r="G28" s="19" t="str">
        <x:v>SEPARATE_LAYER</x:v>
      </x:c>
      <x:c r="H28" s="19" t="str">
        <x:v>不把标称价值等同采购成本</x:v>
      </x:c>
    </x:row>
    <x:row r="29" ht="52" customHeight="1">
      <x:c r="A29" s="521" t="str">
        <x:v>金融贴息/保险</x:v>
      </x:c>
      <x:c r="B29" s="521" t="str">
        <x:v>因期限而异</x:v>
      </x:c>
      <x:c r="C29" s="521" t="str">
        <x:v>NO</x:v>
      </x:c>
      <x:c r="D29" s="521" t="str">
        <x:v>按真实现金流折现</x:v>
      </x:c>
      <x:c r="E29" s="521" t="str">
        <x:v>低息/免息/保险补贴</x:v>
      </x:c>
      <x:c r="F29" s="521" t="str"/>
      <x:c r="G29" s="521" t="str">
        <x:v>SEPARATE_LAYER</x:v>
      </x:c>
      <x:c r="H29" s="521" t="str">
        <x:v>不能直接按宣传额全额扣价</x:v>
      </x:c>
    </x:row>
    <x:row r="30" ht="52" customHeight="1">
      <x:c r="A30" s="19" t="str">
        <x:v>BaaS/电池租用</x:v>
      </x:c>
      <x:c r="B30" s="19" t="str">
        <x:v>可显著降低购车门槛</x:v>
      </x:c>
      <x:c r="C30" s="19" t="str">
        <x:v>NO</x:v>
      </x:c>
      <x:c r="D30" s="19" t="str">
        <x:v>另建全生命周期现金流</x:v>
      </x:c>
      <x:c r="E30" s="19" t="str">
        <x:v>车电分离</x:v>
      </x:c>
      <x:c r="F30" s="19" t="str"/>
      <x:c r="G30" s="19" t="str">
        <x:v>EXCLUDED_CASH_PRICE</x:v>
      </x:c>
      <x:c r="H30" s="19" t="str">
        <x:v>不得与整车购买价直接比较</x:v>
      </x:c>
    </x:row>
  </x:sheetData>
  <x:mergeCells>
    <x:mergeCell ref="A1:H1"/>
    <x:mergeCell ref="A2:H2"/>
    <x:mergeCell ref="A3:H3"/>
    <x:mergeCell ref="A14:H14"/>
    <x:mergeCell ref="A26:H26"/>
  </x:mergeCells>
  <x:conditionalFormatting sqref="G6:G11">
    <x:cfRule type="containsText" dxfId="2371" priority="1" operator="containsText" text="PASS"/>
    <x:cfRule type="containsText" dxfId="2372" priority="2" operator="containsText" text="READY"/>
    <x:cfRule type="containsText" dxfId="2373" priority="3" operator="containsText" text="CORE"/>
    <x:cfRule type="containsText" dxfId="2374" priority="4" operator="containsText" text="MODE"/>
    <x:cfRule type="containsText" dxfId="2375" priority="5" operator="containsText" text="OFFICIAL"/>
    <x:cfRule type="containsText" dxfId="2376" priority="6" operator="containsText" text="YES"/>
    <x:cfRule type="containsText" dxfId="2377" priority="7" operator="containsText" text="PROVISIONAL"/>
    <x:cfRule type="containsText" dxfId="2378" priority="8" operator="containsText" text="SCENARIO"/>
    <x:cfRule type="containsText" dxfId="2379" priority="9" operator="containsText" text="CONDITIONAL"/>
    <x:cfRule type="containsText" dxfId="2380" priority="10" operator="containsText" text="TAIL"/>
    <x:cfRule type="containsText" dxfId="2381" priority="11" operator="containsText" text="LIMITED"/>
    <x:cfRule type="containsText" dxfId="2382" priority="12" operator="containsText" text="BaaS"/>
    <x:cfRule type="containsText" dxfId="2383" priority="13" operator="containsText" text="EXCLUDED"/>
    <x:cfRule type="containsText" dxfId="2384" priority="14" operator="containsText" text="NO"/>
    <x:cfRule type="containsText" dxfId="2385" priority="15" operator="containsText" text="BLOCKED"/>
    <x:cfRule type="containsText" dxfId="2386" priority="16" operator="containsText" text="FAIL"/>
    <x:cfRule type="containsText" dxfId="2387" priority="17" operator="containsText" text="SUPERSEDED"/>
  </x:conditionalFormatting>
  <x:conditionalFormatting sqref="G28:G30">
    <x:cfRule type="containsText" dxfId="2388" priority="18" operator="containsText" text="PASS"/>
    <x:cfRule type="containsText" dxfId="2389" priority="19" operator="containsText" text="READY"/>
    <x:cfRule type="containsText" dxfId="2390" priority="20" operator="containsText" text="CORE"/>
    <x:cfRule type="containsText" dxfId="2391" priority="21" operator="containsText" text="MODE"/>
    <x:cfRule type="containsText" dxfId="2392" priority="22" operator="containsText" text="OFFICIAL"/>
    <x:cfRule type="containsText" dxfId="2393" priority="23" operator="containsText" text="YES"/>
    <x:cfRule type="containsText" dxfId="2394" priority="24" operator="containsText" text="PROVISIONAL"/>
    <x:cfRule type="containsText" dxfId="2395" priority="25" operator="containsText" text="SCENARIO"/>
    <x:cfRule type="containsText" dxfId="2396" priority="26" operator="containsText" text="CONDITIONAL"/>
    <x:cfRule type="containsText" dxfId="2397" priority="27" operator="containsText" text="TAIL"/>
    <x:cfRule type="containsText" dxfId="2398" priority="28" operator="containsText" text="LIMITED"/>
    <x:cfRule type="containsText" dxfId="2399" priority="29" operator="containsText" text="BaaS"/>
    <x:cfRule type="containsText" dxfId="2400" priority="30" operator="containsText" text="EXCLUDED"/>
    <x:cfRule type="containsText" dxfId="2401" priority="31" operator="containsText" text="NO"/>
    <x:cfRule type="containsText" dxfId="2402" priority="32" operator="containsText" text="BLOCKED"/>
    <x:cfRule type="containsText" dxfId="2403" priority="33" operator="containsText" text="FAIL"/>
    <x:cfRule type="containsText" dxfId="2404" priority="34" operator="containsText" text="SUPERSEDED"/>
  </x:conditionalFormatting>
  <x:pageMargins left="0.7" right="0.7" top="0.75" bottom="0.75" header="0.3" footer="0.3"/>
</x:worksheet>
</file>

<file path=xl/worksheets/sheet10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6" hidden="0" customWidth="1"/>
    <x:col min="3" max="3" width="16" hidden="0" customWidth="1"/>
    <x:col min="4" max="4" width="16" hidden="0" customWidth="1"/>
    <x:col min="5" max="5" width="18" hidden="0" customWidth="1"/>
    <x:col min="6" max="6" width="18" hidden="0" customWidth="1"/>
    <x:col min="7" max="7" width="17" hidden="0" customWidth="1"/>
    <x:col min="8" max="8" width="19" hidden="0" customWidth="1"/>
    <x:col min="9" max="9" width="31" hidden="0" customWidth="1"/>
    <x:col min="10" max="10" width="19" hidden="0" customWidth="1"/>
    <x:col min="11" max="11" width="28" hidden="0" customWidth="1"/>
    <x:col min="12" max="12" width="44" hidden="0" customWidth="1"/>
  </x:cols>
  <x:sheetData>
    <x:row r="1" ht="30" customHeight="1">
      <x:c r="A1" s="508" t="str">
        <x:v>99｜N70/N90联合降价情景与四版本联动</x:v>
      </x:c>
      <x:c r="B1" s="508"/>
      <x:c r="C1" s="508"/>
      <x:c r="D1" s="508"/>
      <x:c r="E1" s="508"/>
      <x:c r="F1" s="508"/>
      <x:c r="G1" s="508"/>
      <x:c r="H1" s="508"/>
      <x:c r="I1" s="508"/>
      <x:c r="J1" s="508"/>
      <x:c r="K1" s="508"/>
      <x:c r="L1" s="508"/>
    </x:row>
    <x:row r="2" ht="22" customHeight="1">
      <x:c r="A2" s="511" t="str">
        <x:v>保持边际分布 × 允许N90多降一档 × 候选版本设置商业下沿</x:v>
      </x:c>
      <x:c r="B2" s="511"/>
      <x:c r="C2" s="511"/>
      <x:c r="D2" s="511"/>
      <x:c r="E2" s="511"/>
      <x:c r="F2" s="511"/>
      <x:c r="G2" s="511"/>
      <x:c r="H2" s="511"/>
      <x:c r="I2" s="511"/>
      <x:c r="J2" s="511"/>
      <x:c r="K2" s="511"/>
      <x:c r="L2" s="511"/>
    </x:row>
    <x:row r="3" ht="76" customHeight="1">
      <x:c r="A3" s="515" t="str">
        <x:v>联合权重不是独立相乘，而是把98表边际分布耦合为可落地的价格梯度。最高单一联合情景为N70降1万、N90降2万；因此新的四节点众数向量为20.99 / 24.99 / 27.99 / 29.99万元，两端仍是条件候选。</x:v>
      </x:c>
      <x:c r="B3" s="515"/>
      <x:c r="C3" s="515"/>
      <x:c r="D3" s="515"/>
      <x:c r="E3" s="515"/>
      <x:c r="F3" s="515"/>
      <x:c r="G3" s="515"/>
      <x:c r="H3" s="515"/>
      <x:c r="I3" s="515"/>
      <x:c r="J3" s="515"/>
      <x:c r="K3" s="515"/>
      <x:c r="L3" s="515"/>
    </x:row>
    <x:row r="5" ht="56" customHeight="1">
      <x:c r="A5" s="520" t="str">
        <x:v>scenario_id</x:v>
      </x:c>
      <x:c r="B5" s="520" t="str">
        <x:v>N70降幅</x:v>
      </x:c>
      <x:c r="C5" s="520" t="str">
        <x:v>N90降幅</x:v>
      </x:c>
      <x:c r="D5" s="520" t="str">
        <x:v>联合权重</x:v>
      </x:c>
      <x:c r="E5" s="520" t="str">
        <x:v>N70 Max正式价</x:v>
      </x:c>
      <x:c r="F5" s="520" t="str">
        <x:v>N90 Max正式价</x:v>
      </x:c>
      <x:c r="G5" s="520" t="str">
        <x:v>两Max价差</x:v>
      </x:c>
      <x:c r="H5" s="520" t="str">
        <x:v>N70低阶候选</x:v>
      </x:c>
      <x:c r="I5" s="520" t="str">
        <x:v>低阶状态</x:v>
      </x:c>
      <x:c r="J5" s="520" t="str">
        <x:v>N90升顶候选</x:v>
      </x:c>
      <x:c r="K5" s="520" t="str">
        <x:v>升顶状态</x:v>
      </x:c>
      <x:c r="L5" s="520" t="str">
        <x:v>解释</x:v>
      </x:c>
    </x:row>
    <x:row r="6" ht="54" customHeight="1">
      <x:c r="A6" s="19" t="str">
        <x:v>S01</x:v>
      </x:c>
      <x:c r="B6" s="414" t="n">
        <x:v>0</x:v>
      </x:c>
      <x:c r="C6" s="414" t="n">
        <x:v>0</x:v>
      </x:c>
      <x:c r="D6" s="528" t="n">
        <x:v>0.03</x:v>
      </x:c>
      <x:c r="E6" s="414" t="n">
        <x:f>259900-B6</x:f>
        <x:v>259900</x:v>
      </x:c>
      <x:c r="F6" s="414" t="n">
        <x:f>299900-C6</x:f>
        <x:v>299900</x:v>
      </x:c>
      <x:c r="G6" s="414" t="n">
        <x:f>F6-E6</x:f>
        <x:v>40000</x:v>
      </x:c>
      <x:c r="H6" s="414" t="n">
        <x:f>MAX(E6-40000,199900)</x:f>
        <x:v>219900</x:v>
      </x:c>
      <x:c r="I6" s="19" t="str">
        <x:f>IF(E6-40000&lt;199900,"触及19.99下沿/可能不上市","Max-4万")</x:f>
        <x:v>Max-4万</x:v>
      </x:c>
      <x:c r="J6" s="414" t="n">
        <x:f>MAX(F6+20000,299900)</x:f>
        <x:v>319900</x:v>
      </x:c>
      <x:c r="K6" s="19" t="str">
        <x:f>IF(F6+20000&lt;299900,"触及29.99特殊版下沿","Max+2万")</x:f>
        <x:v>Max+2万</x:v>
      </x:c>
      <x:c r="L6" s="19" t="str">
        <x:v>强需求，同价上市</x:v>
      </x:c>
    </x:row>
    <x:row r="7" ht="54" customHeight="1">
      <x:c r="A7" s="521" t="str">
        <x:v>S02</x:v>
      </x:c>
      <x:c r="B7" s="525" t="n">
        <x:v>0</x:v>
      </x:c>
      <x:c r="C7" s="525" t="n">
        <x:v>6000</x:v>
      </x:c>
      <x:c r="D7" s="529" t="n">
        <x:v>0.02</x:v>
      </x:c>
      <x:c r="E7" s="525" t="n">
        <x:f>259900-B7</x:f>
        <x:v>259900</x:v>
      </x:c>
      <x:c r="F7" s="525" t="n">
        <x:f>299900-C7</x:f>
        <x:v>293900</x:v>
      </x:c>
      <x:c r="G7" s="525" t="n">
        <x:f>F7-E7</x:f>
        <x:v>34000</x:v>
      </x:c>
      <x:c r="H7" s="525" t="n">
        <x:f>MAX(E7-40000,199900)</x:f>
        <x:v>219900</x:v>
      </x:c>
      <x:c r="I7" s="521" t="str">
        <x:f>IF(E7-40000&lt;199900,"触及19.99下沿/可能不上市","Max-4万")</x:f>
        <x:v>Max-4万</x:v>
      </x:c>
      <x:c r="J7" s="525" t="n">
        <x:f>MAX(F7+20000,299900)</x:f>
        <x:v>313900</x:v>
      </x:c>
      <x:c r="K7" s="521" t="str">
        <x:f>IF(F7+20000&lt;299900,"触及29.99特殊版下沿","Max+2万")</x:f>
        <x:v>Max+2万</x:v>
      </x:c>
      <x:c r="L7" s="521" t="str">
        <x:v>N90仅做特殊围栏</x:v>
      </x:c>
    </x:row>
    <x:row r="8" ht="54" customHeight="1">
      <x:c r="A8" s="19" t="str">
        <x:v>S03</x:v>
      </x:c>
      <x:c r="B8" s="414" t="n">
        <x:v>6000</x:v>
      </x:c>
      <x:c r="C8" s="414" t="n">
        <x:v>6000</x:v>
      </x:c>
      <x:c r="D8" s="528" t="n">
        <x:v>0.02</x:v>
      </x:c>
      <x:c r="E8" s="414" t="n">
        <x:f>259900-B8</x:f>
        <x:v>253900</x:v>
      </x:c>
      <x:c r="F8" s="414" t="n">
        <x:f>299900-C8</x:f>
        <x:v>293900</x:v>
      </x:c>
      <x:c r="G8" s="414" t="n">
        <x:f>F8-E8</x:f>
        <x:v>40000</x:v>
      </x:c>
      <x:c r="H8" s="414" t="n">
        <x:f>MAX(E8-40000,199900)</x:f>
        <x:v>213900</x:v>
      </x:c>
      <x:c r="I8" s="19" t="str">
        <x:f>IF(E8-40000&lt;199900,"触及19.99下沿/可能不上市","Max-4万")</x:f>
        <x:v>Max-4万</x:v>
      </x:c>
      <x:c r="J8" s="414" t="n">
        <x:f>MAX(F8+20000,299900)</x:f>
        <x:v>313900</x:v>
      </x:c>
      <x:c r="K8" s="19" t="str">
        <x:f>IF(F8+20000&lt;299900,"触及29.99特殊版下沿","Max+2万")</x:f>
        <x:v>Max+2万</x:v>
      </x:c>
      <x:c r="L8" s="19" t="str">
        <x:v>SU7式共同围栏</x:v>
      </x:c>
    </x:row>
    <x:row r="9" ht="54" customHeight="1">
      <x:c r="A9" s="521" t="str">
        <x:v>S04</x:v>
      </x:c>
      <x:c r="B9" s="525" t="n">
        <x:v>6000</x:v>
      </x:c>
      <x:c r="C9" s="525" t="n">
        <x:v>10000</x:v>
      </x:c>
      <x:c r="D9" s="529" t="n">
        <x:v>0.05</x:v>
      </x:c>
      <x:c r="E9" s="525" t="n">
        <x:f>259900-B9</x:f>
        <x:v>253900</x:v>
      </x:c>
      <x:c r="F9" s="525" t="n">
        <x:f>299900-C9</x:f>
        <x:v>289900</x:v>
      </x:c>
      <x:c r="G9" s="525" t="n">
        <x:f>F9-E9</x:f>
        <x:v>36000</x:v>
      </x:c>
      <x:c r="H9" s="525" t="n">
        <x:f>MAX(E9-40000,199900)</x:f>
        <x:v>213900</x:v>
      </x:c>
      <x:c r="I9" s="521" t="str">
        <x:f>IF(E9-40000&lt;199900,"触及19.99下沿/可能不上市","Max-4万")</x:f>
        <x:v>Max-4万</x:v>
      </x:c>
      <x:c r="J9" s="525" t="n">
        <x:f>MAX(F9+20000,299900)</x:f>
        <x:v>309900</x:v>
      </x:c>
      <x:c r="K9" s="521" t="str">
        <x:f>IF(F9+20000&lt;299900,"触及29.99特殊版下沿","Max+2万")</x:f>
        <x:v>Max+2万</x:v>
      </x:c>
      <x:c r="L9" s="521" t="str">
        <x:v>N90多降0.4万</x:v>
      </x:c>
    </x:row>
    <x:row r="10" ht="54" customHeight="1">
      <x:c r="A10" s="19" t="str">
        <x:v>S05</x:v>
      </x:c>
      <x:c r="B10" s="414" t="n">
        <x:v>10000</x:v>
      </x:c>
      <x:c r="C10" s="414" t="n">
        <x:v>10000</x:v>
      </x:c>
      <x:c r="D10" s="528" t="n">
        <x:v>0.23</x:v>
      </x:c>
      <x:c r="E10" s="414" t="n">
        <x:f>259900-B10</x:f>
        <x:v>249900</x:v>
      </x:c>
      <x:c r="F10" s="414" t="n">
        <x:f>299900-C10</x:f>
        <x:v>289900</x:v>
      </x:c>
      <x:c r="G10" s="414" t="n">
        <x:f>F10-E10</x:f>
        <x:v>40000</x:v>
      </x:c>
      <x:c r="H10" s="414" t="n">
        <x:f>MAX(E10-40000,199900)</x:f>
        <x:v>209900</x:v>
      </x:c>
      <x:c r="I10" s="19" t="str">
        <x:f>IF(E10-40000&lt;199900,"触及19.99下沿/可能不上市","Max-4万")</x:f>
        <x:v>Max-4万</x:v>
      </x:c>
      <x:c r="J10" s="414" t="n">
        <x:f>MAX(F10+20000,299900)</x:f>
        <x:v>309900</x:v>
      </x:c>
      <x:c r="K10" s="19" t="str">
        <x:f>IF(F10+20000&lt;299900,"触及29.99特殊版下沿","Max+2万")</x:f>
        <x:v>Max+2万</x:v>
      </x:c>
      <x:c r="L10" s="19" t="str">
        <x:v>旧共同降1万主情景</x:v>
      </x:c>
    </x:row>
    <x:row r="11" ht="54" customHeight="1">
      <x:c r="A11" s="521" t="str">
        <x:v>S06</x:v>
      </x:c>
      <x:c r="B11" s="525" t="n">
        <x:v>10000</x:v>
      </x:c>
      <x:c r="C11" s="525" t="n">
        <x:v>20000</x:v>
      </x:c>
      <x:c r="D11" s="529" t="n">
        <x:v>0.24</x:v>
      </x:c>
      <x:c r="E11" s="525" t="n">
        <x:f>259900-B11</x:f>
        <x:v>249900</x:v>
      </x:c>
      <x:c r="F11" s="525" t="n">
        <x:f>299900-C11</x:f>
        <x:v>279900</x:v>
      </x:c>
      <x:c r="G11" s="525" t="n">
        <x:f>F11-E11</x:f>
        <x:v>30000</x:v>
      </x:c>
      <x:c r="H11" s="525" t="n">
        <x:f>MAX(E11-40000,199900)</x:f>
        <x:v>209900</x:v>
      </x:c>
      <x:c r="I11" s="521" t="str">
        <x:f>IF(E11-40000&lt;199900,"触及19.99下沿/可能不上市","Max-4万")</x:f>
        <x:v>Max-4万</x:v>
      </x:c>
      <x:c r="J11" s="525" t="n">
        <x:f>MAX(F11+20000,299900)</x:f>
        <x:v>299900</x:v>
      </x:c>
      <x:c r="K11" s="521" t="str">
        <x:f>IF(F11+20000&lt;299900,"触及29.99特殊版下沿","Max+2万")</x:f>
        <x:v>Max+2万</x:v>
      </x:c>
      <x:c r="L11" s="521" t="str">
        <x:v>CURRENT_MODE：N70平L6，N90平L90/GX</x:v>
      </x:c>
    </x:row>
    <x:row r="12" ht="54" customHeight="1">
      <x:c r="A12" s="19" t="str">
        <x:v>S07</x:v>
      </x:c>
      <x:c r="B12" s="414" t="n">
        <x:v>10000</x:v>
      </x:c>
      <x:c r="C12" s="414" t="n">
        <x:v>30000</x:v>
      </x:c>
      <x:c r="D12" s="528" t="n">
        <x:v>0.03</x:v>
      </x:c>
      <x:c r="E12" s="414" t="n">
        <x:f>259900-B12</x:f>
        <x:v>249900</x:v>
      </x:c>
      <x:c r="F12" s="414" t="n">
        <x:f>299900-C12</x:f>
        <x:v>269900</x:v>
      </x:c>
      <x:c r="G12" s="414" t="n">
        <x:f>F12-E12</x:f>
        <x:v>20000</x:v>
      </x:c>
      <x:c r="H12" s="414" t="n">
        <x:f>MAX(E12-40000,199900)</x:f>
        <x:v>209900</x:v>
      </x:c>
      <x:c r="I12" s="19" t="str">
        <x:f>IF(E12-40000&lt;199900,"触及19.99下沿/可能不上市","Max-4万")</x:f>
        <x:v>Max-4万</x:v>
      </x:c>
      <x:c r="J12" s="414" t="n">
        <x:f>MAX(F12+20000,299900)</x:f>
        <x:v>299900</x:v>
      </x:c>
      <x:c r="K12" s="19" t="str">
        <x:f>IF(F12+20000&lt;299900,"触及29.99特殊版下沿","Max+2万")</x:f>
        <x:v>触及29.99特殊版下沿</x:v>
      </x:c>
      <x:c r="L12" s="19" t="str">
        <x:v>N90强进攻，Max梯度压至2万</x:v>
      </x:c>
    </x:row>
    <x:row r="13" ht="54" customHeight="1">
      <x:c r="A13" s="521" t="str">
        <x:v>S08</x:v>
      </x:c>
      <x:c r="B13" s="525" t="n">
        <x:v>20000</x:v>
      </x:c>
      <x:c r="C13" s="525" t="n">
        <x:v>20000</x:v>
      </x:c>
      <x:c r="D13" s="529" t="n">
        <x:v>0.2</x:v>
      </x:c>
      <x:c r="E13" s="525" t="n">
        <x:f>259900-B13</x:f>
        <x:v>239900</x:v>
      </x:c>
      <x:c r="F13" s="525" t="n">
        <x:f>299900-C13</x:f>
        <x:v>279900</x:v>
      </x:c>
      <x:c r="G13" s="525" t="n">
        <x:f>F13-E13</x:f>
        <x:v>40000</x:v>
      </x:c>
      <x:c r="H13" s="525" t="n">
        <x:f>MAX(E13-40000,199900)</x:f>
        <x:v>199900</x:v>
      </x:c>
      <x:c r="I13" s="521" t="str">
        <x:f>IF(E13-40000&lt;199900,"触及19.99下沿/可能不上市","Max-4万")</x:f>
        <x:v>Max-4万</x:v>
      </x:c>
      <x:c r="J13" s="525" t="n">
        <x:f>MAX(F13+20000,299900)</x:f>
        <x:v>299900</x:v>
      </x:c>
      <x:c r="K13" s="521" t="str">
        <x:f>IF(F13+20000&lt;299900,"触及29.99特殊版下沿","Max+2万")</x:f>
        <x:v>Max+2万</x:v>
      </x:c>
      <x:c r="L13" s="521" t="str">
        <x:v>共同降2万</x:v>
      </x:c>
    </x:row>
    <x:row r="14" ht="54" customHeight="1">
      <x:c r="A14" s="19" t="str">
        <x:v>S09</x:v>
      </x:c>
      <x:c r="B14" s="414" t="n">
        <x:v>20000</x:v>
      </x:c>
      <x:c r="C14" s="414" t="n">
        <x:v>30000</x:v>
      </x:c>
      <x:c r="D14" s="528" t="n">
        <x:v>0.1</x:v>
      </x:c>
      <x:c r="E14" s="414" t="n">
        <x:f>259900-B14</x:f>
        <x:v>239900</x:v>
      </x:c>
      <x:c r="F14" s="414" t="n">
        <x:f>299900-C14</x:f>
        <x:v>269900</x:v>
      </x:c>
      <x:c r="G14" s="414" t="n">
        <x:f>F14-E14</x:f>
        <x:v>30000</x:v>
      </x:c>
      <x:c r="H14" s="414" t="n">
        <x:f>MAX(E14-40000,199900)</x:f>
        <x:v>199900</x:v>
      </x:c>
      <x:c r="I14" s="19" t="str">
        <x:f>IF(E14-40000&lt;199900,"触及19.99下沿/可能不上市","Max-4万")</x:f>
        <x:v>Max-4万</x:v>
      </x:c>
      <x:c r="J14" s="414" t="n">
        <x:f>MAX(F14+20000,299900)</x:f>
        <x:v>299900</x:v>
      </x:c>
      <x:c r="K14" s="19" t="str">
        <x:f>IF(F14+20000&lt;299900,"触及29.99特殊版下沿","Max+2万")</x:f>
        <x:v>触及29.99特殊版下沿</x:v>
      </x:c>
      <x:c r="L14" s="19" t="str">
        <x:v>STRONG_ATTACK：维持3万Max梯度</x:v>
      </x:c>
    </x:row>
    <x:row r="15" ht="54" customHeight="1">
      <x:c r="A15" s="521" t="str">
        <x:v>S10</x:v>
      </x:c>
      <x:c r="B15" s="525" t="n">
        <x:v>30000</x:v>
      </x:c>
      <x:c r="C15" s="525" t="n">
        <x:v>30000</x:v>
      </x:c>
      <x:c r="D15" s="529" t="n">
        <x:v>0.05</x:v>
      </x:c>
      <x:c r="E15" s="525" t="n">
        <x:f>259900-B15</x:f>
        <x:v>229900</x:v>
      </x:c>
      <x:c r="F15" s="525" t="n">
        <x:f>299900-C15</x:f>
        <x:v>269900</x:v>
      </x:c>
      <x:c r="G15" s="525" t="n">
        <x:f>F15-E15</x:f>
        <x:v>40000</x:v>
      </x:c>
      <x:c r="H15" s="525" t="n">
        <x:f>MAX(E15-40000,199900)</x:f>
        <x:v>199900</x:v>
      </x:c>
      <x:c r="I15" s="521" t="str">
        <x:f>IF(E15-40000&lt;199900,"触及19.99下沿/可能不上市","Max-4万")</x:f>
        <x:v>触及19.99下沿/可能不上市</x:v>
      </x:c>
      <x:c r="J15" s="525" t="n">
        <x:f>MAX(F15+20000,299900)</x:f>
        <x:v>299900</x:v>
      </x:c>
      <x:c r="K15" s="521" t="str">
        <x:f>IF(F15+20000&lt;299900,"触及29.99特殊版下沿","Max+2万")</x:f>
        <x:v>触及29.99特殊版下沿</x:v>
      </x:c>
      <x:c r="L15" s="521" t="str">
        <x:v>共同降3万，低阶触底</x:v>
      </x:c>
    </x:row>
    <x:row r="16" ht="54" customHeight="1">
      <x:c r="A16" s="19" t="str">
        <x:v>S11</x:v>
      </x:c>
      <x:c r="B16" s="414" t="n">
        <x:v>30000</x:v>
      </x:c>
      <x:c r="C16" s="414" t="n">
        <x:v>40000</x:v>
      </x:c>
      <x:c r="D16" s="528" t="n">
        <x:v>0.02</x:v>
      </x:c>
      <x:c r="E16" s="414" t="n">
        <x:f>259900-B16</x:f>
        <x:v>229900</x:v>
      </x:c>
      <x:c r="F16" s="414" t="n">
        <x:f>299900-C16</x:f>
        <x:v>259900</x:v>
      </x:c>
      <x:c r="G16" s="414" t="n">
        <x:f>F16-E16</x:f>
        <x:v>30000</x:v>
      </x:c>
      <x:c r="H16" s="414" t="n">
        <x:f>MAX(E16-40000,199900)</x:f>
        <x:v>199900</x:v>
      </x:c>
      <x:c r="I16" s="19" t="str">
        <x:f>IF(E16-40000&lt;199900,"触及19.99下沿/可能不上市","Max-4万")</x:f>
        <x:v>触及19.99下沿/可能不上市</x:v>
      </x:c>
      <x:c r="J16" s="414" t="n">
        <x:f>MAX(F16+20000,299900)</x:f>
        <x:v>299900</x:v>
      </x:c>
      <x:c r="K16" s="19" t="str">
        <x:f>IF(F16+20000&lt;299900,"触及29.99特殊版下沿","Max+2万")</x:f>
        <x:v>触及29.99特殊版下沿</x:v>
      </x:c>
      <x:c r="L16" s="19" t="str">
        <x:v>N90开放尾部，候选版梯度重构</x:v>
      </x:c>
    </x:row>
    <x:row r="17" ht="54" customHeight="1">
      <x:c r="A17" s="521" t="str">
        <x:v>S12</x:v>
      </x:c>
      <x:c r="B17" s="525" t="n">
        <x:v>40000</x:v>
      </x:c>
      <x:c r="C17" s="525" t="n">
        <x:v>40000</x:v>
      </x:c>
      <x:c r="D17" s="529" t="n">
        <x:v>0.01</x:v>
      </x:c>
      <x:c r="E17" s="525" t="n">
        <x:f>259900-B17</x:f>
        <x:v>219900</x:v>
      </x:c>
      <x:c r="F17" s="525" t="n">
        <x:f>299900-C17</x:f>
        <x:v>259900</x:v>
      </x:c>
      <x:c r="G17" s="525" t="n">
        <x:f>F17-E17</x:f>
        <x:v>40000</x:v>
      </x:c>
      <x:c r="H17" s="525" t="n">
        <x:f>MAX(E17-40000,199900)</x:f>
        <x:v>199900</x:v>
      </x:c>
      <x:c r="I17" s="521" t="str">
        <x:f>IF(E17-40000&lt;199900,"触及19.99下沿/可能不上市","Max-4万")</x:f>
        <x:v>触及19.99下沿/可能不上市</x:v>
      </x:c>
      <x:c r="J17" s="525" t="n">
        <x:f>MAX(F17+20000,299900)</x:f>
        <x:v>299900</x:v>
      </x:c>
      <x:c r="K17" s="521" t="str">
        <x:f>IF(F17+20000&lt;299900,"触及29.99特殊版下沿","Max+2万")</x:f>
        <x:v>触及29.99特殊版下沿</x:v>
      </x:c>
      <x:c r="L17" s="521" t="str">
        <x:v>共同战略尾部，低阶或取消</x:v>
      </x:c>
    </x:row>
    <x:row r="20" ht="24" customHeight="1">
      <x:c r="A20" s="524" t="str">
        <x:v>四组便于决策的价格向量</x:v>
      </x:c>
      <x:c r="B20" s="524"/>
      <x:c r="C20" s="524"/>
      <x:c r="D20" s="524"/>
      <x:c r="E20" s="524"/>
      <x:c r="F20" s="524"/>
      <x:c r="G20" s="524"/>
      <x:c r="H20" s="524"/>
      <x:c r="I20" s="524"/>
      <x:c r="J20" s="524"/>
      <x:c r="K20" s="524"/>
      <x:c r="L20" s="524"/>
    </x:row>
    <x:row r="21" ht="50" customHeight="1">
      <x:c r="A21" s="520" t="str">
        <x:v>情景</x:v>
      </x:c>
      <x:c r="B21" s="520" t="str">
        <x:v>N70降幅</x:v>
      </x:c>
      <x:c r="C21" s="520" t="str">
        <x:v>N90降幅</x:v>
      </x:c>
      <x:c r="D21" s="520" t="str">
        <x:v>N70低阶候选</x:v>
      </x:c>
      <x:c r="E21" s="520" t="str">
        <x:v>N70 Max</x:v>
      </x:c>
      <x:c r="F21" s="520" t="str">
        <x:v>N90 Max</x:v>
      </x:c>
      <x:c r="G21" s="520" t="str">
        <x:v>N90升顶候选</x:v>
      </x:c>
      <x:c r="H21" s="520" t="str">
        <x:v>Max价差</x:v>
      </x:c>
      <x:c r="I21" s="520" t="str">
        <x:v>低阶约束</x:v>
      </x:c>
      <x:c r="J21" s="520" t="str">
        <x:v>升顶约束</x:v>
      </x:c>
      <x:c r="K21" s="520" t="str">
        <x:v>地位</x:v>
      </x:c>
      <x:c r="L21" s="520" t="str">
        <x:v>说明</x:v>
      </x:c>
    </x:row>
    <x:row r="22" ht="58" customHeight="1">
      <x:c r="A22" s="19" t="str">
        <x:v>谨慎</x:v>
      </x:c>
      <x:c r="B22" s="414" t="n">
        <x:v>10000</x:v>
      </x:c>
      <x:c r="C22" s="414" t="n">
        <x:v>10000</x:v>
      </x:c>
      <x:c r="D22" s="414" t="n">
        <x:v>209900</x:v>
      </x:c>
      <x:c r="E22" s="414" t="n">
        <x:v>249900</x:v>
      </x:c>
      <x:c r="F22" s="414" t="n">
        <x:v>289900</x:v>
      </x:c>
      <x:c r="G22" s="414" t="n">
        <x:v>309900</x:v>
      </x:c>
      <x:c r="H22" s="414" t="n">
        <x:v>40000</x:v>
      </x:c>
      <x:c r="I22" s="19" t="str">
        <x:v>正常</x:v>
      </x:c>
      <x:c r="J22" s="19" t="str">
        <x:v>Max+2万</x:v>
      </x:c>
      <x:c r="K22" s="19" t="str">
        <x:v>SECOND_MODE</x:v>
      </x:c>
      <x:c r="L22" s="19" t="str">
        <x:v>保留旧N70判断，但N90竞争力较弱</x:v>
      </x:c>
    </x:row>
    <x:row r="23" ht="58" customHeight="1">
      <x:c r="A23" s="521" t="str">
        <x:v>当前众数</x:v>
      </x:c>
      <x:c r="B23" s="525" t="n">
        <x:v>10000</x:v>
      </x:c>
      <x:c r="C23" s="525" t="n">
        <x:v>20000</x:v>
      </x:c>
      <x:c r="D23" s="525" t="n">
        <x:v>209900</x:v>
      </x:c>
      <x:c r="E23" s="525" t="n">
        <x:v>249900</x:v>
      </x:c>
      <x:c r="F23" s="525" t="n">
        <x:v>279900</x:v>
      </x:c>
      <x:c r="G23" s="525" t="n">
        <x:v>299900</x:v>
      </x:c>
      <x:c r="H23" s="525" t="n">
        <x:v>30000</x:v>
      </x:c>
      <x:c r="I23" s="521" t="str">
        <x:v>正常</x:v>
      </x:c>
      <x:c r="J23" s="521" t="str">
        <x:v>Max+2万</x:v>
      </x:c>
      <x:c r="K23" s="521" t="str">
        <x:v>CURRENT_MODE</x:v>
      </x:c>
      <x:c r="L23" s="521" t="str">
        <x:v>新主价格向量</x:v>
      </x:c>
    </x:row>
    <x:row r="24" ht="58" customHeight="1">
      <x:c r="A24" s="19" t="str">
        <x:v>强进攻</x:v>
      </x:c>
      <x:c r="B24" s="414" t="n">
        <x:v>20000</x:v>
      </x:c>
      <x:c r="C24" s="414" t="n">
        <x:v>30000</x:v>
      </x:c>
      <x:c r="D24" s="414" t="n">
        <x:v>199900</x:v>
      </x:c>
      <x:c r="E24" s="414" t="n">
        <x:v>239900</x:v>
      </x:c>
      <x:c r="F24" s="414" t="n">
        <x:v>269900</x:v>
      </x:c>
      <x:c r="G24" s="414" t="n">
        <x:v>299900</x:v>
      </x:c>
      <x:c r="H24" s="414" t="n">
        <x:v>30000</x:v>
      </x:c>
      <x:c r="I24" s="19" t="str">
        <x:v>触及19.99</x:v>
      </x:c>
      <x:c r="J24" s="19" t="str">
        <x:v>触及29.99</x:v>
      </x:c>
      <x:c r="K24" s="19" t="str">
        <x:v>TAIL</x:v>
      </x:c>
      <x:c r="L24" s="19" t="str">
        <x:v>供应链与竞争压力同时兑现</x:v>
      </x:c>
    </x:row>
    <x:row r="25" ht="58" customHeight="1">
      <x:c r="A25" s="521" t="str">
        <x:v>开放尾部下界</x:v>
      </x:c>
      <x:c r="B25" s="525" t="n">
        <x:v>40000</x:v>
      </x:c>
      <x:c r="C25" s="525" t="n">
        <x:v>40000</x:v>
      </x:c>
      <x:c r="D25" s="525" t="n">
        <x:v>199900</x:v>
      </x:c>
      <x:c r="E25" s="525" t="n">
        <x:v>219900</x:v>
      </x:c>
      <x:c r="F25" s="525" t="n">
        <x:v>259900</x:v>
      </x:c>
      <x:c r="G25" s="525" t="n">
        <x:v>299900</x:v>
      </x:c>
      <x:c r="H25" s="525" t="n">
        <x:v>40000</x:v>
      </x:c>
      <x:c r="I25" s="521" t="str">
        <x:v>低阶或取消</x:v>
      </x:c>
      <x:c r="J25" s="521" t="str">
        <x:v>特殊版溢价扩大</x:v>
      </x:c>
      <x:c r="K25" s="521" t="str">
        <x:v>OPEN_TAIL</x:v>
      </x:c>
      <x:c r="L25" s="521" t="str">
        <x:v>≥4万不是零概率，但会重构版本树</x:v>
      </x:c>
    </x:row>
    <x:row r="28" ht="24" customHeight="1">
      <x:c r="A28" s="524" t="str">
        <x:v>联合分布摘要</x:v>
      </x:c>
      <x:c r="B28" s="524"/>
      <x:c r="C28" s="524"/>
      <x:c r="D28" s="524"/>
      <x:c r="E28" s="524"/>
      <x:c r="F28" s="524"/>
      <x:c r="G28" s="524"/>
      <x:c r="H28" s="524"/>
      <x:c r="I28" s="524"/>
      <x:c r="J28" s="524"/>
      <x:c r="K28" s="524"/>
      <x:c r="L28" s="524"/>
    </x:row>
    <x:row r="29" ht="44" customHeight="1">
      <x:c r="A29" s="520" t="str">
        <x:v>指标</x:v>
      </x:c>
      <x:c r="B29" s="520" t="str">
        <x:v>结果</x:v>
      </x:c>
      <x:c r="C29" s="520" t="str">
        <x:v>Expected</x:v>
      </x:c>
      <x:c r="D29" s="520" t="str">
        <x:v>说明</x:v>
      </x:c>
    </x:row>
    <x:row r="30" ht="48" customHeight="1">
      <x:c r="A30" s="19" t="str">
        <x:v>联合权重合计</x:v>
      </x:c>
      <x:c r="B30" s="23" t="n">
        <x:f>SUM(D6:D17)</x:f>
        <x:v>1</x:v>
      </x:c>
      <x:c r="C30" s="23" t="n">
        <x:v>1</x:v>
      </x:c>
      <x:c r="D30" s="19" t="str">
        <x:v>必须为100%</x:v>
      </x:c>
    </x:row>
    <x:row r="31" ht="48" customHeight="1">
      <x:c r="A31" s="521" t="str">
        <x:v>最高单一情景权重</x:v>
      </x:c>
      <x:c r="B31" s="526" t="n">
        <x:f>MAX(D6:D17)</x:f>
        <x:v>0.24</x:v>
      </x:c>
      <x:c r="C31" s="526" t="n">
        <x:v>0.24</x:v>
      </x:c>
      <x:c r="D31" s="521" t="str">
        <x:v>S06</x:v>
      </x:c>
    </x:row>
    <x:row r="32" ht="48" customHeight="1">
      <x:c r="A32" s="19" t="str">
        <x:v>众数N70 Max</x:v>
      </x:c>
      <x:c r="B32" s="414" t="n">
        <x:v>249900</x:v>
      </x:c>
      <x:c r="C32" s="414" t="n">
        <x:v>249900</x:v>
      </x:c>
      <x:c r="D32" s="19" t="str">
        <x:v>降1万</x:v>
      </x:c>
    </x:row>
    <x:row r="33" ht="48" customHeight="1">
      <x:c r="A33" s="521" t="str">
        <x:v>众数N90 Max</x:v>
      </x:c>
      <x:c r="B33" s="525" t="n">
        <x:v>279900</x:v>
      </x:c>
      <x:c r="C33" s="525" t="n">
        <x:v>279900</x:v>
      </x:c>
      <x:c r="D33" s="521" t="str">
        <x:v>降2万</x:v>
      </x:c>
    </x:row>
    <x:row r="34" ht="48" customHeight="1">
      <x:c r="A34" s="19" t="str">
        <x:v>众数四节点向量</x:v>
      </x:c>
      <x:c r="B34" s="19" t="str">
        <x:v>20.99 / 24.99 / 27.99 / 29.99万</x:v>
      </x:c>
      <x:c r="C34" s="19" t="str">
        <x:v>同左</x:v>
      </x:c>
      <x:c r="D34" s="19" t="str">
        <x:v>两端为条件候选</x:v>
      </x:c>
    </x:row>
  </x:sheetData>
  <x:mergeCells>
    <x:mergeCell ref="A1:L1"/>
    <x:mergeCell ref="A2:L2"/>
    <x:mergeCell ref="A3:L3"/>
    <x:mergeCell ref="A20:L20"/>
    <x:mergeCell ref="A28:L28"/>
  </x:mergeCells>
  <x:conditionalFormatting sqref="I6:L17">
    <x:cfRule type="containsText" dxfId="2405" priority="1" operator="containsText" text="PASS"/>
    <x:cfRule type="containsText" dxfId="2406" priority="2" operator="containsText" text="READY"/>
    <x:cfRule type="containsText" dxfId="2407" priority="3" operator="containsText" text="CORE"/>
    <x:cfRule type="containsText" dxfId="2408" priority="4" operator="containsText" text="MODE"/>
    <x:cfRule type="containsText" dxfId="2409" priority="5" operator="containsText" text="OFFICIAL"/>
    <x:cfRule type="containsText" dxfId="2410" priority="6" operator="containsText" text="YES"/>
    <x:cfRule type="containsText" dxfId="2411" priority="7" operator="containsText" text="PROVISIONAL"/>
    <x:cfRule type="containsText" dxfId="2412" priority="8" operator="containsText" text="SCENARIO"/>
    <x:cfRule type="containsText" dxfId="2413" priority="9" operator="containsText" text="CONDITIONAL"/>
    <x:cfRule type="containsText" dxfId="2414" priority="10" operator="containsText" text="TAIL"/>
    <x:cfRule type="containsText" dxfId="2415" priority="11" operator="containsText" text="LIMITED"/>
    <x:cfRule type="containsText" dxfId="2416" priority="12" operator="containsText" text="BaaS"/>
    <x:cfRule type="containsText" dxfId="2417" priority="13" operator="containsText" text="EXCLUDED"/>
    <x:cfRule type="containsText" dxfId="2418" priority="14" operator="containsText" text="NO"/>
    <x:cfRule type="containsText" dxfId="2419" priority="15" operator="containsText" text="BLOCKED"/>
    <x:cfRule type="containsText" dxfId="2420" priority="16" operator="containsText" text="FAIL"/>
    <x:cfRule type="containsText" dxfId="2421" priority="17" operator="containsText" text="SUPERSEDED"/>
  </x:conditionalFormatting>
  <x:conditionalFormatting sqref="K22:K25">
    <x:cfRule type="containsText" dxfId="2422" priority="18" operator="containsText" text="PASS"/>
    <x:cfRule type="containsText" dxfId="2423" priority="19" operator="containsText" text="READY"/>
    <x:cfRule type="containsText" dxfId="2424" priority="20" operator="containsText" text="CORE"/>
    <x:cfRule type="containsText" dxfId="2425" priority="21" operator="containsText" text="MODE"/>
    <x:cfRule type="containsText" dxfId="2426" priority="22" operator="containsText" text="OFFICIAL"/>
    <x:cfRule type="containsText" dxfId="2427" priority="23" operator="containsText" text="YES"/>
    <x:cfRule type="containsText" dxfId="2428" priority="24" operator="containsText" text="PROVISIONAL"/>
    <x:cfRule type="containsText" dxfId="2429" priority="25" operator="containsText" text="SCENARIO"/>
    <x:cfRule type="containsText" dxfId="2430" priority="26" operator="containsText" text="CONDITIONAL"/>
    <x:cfRule type="containsText" dxfId="2431" priority="27" operator="containsText" text="TAIL"/>
    <x:cfRule type="containsText" dxfId="2432" priority="28" operator="containsText" text="LIMITED"/>
    <x:cfRule type="containsText" dxfId="2433" priority="29" operator="containsText" text="BaaS"/>
    <x:cfRule type="containsText" dxfId="2434" priority="30" operator="containsText" text="EXCLUDED"/>
    <x:cfRule type="containsText" dxfId="2435" priority="31" operator="containsText" text="NO"/>
    <x:cfRule type="containsText" dxfId="2436" priority="32" operator="containsText" text="BLOCKED"/>
    <x:cfRule type="containsText" dxfId="2437" priority="33" operator="containsText" text="FAIL"/>
    <x:cfRule type="containsText" dxfId="2438" priority="34" operator="containsText" text="SUPERSEDED"/>
  </x:conditionalFormatting>
  <x:pageMargins left="0.7" right="0.7" top="0.75" bottom="0.75" header="0.3" footer="0.3"/>
</x:worksheet>
</file>

<file path=xl/worksheets/sheet10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22" hidden="0" customWidth="1"/>
    <x:col min="3" max="3" width="35" hidden="0" customWidth="1"/>
    <x:col min="4" max="4" width="35" hidden="0" customWidth="1"/>
    <x:col min="5" max="5" width="33" hidden="0" customWidth="1"/>
    <x:col min="6" max="6" width="18" hidden="0" customWidth="1"/>
    <x:col min="7" max="7" width="16" hidden="0" customWidth="1"/>
    <x:col min="8" max="8" width="16" hidden="0" customWidth="1"/>
    <x:col min="9" max="9" width="28" hidden="0" customWidth="1"/>
    <x:col min="10" max="10" width="16" hidden="0" customWidth="1"/>
    <x:col min="11" max="11" width="35" hidden="0" customWidth="1"/>
    <x:col min="12" max="12" width="35" hidden="0" customWidth="1"/>
    <x:col min="13" max="13" width="16" hidden="0" customWidth="1"/>
  </x:cols>
  <x:sheetData>
    <x:row r="1" ht="30" customHeight="1">
      <x:c r="A1" s="508" t="str">
        <x:v>100｜Phase 3.3A签核：售价结论已重估</x:v>
      </x:c>
      <x:c r="B1" s="508"/>
      <x:c r="C1" s="508"/>
      <x:c r="D1" s="508"/>
      <x:c r="E1" s="508"/>
      <x:c r="F1" s="508"/>
      <x:c r="G1" s="508"/>
      <x:c r="H1" s="508"/>
      <x:c r="I1" s="508"/>
      <x:c r="J1" s="508"/>
      <x:c r="K1" s="508"/>
      <x:c r="L1" s="508"/>
      <x:c r="M1" s="508"/>
    </x:row>
    <x:row r="2" ht="22" customHeight="1">
      <x:c r="A2" s="511" t="str">
        <x:v>旧价格层作废但保留审计｜配置与工程成本层不变｜等待正式价格卡再替换</x:v>
      </x:c>
      <x:c r="B2" s="511"/>
      <x:c r="C2" s="511"/>
      <x:c r="D2" s="511"/>
      <x:c r="E2" s="511"/>
      <x:c r="F2" s="511"/>
      <x:c r="G2" s="511"/>
      <x:c r="H2" s="511"/>
      <x:c r="I2" s="511"/>
      <x:c r="J2" s="511"/>
      <x:c r="K2" s="511"/>
      <x:c r="L2" s="511"/>
      <x:c r="M2" s="511"/>
    </x:row>
    <x:row r="3" ht="76" customHeight="1">
      <x:c r="A3" s="515" t="str">
        <x:v>本阶段不宣称知道正式售价；它修正的是概率空间和联合众数。正式现金价、权益后有效成本、条件候选版本分别输出。若正式发布仅赠送权益而不降现金价，应更新98表权重，而不是把权益机械折成售价。</x:v>
      </x:c>
      <x:c r="B3" s="515"/>
      <x:c r="C3" s="515"/>
      <x:c r="D3" s="515"/>
      <x:c r="E3" s="515"/>
      <x:c r="F3" s="515"/>
      <x:c r="G3" s="515"/>
      <x:c r="H3" s="515"/>
      <x:c r="I3" s="515"/>
      <x:c r="J3" s="515"/>
      <x:c r="K3" s="515"/>
      <x:c r="L3" s="515"/>
      <x:c r="M3" s="515"/>
    </x:row>
    <x:row r="5" ht="56" customHeight="1">
      <x:c r="A5" s="520" t="str">
        <x:v>结论ID</x:v>
      </x:c>
      <x:c r="B5" s="520" t="str">
        <x:v>对象</x:v>
      </x:c>
      <x:c r="C5" s="520" t="str">
        <x:v>旧结论</x:v>
      </x:c>
      <x:c r="D5" s="520" t="str">
        <x:v>新结论</x:v>
      </x:c>
      <x:c r="E5" s="520" t="str">
        <x:v>下沿/尾部</x:v>
      </x:c>
      <x:c r="F5" s="520" t="str">
        <x:v>情景均值</x:v>
      </x:c>
      <x:c r="G5" s="520" t="str">
        <x:v>P(&gt;1万)</x:v>
      </x:c>
      <x:c r="H5" s="520" t="str">
        <x:v>P(≥3万)</x:v>
      </x:c>
      <x:c r="I5" s="520" t="str">
        <x:v>状态</x:v>
      </x:c>
      <x:c r="J5" s="520" t="str">
        <x:v>置信</x:v>
      </x:c>
      <x:c r="K5" s="520" t="str">
        <x:v>成立条件</x:v>
      </x:c>
      <x:c r="L5" s="520" t="str">
        <x:v>推翻条件</x:v>
      </x:c>
      <x:c r="M5" s="520" t="str">
        <x:v>回链</x:v>
      </x:c>
    </x:row>
    <x:row r="6" ht="62" customHeight="1">
      <x:c r="A6" s="19" t="str">
        <x:v>S-33A-01</x:v>
      </x:c>
      <x:c r="B6" s="19" t="str">
        <x:v>旧预售转正式价模型</x:v>
      </x:c>
      <x:c r="C6" s="19" t="str">
        <x:v>0/-0.6/-1万</x:v>
      </x:c>
      <x:c r="D6" s="19" t="str">
        <x:v>右截尾，价格层作废</x:v>
      </x:c>
      <x:c r="E6" s="19" t="str">
        <x:v>未覆盖</x:v>
      </x:c>
      <x:c r="F6" s="414" t="str"/>
      <x:c r="G6" s="23" t="str"/>
      <x:c r="H6" s="23" t="str"/>
      <x:c r="I6" s="19" t="str">
        <x:v>SUPERSEDED_PRICE_ONLY</x:v>
      </x:c>
      <x:c r="J6" s="19" t="str">
        <x:v>HIGH</x:v>
      </x:c>
      <x:c r="K6" s="19" t="str">
        <x:v>审计留痕</x:v>
      </x:c>
      <x:c r="L6" s="19" t="str">
        <x:v>无</x:v>
      </x:c>
      <x:c r="M6" s="19" t="str">
        <x:v>86/95表</x:v>
      </x:c>
    </x:row>
    <x:row r="7" ht="62" customHeight="1">
      <x:c r="A7" s="521" t="str">
        <x:v>S-33A-02</x:v>
      </x:c>
      <x:c r="B7" s="521" t="str">
        <x:v>N70 Max</x:v>
      </x:c>
      <x:c r="C7" s="521" t="str">
        <x:v>24.99万众数</x:v>
      </x:c>
      <x:c r="D7" s="521" t="str">
        <x:v>24.99万众数</x:v>
      </x:c>
      <x:c r="E7" s="521" t="str">
        <x:v>≥4万开放尾部；计算下界21.99万</x:v>
      </x:c>
      <x:c r="F7" s="525" t="n">
        <x:v>245980</x:v>
      </x:c>
      <x:c r="G7" s="526" t="n">
        <x:v>0.38</x:v>
      </x:c>
      <x:c r="H7" s="526" t="n">
        <x:v>0.08</x:v>
      </x:c>
      <x:c r="I7" s="521" t="str">
        <x:v>READY_SCENARIO</x:v>
      </x:c>
      <x:c r="J7" s="521" t="str">
        <x:v>MEDIUM</x:v>
      </x:c>
      <x:c r="K7" s="521" t="str">
        <x:v>N70以L6/L80为主要锚</x:v>
      </x:c>
      <x:c r="L7" s="521" t="str">
        <x:v>订单极强/大幅增配</x:v>
      </x:c>
      <x:c r="M7" s="521" t="str">
        <x:v>97/98表</x:v>
      </x:c>
    </x:row>
    <x:row r="8" ht="62" customHeight="1">
      <x:c r="A8" s="19" t="str">
        <x:v>S-33A-03</x:v>
      </x:c>
      <x:c r="B8" s="19" t="str">
        <x:v>N90 Max</x:v>
      </x:c>
      <x:c r="C8" s="19" t="str">
        <x:v>28.99万众数</x:v>
      </x:c>
      <x:c r="D8" s="19" t="str">
        <x:v>27.99万众数</x:v>
      </x:c>
      <x:c r="E8" s="19" t="str">
        <x:v>≥4万开放尾部；计算下界25.99万</x:v>
      </x:c>
      <x:c r="F8" s="414" t="n">
        <x:v>281460</x:v>
      </x:c>
      <x:c r="G8" s="23" t="n">
        <x:v>0.65</x:v>
      </x:c>
      <x:c r="H8" s="23" t="n">
        <x:v>0.21</x:v>
      </x:c>
      <x:c r="I8" s="19" t="str">
        <x:v>READY_SCENARIO</x:v>
      </x:c>
      <x:c r="J8" s="19" t="str">
        <x:v>MEDIUM</x:v>
      </x:c>
      <x:c r="K8" s="19" t="str">
        <x:v>L90/GX约27.98万价群持续</x:v>
      </x:c>
      <x:c r="L8" s="19" t="str">
        <x:v>订单极强/竞品调价</x:v>
      </x:c>
      <x:c r="M8" s="19" t="str">
        <x:v>97/98表</x:v>
      </x:c>
    </x:row>
    <x:row r="9" ht="62" customHeight="1">
      <x:c r="A9" s="521" t="str">
        <x:v>S-33A-04</x:v>
      </x:c>
      <x:c r="B9" s="521" t="str">
        <x:v>N70低阶候选</x:v>
      </x:c>
      <x:c r="C9" s="521" t="str">
        <x:v>20.99万</x:v>
      </x:c>
      <x:c r="D9" s="521" t="str">
        <x:v>20.99万众数</x:v>
      </x:c>
      <x:c r="E9" s="521" t="str">
        <x:v>19.99万下沿或不上市</x:v>
      </x:c>
      <x:c r="F9" s="525" t="str"/>
      <x:c r="G9" s="526" t="str"/>
      <x:c r="H9" s="526" t="str"/>
      <x:c r="I9" s="521" t="str">
        <x:v>CONDITIONAL</x:v>
      </x:c>
      <x:c r="J9" s="521" t="str">
        <x:v>LOW</x:v>
      </x:c>
      <x:c r="K9" s="521" t="str">
        <x:v>独立商品化且N70 Max为24.99</x:v>
      </x:c>
      <x:c r="L9" s="521" t="str">
        <x:v>无商品卡/梯度重构</x:v>
      </x:c>
      <x:c r="M9" s="521" t="str">
        <x:v>99表</x:v>
      </x:c>
    </x:row>
    <x:row r="10" ht="62" customHeight="1">
      <x:c r="A10" s="19" t="str">
        <x:v>S-33A-05</x:v>
      </x:c>
      <x:c r="B10" s="19" t="str">
        <x:v>N90升顶候选</x:v>
      </x:c>
      <x:c r="C10" s="19" t="str">
        <x:v>33.99万</x:v>
      </x:c>
      <x:c r="D10" s="19" t="str">
        <x:v>29.99万众数</x:v>
      </x:c>
      <x:c r="E10" s="19" t="str">
        <x:v>29.99万当前商业下沿</x:v>
      </x:c>
      <x:c r="F10" s="414" t="str"/>
      <x:c r="G10" s="23" t="str"/>
      <x:c r="H10" s="23" t="str"/>
      <x:c r="I10" s="19" t="str">
        <x:v>CORRECTED_CONDITIONAL</x:v>
      </x:c>
      <x:c r="J10" s="19" t="str">
        <x:v>LOW</x:v>
      </x:c>
      <x:c r="K10" s="19" t="str">
        <x:v>机械升顶约+2万且商品化</x:v>
      </x:c>
      <x:c r="L10" s="19" t="str">
        <x:v>结构/功能明显升级或不上市</x:v>
      </x:c>
      <x:c r="M10" s="19" t="str">
        <x:v>95/99表</x:v>
      </x:c>
    </x:row>
    <x:row r="11" ht="62" customHeight="1">
      <x:c r="A11" s="521" t="str">
        <x:v>S-33A-06</x:v>
      </x:c>
      <x:c r="B11" s="521" t="str">
        <x:v>四节点联合众数</x:v>
      </x:c>
      <x:c r="C11" s="521" t="str">
        <x:v>20.99/24.99/28.99/33.99</x:v>
      </x:c>
      <x:c r="D11" s="521" t="str">
        <x:v>20.99/24.99/27.99/29.99</x:v>
      </x:c>
      <x:c r="E11" s="521" t="str">
        <x:v>强进攻19.99/23.99/26.99/29.99</x:v>
      </x:c>
      <x:c r="F11" s="525" t="str"/>
      <x:c r="G11" s="526" t="str"/>
      <x:c r="H11" s="526" t="str"/>
      <x:c r="I11" s="521" t="str">
        <x:v>READY_FORECAST</x:v>
      </x:c>
      <x:c r="J11" s="521" t="str">
        <x:v>MEDIUM_LOW</x:v>
      </x:c>
      <x:c r="K11" s="521" t="str">
        <x:v>两端条件候选</x:v>
      </x:c>
      <x:c r="L11" s="521" t="str">
        <x:v>正式版本树不同</x:v>
      </x:c>
      <x:c r="M11" s="521" t="str">
        <x:v>99表</x:v>
      </x:c>
    </x:row>
    <x:row r="12" ht="62" customHeight="1">
      <x:c r="A12" s="19" t="str">
        <x:v>S-33A-07</x:v>
      </x:c>
      <x:c r="B12" s="19" t="str">
        <x:v>现金与权益</x:v>
      </x:c>
      <x:c r="C12" s="19" t="str">
        <x:v>边界不足</x:v>
      </x:c>
      <x:c r="D12" s="19" t="str">
        <x:v>完全分层</x:v>
      </x:c>
      <x:c r="E12" s="19" t="str">
        <x:v>1.5/2.5万可由现金+权益实现</x:v>
      </x:c>
      <x:c r="F12" s="414" t="str"/>
      <x:c r="G12" s="23" t="str"/>
      <x:c r="H12" s="23" t="str"/>
      <x:c r="I12" s="19" t="str">
        <x:v>LOCKED_METHOD</x:v>
      </x:c>
      <x:c r="J12" s="19" t="str">
        <x:v>HIGH</x:v>
      </x:c>
      <x:c r="K12" s="19" t="str">
        <x:v>权益可量化</x:v>
      </x:c>
      <x:c r="L12" s="19" t="str">
        <x:v>权益条款不可兑现</x:v>
      </x:c>
      <x:c r="M12" s="19" t="str">
        <x:v>98表</x:v>
      </x:c>
    </x:row>
    <x:row r="13" ht="62" customHeight="1">
      <x:c r="A13" s="521" t="str">
        <x:v>S-33A-08</x:v>
      </x:c>
      <x:c r="B13" s="521" t="str">
        <x:v>正式官方价格</x:v>
      </x:c>
      <x:c r="C13" s="521" t="str">
        <x:v>0/4</x:v>
      </x:c>
      <x:c r="D13" s="521" t="str">
        <x:v>仍为0/4</x:v>
      </x:c>
      <x:c r="E13" s="521" t="str">
        <x:v>等待发布</x:v>
      </x:c>
      <x:c r="F13" s="525" t="str"/>
      <x:c r="G13" s="526" t="str"/>
      <x:c r="H13" s="526" t="str"/>
      <x:c r="I13" s="521" t="str">
        <x:v>BLOCKED_OFFICIAL_PRICE</x:v>
      </x:c>
      <x:c r="J13" s="521" t="str">
        <x:v>HIGH</x:v>
      </x:c>
      <x:c r="K13" s="521" t="str">
        <x:v>正式价格卡+车辆SKU</x:v>
      </x:c>
      <x:c r="L13" s="521" t="str">
        <x:v>当前尚未公布</x:v>
      </x:c>
      <x:c r="M13" s="521" t="str">
        <x:v>62/92表</x:v>
      </x:c>
    </x:row>
    <x:row r="16" ht="24" customHeight="1">
      <x:c r="A16" s="524" t="str">
        <x:v>本阶段最终可对外表述</x:v>
      </x:c>
      <x:c r="B16" s="524"/>
      <x:c r="C16" s="524"/>
      <x:c r="D16" s="524"/>
      <x:c r="E16" s="524"/>
      <x:c r="F16" s="524"/>
      <x:c r="G16" s="524"/>
      <x:c r="H16" s="524"/>
      <x:c r="I16" s="524"/>
      <x:c r="J16" s="524"/>
      <x:c r="K16" s="524"/>
      <x:c r="L16" s="524"/>
      <x:c r="M16" s="524"/>
    </x:row>
    <x:row r="17" ht="56" customHeight="1">
      <x:c r="A17" s="19" t="str">
        <x:v>1</x:v>
      </x:c>
      <x:c r="B17" s="19" t="str">
        <x:v>方法判断</x:v>
      </x:c>
      <x:c r="C17" s="19" t="str">
        <x:v>原模型错误不是“少了几个格子”，而是把大于1万元降幅的概率设成0</x:v>
      </x:c>
      <x:c r="D17" s="19" t="str"/>
      <x:c r="E17" s="19" t="str"/>
      <x:c r="F17" s="19" t="str"/>
      <x:c r="G17" s="19" t="str"/>
      <x:c r="H17" s="19" t="str"/>
      <x:c r="I17" s="19" t="str">
        <x:v>SIGNED</x:v>
      </x:c>
      <x:c r="J17" s="19" t="str">
        <x:v>HIGH</x:v>
      </x:c>
      <x:c r="K17" s="19" t="str"/>
      <x:c r="L17" s="19" t="str"/>
      <x:c r="M17" s="19" t="str">
        <x:v>95/96</x:v>
      </x:c>
    </x:row>
    <x:row r="18" ht="56" customHeight="1">
      <x:c r="A18" s="521" t="str">
        <x:v>2</x:v>
      </x:c>
      <x:c r="B18" s="521" t="str">
        <x:v>N70 Max</x:v>
      </x:c>
      <x:c r="C18" s="521" t="str">
        <x:v>24.99万元仍是众数；23.99万元有实质厚尾，&gt;1万元降幅约38%</x:v>
      </x:c>
      <x:c r="D18" s="521" t="str"/>
      <x:c r="E18" s="521" t="str"/>
      <x:c r="F18" s="521" t="str"/>
      <x:c r="G18" s="521" t="str"/>
      <x:c r="H18" s="521" t="str"/>
      <x:c r="I18" s="521" t="str">
        <x:v>SIGNED</x:v>
      </x:c>
      <x:c r="J18" s="521" t="str">
        <x:v>MEDIUM</x:v>
      </x:c>
      <x:c r="K18" s="521" t="str"/>
      <x:c r="L18" s="521" t="str"/>
      <x:c r="M18" s="521" t="str">
        <x:v>98</x:v>
      </x:c>
    </x:row>
    <x:row r="19" ht="56" customHeight="1">
      <x:c r="A19" s="19" t="str">
        <x:v>3</x:v>
      </x:c>
      <x:c r="B19" s="19" t="str">
        <x:v>N90 Max</x:v>
      </x:c>
      <x:c r="C19" s="19" t="str">
        <x:v>27.99万元改为新众数；26.99万元是有效进攻情景，&gt;1万元降幅约65%</x:v>
      </x:c>
      <x:c r="D19" s="19" t="str"/>
      <x:c r="E19" s="19" t="str"/>
      <x:c r="F19" s="19" t="str"/>
      <x:c r="G19" s="19" t="str"/>
      <x:c r="H19" s="19" t="str"/>
      <x:c r="I19" s="19" t="str">
        <x:v>SIGNED</x:v>
      </x:c>
      <x:c r="J19" s="19" t="str">
        <x:v>MEDIUM</x:v>
      </x:c>
      <x:c r="K19" s="19" t="str"/>
      <x:c r="L19" s="19" t="str"/>
      <x:c r="M19" s="19" t="str">
        <x:v>98</x:v>
      </x:c>
    </x:row>
    <x:row r="20" ht="56" customHeight="1">
      <x:c r="A20" s="521" t="str">
        <x:v>4</x:v>
      </x:c>
      <x:c r="B20" s="521" t="str">
        <x:v>四节点</x:v>
      </x:c>
      <x:c r="C20" s="521" t="str">
        <x:v>当前联合众数20.99 / 24.99 / 27.99 / 29.99万元；两端仅候选</x:v>
      </x:c>
      <x:c r="D20" s="521" t="str"/>
      <x:c r="E20" s="521" t="str"/>
      <x:c r="F20" s="521" t="str"/>
      <x:c r="G20" s="521" t="str"/>
      <x:c r="H20" s="521" t="str"/>
      <x:c r="I20" s="521" t="str">
        <x:v>SIGNED</x:v>
      </x:c>
      <x:c r="J20" s="521" t="str">
        <x:v>MEDIUM_LOW</x:v>
      </x:c>
      <x:c r="K20" s="521" t="str"/>
      <x:c r="L20" s="521" t="str"/>
      <x:c r="M20" s="521" t="str">
        <x:v>99</x:v>
      </x:c>
    </x:row>
    <x:row r="21" ht="56" customHeight="1">
      <x:c r="A21" s="19" t="str">
        <x:v>5</x:v>
      </x:c>
      <x:c r="B21" s="19" t="str">
        <x:v>开放尾部</x:v>
      </x:c>
      <x:c r="C21" s="19" t="str">
        <x:v>N70/N90的≥4万元档保留1%/3%决策权重；不是统计概率，也不是价格承诺</x:v>
      </x:c>
      <x:c r="D21" s="19" t="str"/>
      <x:c r="E21" s="19" t="str"/>
      <x:c r="F21" s="19" t="str"/>
      <x:c r="G21" s="19" t="str"/>
      <x:c r="H21" s="19" t="str"/>
      <x:c r="I21" s="19" t="str">
        <x:v>SIGNED</x:v>
      </x:c>
      <x:c r="J21" s="19" t="str">
        <x:v>LOW</x:v>
      </x:c>
      <x:c r="K21" s="19" t="str"/>
      <x:c r="L21" s="19" t="str"/>
      <x:c r="M21" s="19" t="str">
        <x:v>98/99</x:v>
      </x:c>
    </x:row>
  </x:sheetData>
  <x:mergeCells>
    <x:mergeCell ref="A1:M1"/>
    <x:mergeCell ref="A2:M2"/>
    <x:mergeCell ref="A3:M3"/>
    <x:mergeCell ref="A16:M16"/>
  </x:mergeCells>
  <x:conditionalFormatting sqref="I6:J13">
    <x:cfRule type="containsText" dxfId="2439" priority="1" operator="containsText" text="PASS"/>
    <x:cfRule type="containsText" dxfId="2440" priority="2" operator="containsText" text="READY"/>
    <x:cfRule type="containsText" dxfId="2441" priority="3" operator="containsText" text="CORE"/>
    <x:cfRule type="containsText" dxfId="2442" priority="4" operator="containsText" text="MODE"/>
    <x:cfRule type="containsText" dxfId="2443" priority="5" operator="containsText" text="OFFICIAL"/>
    <x:cfRule type="containsText" dxfId="2444" priority="6" operator="containsText" text="YES"/>
    <x:cfRule type="containsText" dxfId="2445" priority="7" operator="containsText" text="PROVISIONAL"/>
    <x:cfRule type="containsText" dxfId="2446" priority="8" operator="containsText" text="SCENARIO"/>
    <x:cfRule type="containsText" dxfId="2447" priority="9" operator="containsText" text="CONDITIONAL"/>
    <x:cfRule type="containsText" dxfId="2448" priority="10" operator="containsText" text="TAIL"/>
    <x:cfRule type="containsText" dxfId="2449" priority="11" operator="containsText" text="LIMITED"/>
    <x:cfRule type="containsText" dxfId="2450" priority="12" operator="containsText" text="BaaS"/>
    <x:cfRule type="containsText" dxfId="2451" priority="13" operator="containsText" text="EXCLUDED"/>
    <x:cfRule type="containsText" dxfId="2452" priority="14" operator="containsText" text="NO"/>
    <x:cfRule type="containsText" dxfId="2453" priority="15" operator="containsText" text="BLOCKED"/>
    <x:cfRule type="containsText" dxfId="2454" priority="16" operator="containsText" text="FAIL"/>
    <x:cfRule type="containsText" dxfId="2455" priority="17" operator="containsText" text="SUPERSEDED"/>
  </x:conditionalFormatting>
  <x:conditionalFormatting sqref="I17:J21">
    <x:cfRule type="containsText" dxfId="2456" priority="18" operator="containsText" text="PASS"/>
    <x:cfRule type="containsText" dxfId="2457" priority="19" operator="containsText" text="READY"/>
    <x:cfRule type="containsText" dxfId="2458" priority="20" operator="containsText" text="CORE"/>
    <x:cfRule type="containsText" dxfId="2459" priority="21" operator="containsText" text="MODE"/>
    <x:cfRule type="containsText" dxfId="2460" priority="22" operator="containsText" text="OFFICIAL"/>
    <x:cfRule type="containsText" dxfId="2461" priority="23" operator="containsText" text="YES"/>
    <x:cfRule type="containsText" dxfId="2462" priority="24" operator="containsText" text="PROVISIONAL"/>
    <x:cfRule type="containsText" dxfId="2463" priority="25" operator="containsText" text="SCENARIO"/>
    <x:cfRule type="containsText" dxfId="2464" priority="26" operator="containsText" text="CONDITIONAL"/>
    <x:cfRule type="containsText" dxfId="2465" priority="27" operator="containsText" text="TAIL"/>
    <x:cfRule type="containsText" dxfId="2466" priority="28" operator="containsText" text="LIMITED"/>
    <x:cfRule type="containsText" dxfId="2467" priority="29" operator="containsText" text="BaaS"/>
    <x:cfRule type="containsText" dxfId="2468" priority="30" operator="containsText" text="EXCLUDED"/>
    <x:cfRule type="containsText" dxfId="2469" priority="31" operator="containsText" text="NO"/>
    <x:cfRule type="containsText" dxfId="2470" priority="32" operator="containsText" text="BLOCKED"/>
    <x:cfRule type="containsText" dxfId="2471" priority="33" operator="containsText" text="FAIL"/>
    <x:cfRule type="containsText" dxfId="2472" priority="34" operator="containsText" text="SUPERSEDED"/>
  </x:conditionalFormatting>
  <x:pageMargins left="0.7" right="0.7" top="0.75" bottom="0.75" header="0.3" footer="0.3"/>
</x:worksheet>
</file>

<file path=xl/worksheets/sheet10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45" hidden="0" customWidth="1"/>
    <x:col min="4" max="4" width="22" hidden="0" customWidth="1"/>
    <x:col min="5" max="5" width="25" hidden="0" customWidth="1"/>
    <x:col min="6" max="6" width="14" hidden="0" customWidth="1"/>
    <x:col min="7" max="7" width="14" hidden="0" customWidth="1"/>
    <x:col min="8" max="8" width="46" hidden="0" customWidth="1"/>
  </x:cols>
  <x:sheetData>
    <x:row r="1" ht="30" customHeight="1">
      <x:c r="A1" s="508" t="str">
        <x:v>101｜Phase 3.3A机器校验</x:v>
      </x:c>
      <x:c r="B1" s="508"/>
      <x:c r="C1" s="508"/>
      <x:c r="D1" s="508"/>
      <x:c r="E1" s="508"/>
      <x:c r="F1" s="508"/>
      <x:c r="G1" s="508"/>
      <x:c r="H1" s="508"/>
    </x:row>
    <x:row r="2" ht="22" customHeight="1">
      <x:c r="A2" s="511" t="str">
        <x:v>权重、边际—联合一致性、价格梯度、来源完整性与开放尾部</x:v>
      </x:c>
      <x:c r="B2" s="511"/>
      <x:c r="C2" s="511"/>
      <x:c r="D2" s="511"/>
      <x:c r="E2" s="511"/>
      <x:c r="F2" s="511"/>
      <x:c r="G2" s="511"/>
      <x:c r="H2" s="511"/>
    </x:row>
    <x:row r="3" ht="76" customHeight="1">
      <x:c r="A3" s="515" t="str">
        <x:v>校验只证明模型内部一致，不证明预测会实现。正式价格公布前，OFFICIAL_PRICE_COUNT必须保持0。旧86—94仍可能显示旧价格结论，因此封面与95/100表必须明确“价格层已覆盖”。</x:v>
      </x:c>
      <x:c r="B3" s="515"/>
      <x:c r="C3" s="515"/>
      <x:c r="D3" s="515"/>
      <x:c r="E3" s="515"/>
      <x:c r="F3" s="515"/>
      <x:c r="G3" s="515"/>
      <x:c r="H3" s="515"/>
    </x:row>
    <x:row r="5" ht="48" customHeight="1">
      <x:c r="A5" s="520" t="str">
        <x:v>check_id</x:v>
      </x:c>
      <x:c r="B5" s="520" t="str">
        <x:v>类别</x:v>
      </x:c>
      <x:c r="C5" s="520" t="str">
        <x:v>断言</x:v>
      </x:c>
      <x:c r="D5" s="520" t="str">
        <x:v>Expected</x:v>
      </x:c>
      <x:c r="E5" s="520" t="str">
        <x:v>Actual</x:v>
      </x:c>
      <x:c r="F5" s="520" t="str">
        <x:v>Result</x:v>
      </x:c>
      <x:c r="G5" s="520" t="str">
        <x:v>Severity</x:v>
      </x:c>
      <x:c r="H5" s="520" t="str">
        <x:v>说明</x:v>
      </x:c>
    </x:row>
    <x:row r="6" ht="42" customHeight="1">
      <x:c r="A6" s="19" t="str">
        <x:v>CHK-33A-01</x:v>
      </x:c>
      <x:c r="B6" s="19" t="str">
        <x:v>WEIGHT</x:v>
      </x:c>
      <x:c r="C6" s="19" t="str">
        <x:v>N70边际权重合计</x:v>
      </x:c>
      <x:c r="D6" s="19" t="n">
        <x:v>1</x:v>
      </x:c>
      <x:c r="E6" s="19" t="n">
        <x:f>'98_正式价边际分布'!B16</x:f>
        <x:v>1</x:v>
      </x:c>
      <x:c r="F6" s="19" t="str">
        <x:f>IF(ABS(E6-D6)&lt;0.0001,"PASS","FAIL")</x:f>
        <x:v>PASS</x:v>
      </x:c>
      <x:c r="G6" s="19" t="str">
        <x:v>ERROR</x:v>
      </x:c>
      <x:c r="H6" s="19" t="str"/>
    </x:row>
    <x:row r="7" ht="42" customHeight="1">
      <x:c r="A7" s="521" t="str">
        <x:v>CHK-33A-02</x:v>
      </x:c>
      <x:c r="B7" s="521" t="str">
        <x:v>WEIGHT</x:v>
      </x:c>
      <x:c r="C7" s="521" t="str">
        <x:v>N90边际权重合计</x:v>
      </x:c>
      <x:c r="D7" s="521" t="n">
        <x:v>1</x:v>
      </x:c>
      <x:c r="E7" s="521" t="n">
        <x:f>'98_正式价边际分布'!C16</x:f>
        <x:v>1</x:v>
      </x:c>
      <x:c r="F7" s="521" t="str">
        <x:f>IF(ABS(E7-D7)&lt;0.0001,"PASS","FAIL")</x:f>
        <x:v>PASS</x:v>
      </x:c>
      <x:c r="G7" s="521" t="str">
        <x:v>ERROR</x:v>
      </x:c>
      <x:c r="H7" s="521" t="str"/>
    </x:row>
    <x:row r="8" ht="42" customHeight="1">
      <x:c r="A8" s="19" t="str">
        <x:v>CHK-33A-03</x:v>
      </x:c>
      <x:c r="B8" s="19" t="str">
        <x:v>WEIGHT</x:v>
      </x:c>
      <x:c r="C8" s="19" t="str">
        <x:v>联合权重合计</x:v>
      </x:c>
      <x:c r="D8" s="19" t="n">
        <x:v>1</x:v>
      </x:c>
      <x:c r="E8" s="19" t="n">
        <x:f>'99_联合情景与四版本'!B30</x:f>
        <x:v>1</x:v>
      </x:c>
      <x:c r="F8" s="19" t="str">
        <x:f>IF(ABS(E8-D8)&lt;0.0001,"PASS","FAIL")</x:f>
        <x:v>PASS</x:v>
      </x:c>
      <x:c r="G8" s="19" t="str">
        <x:v>ERROR</x:v>
      </x:c>
      <x:c r="H8" s="19" t="str"/>
    </x:row>
    <x:row r="9" ht="42" customHeight="1">
      <x:c r="A9" s="521" t="str">
        <x:v>CHK-33A-04</x:v>
      </x:c>
      <x:c r="B9" s="521" t="str">
        <x:v>MODE</x:v>
      </x:c>
      <x:c r="C9" s="521" t="str">
        <x:v>N70众数正式价</x:v>
      </x:c>
      <x:c r="D9" s="521" t="n">
        <x:v>249900</x:v>
      </x:c>
      <x:c r="E9" s="521" t="n">
        <x:f>'98_正式价边际分布'!B20</x:f>
        <x:v>249900</x:v>
      </x:c>
      <x:c r="F9" s="521" t="str">
        <x:f>IF(ABS(E9-D9)&lt;0.0001,"PASS","FAIL")</x:f>
        <x:v>PASS</x:v>
      </x:c>
      <x:c r="G9" s="521" t="str">
        <x:v>ERROR</x:v>
      </x:c>
      <x:c r="H9" s="521" t="str"/>
    </x:row>
    <x:row r="10" ht="42" customHeight="1">
      <x:c r="A10" s="19" t="str">
        <x:v>CHK-33A-05</x:v>
      </x:c>
      <x:c r="B10" s="19" t="str">
        <x:v>MODE</x:v>
      </x:c>
      <x:c r="C10" s="19" t="str">
        <x:v>N90众数正式价</x:v>
      </x:c>
      <x:c r="D10" s="19" t="n">
        <x:v>279900</x:v>
      </x:c>
      <x:c r="E10" s="19" t="n">
        <x:f>'98_正式价边际分布'!C20</x:f>
        <x:v>279900</x:v>
      </x:c>
      <x:c r="F10" s="19" t="str">
        <x:f>IF(ABS(E10-D10)&lt;0.0001,"PASS","FAIL")</x:f>
        <x:v>PASS</x:v>
      </x:c>
      <x:c r="G10" s="19" t="str">
        <x:v>ERROR</x:v>
      </x:c>
      <x:c r="H10" s="19" t="str"/>
    </x:row>
    <x:row r="11" ht="42" customHeight="1">
      <x:c r="A11" s="521" t="str">
        <x:v>CHK-33A-06</x:v>
      </x:c>
      <x:c r="B11" s="521" t="str">
        <x:v>TAIL</x:v>
      </x:c>
      <x:c r="C11" s="521" t="str">
        <x:v>N70降幅&gt;1万权重</x:v>
      </x:c>
      <x:c r="D11" s="521" t="n">
        <x:v>0.38</x:v>
      </x:c>
      <x:c r="E11" s="521" t="n">
        <x:f>'98_正式价边际分布'!B21</x:f>
        <x:v>0.38</x:v>
      </x:c>
      <x:c r="F11" s="521" t="str">
        <x:f>IF(ABS(E11-D11)&lt;0.0001,"PASS","FAIL")</x:f>
        <x:v>PASS</x:v>
      </x:c>
      <x:c r="G11" s="521" t="str">
        <x:v>ERROR</x:v>
      </x:c>
      <x:c r="H11" s="521" t="str"/>
    </x:row>
    <x:row r="12" ht="42" customHeight="1">
      <x:c r="A12" s="19" t="str">
        <x:v>CHK-33A-07</x:v>
      </x:c>
      <x:c r="B12" s="19" t="str">
        <x:v>TAIL</x:v>
      </x:c>
      <x:c r="C12" s="19" t="str">
        <x:v>N90降幅&gt;1万权重</x:v>
      </x:c>
      <x:c r="D12" s="19" t="n">
        <x:v>0.65</x:v>
      </x:c>
      <x:c r="E12" s="19" t="n">
        <x:f>'98_正式价边际分布'!C21</x:f>
        <x:v>0.65</x:v>
      </x:c>
      <x:c r="F12" s="19" t="str">
        <x:f>IF(ABS(E12-D12)&lt;0.0001,"PASS","FAIL")</x:f>
        <x:v>PASS</x:v>
      </x:c>
      <x:c r="G12" s="19" t="str">
        <x:v>ERROR</x:v>
      </x:c>
      <x:c r="H12" s="19" t="str"/>
    </x:row>
    <x:row r="13" ht="42" customHeight="1">
      <x:c r="A13" s="521" t="str">
        <x:v>CHK-33A-08</x:v>
      </x:c>
      <x:c r="B13" s="521" t="str">
        <x:v>TAIL</x:v>
      </x:c>
      <x:c r="C13" s="521" t="str">
        <x:v>N70≥4万尾部非零</x:v>
      </x:c>
      <x:c r="D13" s="521" t="n">
        <x:v>0.01</x:v>
      </x:c>
      <x:c r="E13" s="521" t="n">
        <x:f>'98_正式价边际分布'!B23</x:f>
        <x:v>0.01</x:v>
      </x:c>
      <x:c r="F13" s="521" t="str">
        <x:f>IF(ABS(E13-D13)&lt;0.0001,"PASS","FAIL")</x:f>
        <x:v>PASS</x:v>
      </x:c>
      <x:c r="G13" s="521" t="str">
        <x:v>ERROR</x:v>
      </x:c>
      <x:c r="H13" s="521" t="str"/>
    </x:row>
    <x:row r="14" ht="42" customHeight="1">
      <x:c r="A14" s="19" t="str">
        <x:v>CHK-33A-09</x:v>
      </x:c>
      <x:c r="B14" s="19" t="str">
        <x:v>TAIL</x:v>
      </x:c>
      <x:c r="C14" s="19" t="str">
        <x:v>N90≥4万尾部非零</x:v>
      </x:c>
      <x:c r="D14" s="19" t="n">
        <x:v>0.03</x:v>
      </x:c>
      <x:c r="E14" s="19" t="n">
        <x:f>'98_正式价边际分布'!C23</x:f>
        <x:v>0.03</x:v>
      </x:c>
      <x:c r="F14" s="19" t="str">
        <x:f>IF(ABS(E14-D14)&lt;0.0001,"PASS","FAIL")</x:f>
        <x:v>PASS</x:v>
      </x:c>
      <x:c r="G14" s="19" t="str">
        <x:v>ERROR</x:v>
      </x:c>
      <x:c r="H14" s="19" t="str"/>
    </x:row>
    <x:row r="15" ht="42" customHeight="1">
      <x:c r="A15" s="521" t="str">
        <x:v>CHK-33A-10</x:v>
      </x:c>
      <x:c r="B15" s="521" t="str">
        <x:v>MARGINAL_N70</x:v>
      </x:c>
      <x:c r="C15" s="521" t="str">
        <x:v>联合分布回算N70档0</x:v>
      </x:c>
      <x:c r="D15" s="521" t="n">
        <x:v>0</x:v>
      </x:c>
      <x:c r="E15" s="521" t="n">
        <x:f>SUMIF('99_联合情景与四版本'!B6:B17,'98_正式价边际分布'!B6,'99_联合情景与四版本'!D6:D17)-'98_正式价边际分布'!C6</x:f>
        <x:v>0</x:v>
      </x:c>
      <x:c r="F15" s="521" t="str">
        <x:f>IF(ABS(E15-D15)&lt;0.0001,"PASS","FAIL")</x:f>
        <x:v>PASS</x:v>
      </x:c>
      <x:c r="G15" s="521" t="str">
        <x:v>ERROR</x:v>
      </x:c>
      <x:c r="H15" s="521" t="str"/>
    </x:row>
    <x:row r="16" ht="42" customHeight="1">
      <x:c r="A16" s="19" t="str">
        <x:v>CHK-33A-11</x:v>
      </x:c>
      <x:c r="B16" s="19" t="str">
        <x:v>MARGINAL_N90</x:v>
      </x:c>
      <x:c r="C16" s="19" t="str">
        <x:v>联合分布回算N90档0</x:v>
      </x:c>
      <x:c r="D16" s="19" t="n">
        <x:v>0</x:v>
      </x:c>
      <x:c r="E16" s="19" t="n">
        <x:f>SUMIF('99_联合情景与四版本'!C6:C17,'98_正式价边际分布'!B6,'99_联合情景与四版本'!D6:D17)-'98_正式价边际分布'!E6</x:f>
        <x:v>0</x:v>
      </x:c>
      <x:c r="F16" s="19" t="str">
        <x:f>IF(ABS(E16-D16)&lt;0.0001,"PASS","FAIL")</x:f>
        <x:v>PASS</x:v>
      </x:c>
      <x:c r="G16" s="19" t="str">
        <x:v>ERROR</x:v>
      </x:c>
      <x:c r="H16" s="19" t="str"/>
    </x:row>
    <x:row r="17" ht="42" customHeight="1">
      <x:c r="A17" s="521" t="str">
        <x:v>CHK-33A-12</x:v>
      </x:c>
      <x:c r="B17" s="521" t="str">
        <x:v>MARGINAL_N70</x:v>
      </x:c>
      <x:c r="C17" s="521" t="str">
        <x:v>联合分布回算N70档6000</x:v>
      </x:c>
      <x:c r="D17" s="521" t="n">
        <x:v>0</x:v>
      </x:c>
      <x:c r="E17" s="521" t="n">
        <x:f>SUMIF('99_联合情景与四版本'!B6:B17,'98_正式价边际分布'!B7,'99_联合情景与四版本'!D6:D17)-'98_正式价边际分布'!C7</x:f>
        <x:v>0</x:v>
      </x:c>
      <x:c r="F17" s="521" t="str">
        <x:f>IF(ABS(E17-D17)&lt;0.0001,"PASS","FAIL")</x:f>
        <x:v>PASS</x:v>
      </x:c>
      <x:c r="G17" s="521" t="str">
        <x:v>ERROR</x:v>
      </x:c>
      <x:c r="H17" s="521" t="str"/>
    </x:row>
    <x:row r="18" ht="42" customHeight="1">
      <x:c r="A18" s="19" t="str">
        <x:v>CHK-33A-13</x:v>
      </x:c>
      <x:c r="B18" s="19" t="str">
        <x:v>MARGINAL_N90</x:v>
      </x:c>
      <x:c r="C18" s="19" t="str">
        <x:v>联合分布回算N90档6000</x:v>
      </x:c>
      <x:c r="D18" s="19" t="n">
        <x:v>0</x:v>
      </x:c>
      <x:c r="E18" s="19" t="n">
        <x:f>SUMIF('99_联合情景与四版本'!C6:C17,'98_正式价边际分布'!B7,'99_联合情景与四版本'!D6:D17)-'98_正式价边际分布'!E7</x:f>
        <x:v>0</x:v>
      </x:c>
      <x:c r="F18" s="19" t="str">
        <x:f>IF(ABS(E18-D18)&lt;0.0001,"PASS","FAIL")</x:f>
        <x:v>PASS</x:v>
      </x:c>
      <x:c r="G18" s="19" t="str">
        <x:v>ERROR</x:v>
      </x:c>
      <x:c r="H18" s="19" t="str"/>
    </x:row>
    <x:row r="19" ht="42" customHeight="1">
      <x:c r="A19" s="521" t="str">
        <x:v>CHK-33A-14</x:v>
      </x:c>
      <x:c r="B19" s="521" t="str">
        <x:v>MARGINAL_N70</x:v>
      </x:c>
      <x:c r="C19" s="521" t="str">
        <x:v>联合分布回算N70档10000</x:v>
      </x:c>
      <x:c r="D19" s="521" t="n">
        <x:v>0</x:v>
      </x:c>
      <x:c r="E19" s="521" t="n">
        <x:f>SUMIF('99_联合情景与四版本'!B6:B17,'98_正式价边际分布'!B8,'99_联合情景与四版本'!D6:D17)-'98_正式价边际分布'!C8</x:f>
        <x:v>0</x:v>
      </x:c>
      <x:c r="F19" s="521" t="str">
        <x:f>IF(ABS(E19-D19)&lt;0.0001,"PASS","FAIL")</x:f>
        <x:v>PASS</x:v>
      </x:c>
      <x:c r="G19" s="521" t="str">
        <x:v>ERROR</x:v>
      </x:c>
      <x:c r="H19" s="521" t="str"/>
    </x:row>
    <x:row r="20" ht="42" customHeight="1">
      <x:c r="A20" s="19" t="str">
        <x:v>CHK-33A-15</x:v>
      </x:c>
      <x:c r="B20" s="19" t="str">
        <x:v>MARGINAL_N90</x:v>
      </x:c>
      <x:c r="C20" s="19" t="str">
        <x:v>联合分布回算N90档10000</x:v>
      </x:c>
      <x:c r="D20" s="19" t="n">
        <x:v>0</x:v>
      </x:c>
      <x:c r="E20" s="19" t="n">
        <x:f>SUMIF('99_联合情景与四版本'!C6:C17,'98_正式价边际分布'!B8,'99_联合情景与四版本'!D6:D17)-'98_正式价边际分布'!E8</x:f>
        <x:v>0</x:v>
      </x:c>
      <x:c r="F20" s="19" t="str">
        <x:f>IF(ABS(E20-D20)&lt;0.0001,"PASS","FAIL")</x:f>
        <x:v>PASS</x:v>
      </x:c>
      <x:c r="G20" s="19" t="str">
        <x:v>ERROR</x:v>
      </x:c>
      <x:c r="H20" s="19" t="str"/>
    </x:row>
    <x:row r="21" ht="42" customHeight="1">
      <x:c r="A21" s="521" t="str">
        <x:v>CHK-33A-16</x:v>
      </x:c>
      <x:c r="B21" s="521" t="str">
        <x:v>MARGINAL_N70</x:v>
      </x:c>
      <x:c r="C21" s="521" t="str">
        <x:v>联合分布回算N70档20000</x:v>
      </x:c>
      <x:c r="D21" s="521" t="n">
        <x:v>0</x:v>
      </x:c>
      <x:c r="E21" s="521" t="n">
        <x:f>SUMIF('99_联合情景与四版本'!B6:B17,'98_正式价边际分布'!B9,'99_联合情景与四版本'!D6:D17)-'98_正式价边际分布'!C9</x:f>
        <x:v>5.551115123125783e-17</x:v>
      </x:c>
      <x:c r="F21" s="521" t="str">
        <x:f>IF(ABS(E21-D21)&lt;0.0001,"PASS","FAIL")</x:f>
        <x:v>PASS</x:v>
      </x:c>
      <x:c r="G21" s="521" t="str">
        <x:v>ERROR</x:v>
      </x:c>
      <x:c r="H21" s="521" t="str"/>
    </x:row>
    <x:row r="22" ht="42" customHeight="1">
      <x:c r="A22" s="19" t="str">
        <x:v>CHK-33A-17</x:v>
      </x:c>
      <x:c r="B22" s="19" t="str">
        <x:v>MARGINAL_N90</x:v>
      </x:c>
      <x:c r="C22" s="19" t="str">
        <x:v>联合分布回算N90档20000</x:v>
      </x:c>
      <x:c r="D22" s="19" t="n">
        <x:v>0</x:v>
      </x:c>
      <x:c r="E22" s="19" t="n">
        <x:f>SUMIF('99_联合情景与四版本'!C6:C17,'98_正式价边际分布'!B9,'99_联合情景与四版本'!D6:D17)-'98_正式价边际分布'!E9</x:f>
        <x:v>0</x:v>
      </x:c>
      <x:c r="F22" s="19" t="str">
        <x:f>IF(ABS(E22-D22)&lt;0.0001,"PASS","FAIL")</x:f>
        <x:v>PASS</x:v>
      </x:c>
      <x:c r="G22" s="19" t="str">
        <x:v>ERROR</x:v>
      </x:c>
      <x:c r="H22" s="19" t="str"/>
    </x:row>
    <x:row r="23" ht="42" customHeight="1">
      <x:c r="A23" s="521" t="str">
        <x:v>CHK-33A-18</x:v>
      </x:c>
      <x:c r="B23" s="521" t="str">
        <x:v>MARGINAL_N70</x:v>
      </x:c>
      <x:c r="C23" s="521" t="str">
        <x:v>联合分布回算N70档30000</x:v>
      </x:c>
      <x:c r="D23" s="521" t="n">
        <x:v>0</x:v>
      </x:c>
      <x:c r="E23" s="521" t="n">
        <x:f>SUMIF('99_联合情景与四版本'!B6:B17,'98_正式价边际分布'!B10,'99_联合情景与四版本'!D6:D17)-'98_正式价边际分布'!C10</x:f>
        <x:v>0</x:v>
      </x:c>
      <x:c r="F23" s="521" t="str">
        <x:f>IF(ABS(E23-D23)&lt;0.0001,"PASS","FAIL")</x:f>
        <x:v>PASS</x:v>
      </x:c>
      <x:c r="G23" s="521" t="str">
        <x:v>ERROR</x:v>
      </x:c>
      <x:c r="H23" s="521" t="str"/>
    </x:row>
    <x:row r="24" ht="42" customHeight="1">
      <x:c r="A24" s="19" t="str">
        <x:v>CHK-33A-19</x:v>
      </x:c>
      <x:c r="B24" s="19" t="str">
        <x:v>MARGINAL_N90</x:v>
      </x:c>
      <x:c r="C24" s="19" t="str">
        <x:v>联合分布回算N90档30000</x:v>
      </x:c>
      <x:c r="D24" s="19" t="n">
        <x:v>0</x:v>
      </x:c>
      <x:c r="E24" s="19" t="n">
        <x:f>SUMIF('99_联合情景与四版本'!C6:C17,'98_正式价边际分布'!B10,'99_联合情景与四版本'!D6:D17)-'98_正式价边际分布'!E10</x:f>
        <x:v>0</x:v>
      </x:c>
      <x:c r="F24" s="19" t="str">
        <x:f>IF(ABS(E24-D24)&lt;0.0001,"PASS","FAIL")</x:f>
        <x:v>PASS</x:v>
      </x:c>
      <x:c r="G24" s="19" t="str">
        <x:v>ERROR</x:v>
      </x:c>
      <x:c r="H24" s="19" t="str"/>
    </x:row>
    <x:row r="25" ht="42" customHeight="1">
      <x:c r="A25" s="521" t="str">
        <x:v>CHK-33A-20</x:v>
      </x:c>
      <x:c r="B25" s="521" t="str">
        <x:v>MARGINAL_N70</x:v>
      </x:c>
      <x:c r="C25" s="521" t="str">
        <x:v>联合分布回算N70档40000</x:v>
      </x:c>
      <x:c r="D25" s="521" t="n">
        <x:v>0</x:v>
      </x:c>
      <x:c r="E25" s="521" t="n">
        <x:f>SUMIF('99_联合情景与四版本'!B6:B17,'98_正式价边际分布'!B11,'99_联合情景与四版本'!D6:D17)-'98_正式价边际分布'!C11</x:f>
        <x:v>0</x:v>
      </x:c>
      <x:c r="F25" s="521" t="str">
        <x:f>IF(ABS(E25-D25)&lt;0.0001,"PASS","FAIL")</x:f>
        <x:v>PASS</x:v>
      </x:c>
      <x:c r="G25" s="521" t="str">
        <x:v>ERROR</x:v>
      </x:c>
      <x:c r="H25" s="521" t="str"/>
    </x:row>
    <x:row r="26" ht="42" customHeight="1">
      <x:c r="A26" s="19" t="str">
        <x:v>CHK-33A-21</x:v>
      </x:c>
      <x:c r="B26" s="19" t="str">
        <x:v>MARGINAL_N90</x:v>
      </x:c>
      <x:c r="C26" s="19" t="str">
        <x:v>联合分布回算N90档40000</x:v>
      </x:c>
      <x:c r="D26" s="19" t="n">
        <x:v>0</x:v>
      </x:c>
      <x:c r="E26" s="19" t="n">
        <x:f>SUMIF('99_联合情景与四版本'!C6:C17,'98_正式价边际分布'!B11,'99_联合情景与四版本'!D6:D17)-'98_正式价边际分布'!E11</x:f>
        <x:v>0</x:v>
      </x:c>
      <x:c r="F26" s="19" t="str">
        <x:f>IF(ABS(E26-D26)&lt;0.0001,"PASS","FAIL")</x:f>
        <x:v>PASS</x:v>
      </x:c>
      <x:c r="G26" s="19" t="str">
        <x:v>ERROR</x:v>
      </x:c>
      <x:c r="H26" s="19" t="str"/>
    </x:row>
    <x:row r="27" ht="42" customHeight="1">
      <x:c r="A27" s="521" t="str">
        <x:v>CHK-33A-22</x:v>
      </x:c>
      <x:c r="B27" s="521" t="str">
        <x:v>LADDER</x:v>
      </x:c>
      <x:c r="C27" s="521" t="str">
        <x:v>联合情景1四节点严格递增</x:v>
      </x:c>
      <x:c r="D27" s="521" t="n">
        <x:v>1</x:v>
      </x:c>
      <x:c r="E27" s="521" t="n">
        <x:f>IF(AND('99_联合情景与四版本'!H6&lt;'99_联合情景与四版本'!E6,'99_联合情景与四版本'!E6&lt;'99_联合情景与四版本'!F6,'99_联合情景与四版本'!F6&lt;'99_联合情景与四版本'!J6),1,0)</x:f>
        <x:v>1</x:v>
      </x:c>
      <x:c r="F27" s="521" t="str">
        <x:f>IF(ABS(E27-D27)&lt;0.0001,"PASS","FAIL")</x:f>
        <x:v>PASS</x:v>
      </x:c>
      <x:c r="G27" s="521" t="str">
        <x:v>ERROR</x:v>
      </x:c>
      <x:c r="H27" s="521" t="str"/>
    </x:row>
    <x:row r="28" ht="42" customHeight="1">
      <x:c r="A28" s="19" t="str">
        <x:v>CHK-33A-23</x:v>
      </x:c>
      <x:c r="B28" s="19" t="str">
        <x:v>LADDER</x:v>
      </x:c>
      <x:c r="C28" s="19" t="str">
        <x:v>联合情景2四节点严格递增</x:v>
      </x:c>
      <x:c r="D28" s="19" t="n">
        <x:v>1</x:v>
      </x:c>
      <x:c r="E28" s="19" t="n">
        <x:f>IF(AND('99_联合情景与四版本'!H7&lt;'99_联合情景与四版本'!E7,'99_联合情景与四版本'!E7&lt;'99_联合情景与四版本'!F7,'99_联合情景与四版本'!F7&lt;'99_联合情景与四版本'!J7),1,0)</x:f>
        <x:v>1</x:v>
      </x:c>
      <x:c r="F28" s="19" t="str">
        <x:f>IF(ABS(E28-D28)&lt;0.0001,"PASS","FAIL")</x:f>
        <x:v>PASS</x:v>
      </x:c>
      <x:c r="G28" s="19" t="str">
        <x:v>ERROR</x:v>
      </x:c>
      <x:c r="H28" s="19" t="str"/>
    </x:row>
    <x:row r="29" ht="42" customHeight="1">
      <x:c r="A29" s="521" t="str">
        <x:v>CHK-33A-24</x:v>
      </x:c>
      <x:c r="B29" s="521" t="str">
        <x:v>LADDER</x:v>
      </x:c>
      <x:c r="C29" s="521" t="str">
        <x:v>联合情景3四节点严格递增</x:v>
      </x:c>
      <x:c r="D29" s="521" t="n">
        <x:v>1</x:v>
      </x:c>
      <x:c r="E29" s="521" t="n">
        <x:f>IF(AND('99_联合情景与四版本'!H8&lt;'99_联合情景与四版本'!E8,'99_联合情景与四版本'!E8&lt;'99_联合情景与四版本'!F8,'99_联合情景与四版本'!F8&lt;'99_联合情景与四版本'!J8),1,0)</x:f>
        <x:v>1</x:v>
      </x:c>
      <x:c r="F29" s="521" t="str">
        <x:f>IF(ABS(E29-D29)&lt;0.0001,"PASS","FAIL")</x:f>
        <x:v>PASS</x:v>
      </x:c>
      <x:c r="G29" s="521" t="str">
        <x:v>ERROR</x:v>
      </x:c>
      <x:c r="H29" s="521" t="str"/>
    </x:row>
    <x:row r="30" ht="42" customHeight="1">
      <x:c r="A30" s="19" t="str">
        <x:v>CHK-33A-25</x:v>
      </x:c>
      <x:c r="B30" s="19" t="str">
        <x:v>LADDER</x:v>
      </x:c>
      <x:c r="C30" s="19" t="str">
        <x:v>联合情景4四节点严格递增</x:v>
      </x:c>
      <x:c r="D30" s="19" t="n">
        <x:v>1</x:v>
      </x:c>
      <x:c r="E30" s="19" t="n">
        <x:f>IF(AND('99_联合情景与四版本'!H9&lt;'99_联合情景与四版本'!E9,'99_联合情景与四版本'!E9&lt;'99_联合情景与四版本'!F9,'99_联合情景与四版本'!F9&lt;'99_联合情景与四版本'!J9),1,0)</x:f>
        <x:v>1</x:v>
      </x:c>
      <x:c r="F30" s="19" t="str">
        <x:f>IF(ABS(E30-D30)&lt;0.0001,"PASS","FAIL")</x:f>
        <x:v>PASS</x:v>
      </x:c>
      <x:c r="G30" s="19" t="str">
        <x:v>ERROR</x:v>
      </x:c>
      <x:c r="H30" s="19" t="str"/>
    </x:row>
    <x:row r="31" ht="42" customHeight="1">
      <x:c r="A31" s="521" t="str">
        <x:v>CHK-33A-26</x:v>
      </x:c>
      <x:c r="B31" s="521" t="str">
        <x:v>LADDER</x:v>
      </x:c>
      <x:c r="C31" s="521" t="str">
        <x:v>联合情景5四节点严格递增</x:v>
      </x:c>
      <x:c r="D31" s="521" t="n">
        <x:v>1</x:v>
      </x:c>
      <x:c r="E31" s="521" t="n">
        <x:f>IF(AND('99_联合情景与四版本'!H10&lt;'99_联合情景与四版本'!E10,'99_联合情景与四版本'!E10&lt;'99_联合情景与四版本'!F10,'99_联合情景与四版本'!F10&lt;'99_联合情景与四版本'!J10),1,0)</x:f>
        <x:v>1</x:v>
      </x:c>
      <x:c r="F31" s="521" t="str">
        <x:f>IF(ABS(E31-D31)&lt;0.0001,"PASS","FAIL")</x:f>
        <x:v>PASS</x:v>
      </x:c>
      <x:c r="G31" s="521" t="str">
        <x:v>ERROR</x:v>
      </x:c>
      <x:c r="H31" s="521" t="str"/>
    </x:row>
    <x:row r="32" ht="42" customHeight="1">
      <x:c r="A32" s="19" t="str">
        <x:v>CHK-33A-27</x:v>
      </x:c>
      <x:c r="B32" s="19" t="str">
        <x:v>LADDER</x:v>
      </x:c>
      <x:c r="C32" s="19" t="str">
        <x:v>联合情景6四节点严格递增</x:v>
      </x:c>
      <x:c r="D32" s="19" t="n">
        <x:v>1</x:v>
      </x:c>
      <x:c r="E32" s="19" t="n">
        <x:f>IF(AND('99_联合情景与四版本'!H11&lt;'99_联合情景与四版本'!E11,'99_联合情景与四版本'!E11&lt;'99_联合情景与四版本'!F11,'99_联合情景与四版本'!F11&lt;'99_联合情景与四版本'!J11),1,0)</x:f>
        <x:v>1</x:v>
      </x:c>
      <x:c r="F32" s="19" t="str">
        <x:f>IF(ABS(E32-D32)&lt;0.0001,"PASS","FAIL")</x:f>
        <x:v>PASS</x:v>
      </x:c>
      <x:c r="G32" s="19" t="str">
        <x:v>ERROR</x:v>
      </x:c>
      <x:c r="H32" s="19" t="str"/>
    </x:row>
    <x:row r="33" ht="42" customHeight="1">
      <x:c r="A33" s="521" t="str">
        <x:v>CHK-33A-28</x:v>
      </x:c>
      <x:c r="B33" s="521" t="str">
        <x:v>LADDER</x:v>
      </x:c>
      <x:c r="C33" s="521" t="str">
        <x:v>联合情景7四节点严格递增</x:v>
      </x:c>
      <x:c r="D33" s="521" t="n">
        <x:v>1</x:v>
      </x:c>
      <x:c r="E33" s="521" t="n">
        <x:f>IF(AND('99_联合情景与四版本'!H12&lt;'99_联合情景与四版本'!E12,'99_联合情景与四版本'!E12&lt;'99_联合情景与四版本'!F12,'99_联合情景与四版本'!F12&lt;'99_联合情景与四版本'!J12),1,0)</x:f>
        <x:v>1</x:v>
      </x:c>
      <x:c r="F33" s="521" t="str">
        <x:f>IF(ABS(E33-D33)&lt;0.0001,"PASS","FAIL")</x:f>
        <x:v>PASS</x:v>
      </x:c>
      <x:c r="G33" s="521" t="str">
        <x:v>ERROR</x:v>
      </x:c>
      <x:c r="H33" s="521" t="str"/>
    </x:row>
    <x:row r="34" ht="42" customHeight="1">
      <x:c r="A34" s="19" t="str">
        <x:v>CHK-33A-29</x:v>
      </x:c>
      <x:c r="B34" s="19" t="str">
        <x:v>LADDER</x:v>
      </x:c>
      <x:c r="C34" s="19" t="str">
        <x:v>联合情景8四节点严格递增</x:v>
      </x:c>
      <x:c r="D34" s="19" t="n">
        <x:v>1</x:v>
      </x:c>
      <x:c r="E34" s="19" t="n">
        <x:f>IF(AND('99_联合情景与四版本'!H13&lt;'99_联合情景与四版本'!E13,'99_联合情景与四版本'!E13&lt;'99_联合情景与四版本'!F13,'99_联合情景与四版本'!F13&lt;'99_联合情景与四版本'!J13),1,0)</x:f>
        <x:v>1</x:v>
      </x:c>
      <x:c r="F34" s="19" t="str">
        <x:f>IF(ABS(E34-D34)&lt;0.0001,"PASS","FAIL")</x:f>
        <x:v>PASS</x:v>
      </x:c>
      <x:c r="G34" s="19" t="str">
        <x:v>ERROR</x:v>
      </x:c>
      <x:c r="H34" s="19" t="str"/>
    </x:row>
    <x:row r="35" ht="42" customHeight="1">
      <x:c r="A35" s="521" t="str">
        <x:v>CHK-33A-30</x:v>
      </x:c>
      <x:c r="B35" s="521" t="str">
        <x:v>LADDER</x:v>
      </x:c>
      <x:c r="C35" s="521" t="str">
        <x:v>联合情景9四节点严格递增</x:v>
      </x:c>
      <x:c r="D35" s="521" t="n">
        <x:v>1</x:v>
      </x:c>
      <x:c r="E35" s="521" t="n">
        <x:f>IF(AND('99_联合情景与四版本'!H14&lt;'99_联合情景与四版本'!E14,'99_联合情景与四版本'!E14&lt;'99_联合情景与四版本'!F14,'99_联合情景与四版本'!F14&lt;'99_联合情景与四版本'!J14),1,0)</x:f>
        <x:v>1</x:v>
      </x:c>
      <x:c r="F35" s="521" t="str">
        <x:f>IF(ABS(E35-D35)&lt;0.0001,"PASS","FAIL")</x:f>
        <x:v>PASS</x:v>
      </x:c>
      <x:c r="G35" s="521" t="str">
        <x:v>ERROR</x:v>
      </x:c>
      <x:c r="H35" s="521" t="str"/>
    </x:row>
    <x:row r="36" ht="42" customHeight="1">
      <x:c r="A36" s="19" t="str">
        <x:v>CHK-33A-31</x:v>
      </x:c>
      <x:c r="B36" s="19" t="str">
        <x:v>LADDER</x:v>
      </x:c>
      <x:c r="C36" s="19" t="str">
        <x:v>联合情景10四节点严格递增</x:v>
      </x:c>
      <x:c r="D36" s="19" t="n">
        <x:v>1</x:v>
      </x:c>
      <x:c r="E36" s="19" t="n">
        <x:f>IF(AND('99_联合情景与四版本'!H15&lt;'99_联合情景与四版本'!E15,'99_联合情景与四版本'!E15&lt;'99_联合情景与四版本'!F15,'99_联合情景与四版本'!F15&lt;'99_联合情景与四版本'!J15),1,0)</x:f>
        <x:v>1</x:v>
      </x:c>
      <x:c r="F36" s="19" t="str">
        <x:f>IF(ABS(E36-D36)&lt;0.0001,"PASS","FAIL")</x:f>
        <x:v>PASS</x:v>
      </x:c>
      <x:c r="G36" s="19" t="str">
        <x:v>ERROR</x:v>
      </x:c>
      <x:c r="H36" s="19" t="str"/>
    </x:row>
    <x:row r="37" ht="42" customHeight="1">
      <x:c r="A37" s="521" t="str">
        <x:v>CHK-33A-32</x:v>
      </x:c>
      <x:c r="B37" s="521" t="str">
        <x:v>LADDER</x:v>
      </x:c>
      <x:c r="C37" s="521" t="str">
        <x:v>联合情景11四节点严格递增</x:v>
      </x:c>
      <x:c r="D37" s="521" t="n">
        <x:v>1</x:v>
      </x:c>
      <x:c r="E37" s="521" t="n">
        <x:f>IF(AND('99_联合情景与四版本'!H16&lt;'99_联合情景与四版本'!E16,'99_联合情景与四版本'!E16&lt;'99_联合情景与四版本'!F16,'99_联合情景与四版本'!F16&lt;'99_联合情景与四版本'!J16),1,0)</x:f>
        <x:v>1</x:v>
      </x:c>
      <x:c r="F37" s="521" t="str">
        <x:f>IF(ABS(E37-D37)&lt;0.0001,"PASS","FAIL")</x:f>
        <x:v>PASS</x:v>
      </x:c>
      <x:c r="G37" s="521" t="str">
        <x:v>ERROR</x:v>
      </x:c>
      <x:c r="H37" s="521" t="str"/>
    </x:row>
    <x:row r="38" ht="42" customHeight="1">
      <x:c r="A38" s="19" t="str">
        <x:v>CHK-33A-33</x:v>
      </x:c>
      <x:c r="B38" s="19" t="str">
        <x:v>LADDER</x:v>
      </x:c>
      <x:c r="C38" s="19" t="str">
        <x:v>联合情景12四节点严格递增</x:v>
      </x:c>
      <x:c r="D38" s="19" t="n">
        <x:v>1</x:v>
      </x:c>
      <x:c r="E38" s="19" t="n">
        <x:f>IF(AND('99_联合情景与四版本'!H17&lt;'99_联合情景与四版本'!E17,'99_联合情景与四版本'!E17&lt;'99_联合情景与四版本'!F17,'99_联合情景与四版本'!F17&lt;'99_联合情景与四版本'!J17),1,0)</x:f>
        <x:v>1</x:v>
      </x:c>
      <x:c r="F38" s="19" t="str">
        <x:f>IF(ABS(E38-D38)&lt;0.0001,"PASS","FAIL")</x:f>
        <x:v>PASS</x:v>
      </x:c>
      <x:c r="G38" s="19" t="str">
        <x:v>ERROR</x:v>
      </x:c>
      <x:c r="H38" s="19" t="str"/>
    </x:row>
    <x:row r="39" ht="42" customHeight="1">
      <x:c r="A39" s="521" t="str">
        <x:v>CHK-33A-34</x:v>
      </x:c>
      <x:c r="B39" s="521" t="str">
        <x:v>CASEBOOK</x:v>
      </x:c>
      <x:c r="C39" s="521" t="str">
        <x:v>案例价格均为非负降幅</x:v>
      </x:c>
      <x:c r="D39" s="521" t="n">
        <x:v>20</x:v>
      </x:c>
      <x:c r="E39" s="521" t="n">
        <x:f>COUNTIF('96_官方案例库'!G6:G25,"&gt;=0")</x:f>
        <x:v>20</x:v>
      </x:c>
      <x:c r="F39" s="521" t="str">
        <x:f>IF(ABS(E39-D39)&lt;0.0001,"PASS","FAIL")</x:f>
        <x:v>PASS</x:v>
      </x:c>
      <x:c r="G39" s="521" t="str">
        <x:v>ERROR</x:v>
      </x:c>
      <x:c r="H39" s="521" t="str"/>
    </x:row>
    <x:row r="40" ht="42" customHeight="1">
      <x:c r="A40" s="19" t="str">
        <x:v>CHK-33A-35</x:v>
      </x:c>
      <x:c r="B40" s="19" t="str">
        <x:v>CASEBOOK</x:v>
      </x:c>
      <x:c r="C40" s="19" t="str">
        <x:v>案例预售来源非空</x:v>
      </x:c>
      <x:c r="D40" s="19" t="n">
        <x:v>20</x:v>
      </x:c>
      <x:c r="E40" s="19" t="n">
        <x:f>COUNTA('96_官方案例库'!M6:M25)</x:f>
        <x:v>20</x:v>
      </x:c>
      <x:c r="F40" s="19" t="str">
        <x:f>IF(ABS(E40-D40)&lt;0.0001,"PASS","FAIL")</x:f>
        <x:v>PASS</x:v>
      </x:c>
      <x:c r="G40" s="19" t="str">
        <x:v>ERROR</x:v>
      </x:c>
      <x:c r="H40" s="19" t="str"/>
    </x:row>
    <x:row r="41" ht="42" customHeight="1">
      <x:c r="A41" s="521" t="str">
        <x:v>CHK-33A-36</x:v>
      </x:c>
      <x:c r="B41" s="521" t="str">
        <x:v>CASEBOOK</x:v>
      </x:c>
      <x:c r="C41" s="521" t="str">
        <x:v>案例正式来源非空</x:v>
      </x:c>
      <x:c r="D41" s="521" t="n">
        <x:v>20</x:v>
      </x:c>
      <x:c r="E41" s="521" t="n">
        <x:f>COUNTA('96_官方案例库'!N6:N25)</x:f>
        <x:v>20</x:v>
      </x:c>
      <x:c r="F41" s="521" t="str">
        <x:f>IF(ABS(E41-D41)&lt;0.0001,"PASS","FAIL")</x:f>
        <x:v>PASS</x:v>
      </x:c>
      <x:c r="G41" s="521" t="str">
        <x:v>ERROR</x:v>
      </x:c>
      <x:c r="H41" s="521" t="str"/>
    </x:row>
    <x:row r="42" ht="42" customHeight="1">
      <x:c r="A42" s="19" t="str">
        <x:v>CHK-33A-37</x:v>
      </x:c>
      <x:c r="B42" s="19" t="str">
        <x:v>BOUNDARY</x:v>
      </x:c>
      <x:c r="C42" s="19" t="str">
        <x:v>升顶旧33.99中心已覆盖</x:v>
      </x:c>
      <x:c r="D42" s="19" t="n">
        <x:v>299900</x:v>
      </x:c>
      <x:c r="E42" s="19" t="n">
        <x:f>'99_联合情景与四版本'!G23</x:f>
        <x:v>299900</x:v>
      </x:c>
      <x:c r="F42" s="19" t="str">
        <x:f>IF(ABS(E42-D42)&lt;0.0001,"PASS","FAIL")</x:f>
        <x:v>PASS</x:v>
      </x:c>
      <x:c r="G42" s="19" t="str">
        <x:v>ERROR</x:v>
      </x:c>
      <x:c r="H42" s="19" t="str"/>
    </x:row>
    <x:row r="43" ht="42" customHeight="1">
      <x:c r="A43" s="521" t="str">
        <x:v>CHK-33A-38</x:v>
      </x:c>
      <x:c r="B43" s="521" t="str">
        <x:v>GATE</x:v>
      </x:c>
      <x:c r="C43" s="521" t="str">
        <x:v>正式官方价格数量</x:v>
      </x:c>
      <x:c r="D43" s="521" t="n">
        <x:v>0</x:v>
      </x:c>
      <x:c r="E43" s="521" t="n">
        <x:f>0</x:f>
        <x:v>0</x:v>
      </x:c>
      <x:c r="F43" s="521" t="str">
        <x:f>IF(ABS(E43-D43)&lt;0.0001,"PASS","FAIL")</x:f>
        <x:v>PASS</x:v>
      </x:c>
      <x:c r="G43" s="521" t="str">
        <x:v>ERROR</x:v>
      </x:c>
      <x:c r="H43" s="521" t="str"/>
    </x:row>
    <x:row r="46" ht="44" customHeight="1">
      <x:c r="A46" s="19" t="str">
        <x:v>校验项总数</x:v>
      </x:c>
      <x:c r="B46" s="19" t="n">
        <x:v>38</x:v>
      </x:c>
      <x:c r="C46" s="19" t="str"/>
      <x:c r="D46" s="19" t="str"/>
      <x:c r="E46" s="19" t="str"/>
      <x:c r="F46" s="19" t="str"/>
      <x:c r="G46" s="19" t="str"/>
      <x:c r="H46" s="19" t="str"/>
    </x:row>
    <x:row r="47" ht="44" customHeight="1">
      <x:c r="A47" s="521" t="str">
        <x:v>FAIL数量</x:v>
      </x:c>
      <x:c r="B47" s="521" t="n">
        <x:f>COUNTIF(F6:F43,"FAIL")</x:f>
        <x:v>0</x:v>
      </x:c>
      <x:c r="C47" s="521" t="str"/>
      <x:c r="D47" s="521" t="str"/>
      <x:c r="E47" s="521" t="str"/>
      <x:c r="F47" s="521" t="str"/>
      <x:c r="G47" s="521" t="str"/>
      <x:c r="H47" s="521" t="str"/>
    </x:row>
    <x:row r="48" ht="44" customHeight="1">
      <x:c r="A48" s="19" t="str">
        <x:v>公式错误（导出后扫描）</x:v>
      </x:c>
      <x:c r="B48" s="19" t="n">
        <x:v>0</x:v>
      </x:c>
      <x:c r="C48" s="19" t="str"/>
      <x:c r="D48" s="19" t="str"/>
      <x:c r="E48" s="19" t="str"/>
      <x:c r="F48" s="19" t="str"/>
      <x:c r="G48" s="19" t="str"/>
      <x:c r="H48" s="19" t="str"/>
    </x:row>
    <x:row r="49" ht="44" customHeight="1">
      <x:c r="A49" s="521" t="str">
        <x:v>现金/权益口径混用</x:v>
      </x:c>
      <x:c r="B49" s="521" t="n">
        <x:v>0</x:v>
      </x:c>
      <x:c r="C49" s="521" t="str"/>
      <x:c r="D49" s="521" t="str"/>
      <x:c r="E49" s="521" t="str"/>
      <x:c r="F49" s="521" t="str"/>
      <x:c r="G49" s="521" t="str"/>
      <x:c r="H49" s="521" t="str"/>
    </x:row>
    <x:row r="50" ht="44" customHeight="1">
      <x:c r="A50" s="19" t="str">
        <x:v>正式官方价格数量</x:v>
      </x:c>
      <x:c r="B50" s="19" t="n">
        <x:v>0</x:v>
      </x:c>
      <x:c r="C50" s="19" t="str"/>
      <x:c r="D50" s="19" t="str"/>
      <x:c r="E50" s="19" t="str"/>
      <x:c r="F50" s="19" t="str"/>
      <x:c r="G50" s="19" t="str"/>
      <x:c r="H50" s="19" t="str"/>
    </x:row>
    <x:row r="51" ht="44" customHeight="1">
      <x:c r="A51" s="521" t="str">
        <x:v>阶段状态</x:v>
      </x:c>
      <x:c r="B51" s="521" t="str">
        <x:f>IF(AND(B47=0,B48=0,B49=0,B50=0),"READY_PHASE_3.3A","REVIEW_REQUIRED")</x:f>
        <x:v>READY_PHASE_3.3A</x:v>
      </x:c>
      <x:c r="C51" s="521" t="str"/>
      <x:c r="D51" s="521" t="str"/>
      <x:c r="E51" s="521" t="str"/>
      <x:c r="F51" s="521" t="str"/>
      <x:c r="G51" s="521" t="str"/>
      <x:c r="H51" s="521" t="str"/>
    </x:row>
  </x:sheetData>
  <x:mergeCells>
    <x:mergeCell ref="A1:H1"/>
    <x:mergeCell ref="A2:H2"/>
    <x:mergeCell ref="A3:H3"/>
  </x:mergeCells>
  <x:conditionalFormatting sqref="F6:G43">
    <x:cfRule type="containsText" dxfId="2473" priority="1" operator="containsText" text="PASS"/>
    <x:cfRule type="containsText" dxfId="2474" priority="2" operator="containsText" text="READY"/>
    <x:cfRule type="containsText" dxfId="2475" priority="3" operator="containsText" text="CORE"/>
    <x:cfRule type="containsText" dxfId="2476" priority="4" operator="containsText" text="MODE"/>
    <x:cfRule type="containsText" dxfId="2477" priority="5" operator="containsText" text="OFFICIAL"/>
    <x:cfRule type="containsText" dxfId="2478" priority="6" operator="containsText" text="YES"/>
    <x:cfRule type="containsText" dxfId="2479" priority="7" operator="containsText" text="PROVISIONAL"/>
    <x:cfRule type="containsText" dxfId="2480" priority="8" operator="containsText" text="SCENARIO"/>
    <x:cfRule type="containsText" dxfId="2481" priority="9" operator="containsText" text="CONDITIONAL"/>
    <x:cfRule type="containsText" dxfId="2482" priority="10" operator="containsText" text="TAIL"/>
    <x:cfRule type="containsText" dxfId="2483" priority="11" operator="containsText" text="LIMITED"/>
    <x:cfRule type="containsText" dxfId="2484" priority="12" operator="containsText" text="BaaS"/>
    <x:cfRule type="containsText" dxfId="2485" priority="13" operator="containsText" text="EXCLUDED"/>
    <x:cfRule type="containsText" dxfId="2486" priority="14" operator="containsText" text="NO"/>
    <x:cfRule type="containsText" dxfId="2487" priority="15" operator="containsText" text="BLOCKED"/>
    <x:cfRule type="containsText" dxfId="2488" priority="16" operator="containsText" text="FAIL"/>
    <x:cfRule type="containsText" dxfId="2489" priority="17" operator="containsText" text="SUPERSEDED"/>
  </x:conditionalFormatting>
  <x:conditionalFormatting sqref="B46:B51">
    <x:cfRule type="containsText" dxfId="2490" priority="18" operator="containsText" text="PASS"/>
    <x:cfRule type="containsText" dxfId="2491" priority="19" operator="containsText" text="READY"/>
    <x:cfRule type="containsText" dxfId="2492" priority="20" operator="containsText" text="CORE"/>
    <x:cfRule type="containsText" dxfId="2493" priority="21" operator="containsText" text="MODE"/>
    <x:cfRule type="containsText" dxfId="2494" priority="22" operator="containsText" text="OFFICIAL"/>
    <x:cfRule type="containsText" dxfId="2495" priority="23" operator="containsText" text="YES"/>
    <x:cfRule type="containsText" dxfId="2496" priority="24" operator="containsText" text="PROVISIONAL"/>
    <x:cfRule type="containsText" dxfId="2497" priority="25" operator="containsText" text="SCENARIO"/>
    <x:cfRule type="containsText" dxfId="2498" priority="26" operator="containsText" text="CONDITIONAL"/>
    <x:cfRule type="containsText" dxfId="2499" priority="27" operator="containsText" text="TAIL"/>
    <x:cfRule type="containsText" dxfId="2500" priority="28" operator="containsText" text="LIMITED"/>
    <x:cfRule type="containsText" dxfId="2501" priority="29" operator="containsText" text="BaaS"/>
    <x:cfRule type="containsText" dxfId="2502" priority="30" operator="containsText" text="EXCLUDED"/>
    <x:cfRule type="containsText" dxfId="2503" priority="31" operator="containsText" text="NO"/>
    <x:cfRule type="containsText" dxfId="2504" priority="32" operator="containsText" text="BLOCKED"/>
    <x:cfRule type="containsText" dxfId="2505" priority="33" operator="containsText" text="FAIL"/>
    <x:cfRule type="containsText" dxfId="2506" priority="34" operator="containsText" text="SUPERSEDED"/>
  </x:conditionalFormatting>
  <x:pageMargins left="0.7" right="0.7" top="0.75" bottom="0.75" header="0.3" footer="0.3"/>
</x:worksheet>
</file>

<file path=xl/worksheets/sheet10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3" hidden="0" customWidth="1"/>
    <x:col min="2" max="2" width="24" hidden="0" customWidth="1"/>
    <x:col min="3" max="3" width="24" hidden="0" customWidth="1"/>
    <x:col min="4" max="4" width="29" hidden="0" customWidth="1"/>
    <x:col min="5" max="5" width="28" hidden="0" customWidth="1"/>
    <x:col min="6" max="6" width="26" hidden="0" customWidth="1"/>
    <x:col min="7" max="7" width="24" hidden="0" customWidth="1"/>
    <x:col min="8" max="8" width="24" hidden="0" customWidth="1"/>
    <x:col min="9" max="9" width="34" hidden="0" customWidth="1"/>
    <x:col min="10" max="10" width="18" hidden="0" customWidth="1"/>
    <x:col min="11" max="11" width="30" hidden="0" customWidth="1"/>
    <x:col min="12" max="12" width="38" hidden="0" customWidth="1"/>
    <x:col min="13" max="13" width="18" hidden="0" customWidth="1"/>
  </x:cols>
  <x:sheetData>
    <x:row r="1" ht="30" customHeight="1">
      <x:c r="A1" s="544" t="str">
        <x:v>102｜Phase 3.3B：N90版本树与联合定价结构性重算</x:v>
      </x:c>
      <x:c r="B1" s="544"/>
      <x:c r="C1" s="544"/>
      <x:c r="D1" s="544"/>
      <x:c r="E1" s="544"/>
      <x:c r="F1" s="544"/>
      <x:c r="G1" s="544"/>
      <x:c r="H1" s="544"/>
      <x:c r="I1" s="544"/>
      <x:c r="J1" s="544"/>
      <x:c r="K1" s="544"/>
      <x:c r="L1" s="544"/>
      <x:c r="M1" s="544"/>
    </x:row>
    <x:row r="2" ht="22" customHeight="1">
      <x:c r="A2" s="547" t="str">
        <x:v>把“车系起售价下降”与“同一Max版本降价”拆开｜发布时与生命周期拆开｜官方、准入、预测三层隔离</x:v>
      </x:c>
      <x:c r="B2" s="547"/>
      <x:c r="C2" s="547"/>
      <x:c r="D2" s="547"/>
      <x:c r="E2" s="547"/>
      <x:c r="F2" s="547"/>
      <x:c r="G2" s="547"/>
      <x:c r="H2" s="547"/>
      <x:c r="I2" s="547"/>
      <x:c r="J2" s="547"/>
      <x:c r="K2" s="547"/>
      <x:c r="L2" s="547"/>
      <x:c r="M2" s="547"/>
    </x:row>
    <x:row r="3" ht="82" customHeight="1">
      <x:c r="A3" s="551" t="str">
        <x:v>结论先行：当前官方只确认N90 Max，不等于N90永远没有标准版。工信部普通固定顶N90允许5/7座，但同一申报型号可以覆盖多个商业版本，因此5座不能直接等同“标准版”，也不能被忽略。模型按四种发布阵容分支重算；若出现标准版/Pro，低价SKU会替代Max深降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  <x:c r="M3" s="551"/>
    </x:row>
    <x:row r="5" ht="58" customHeight="1">
      <x:c r="A5" s="556" t="str">
        <x:v>rule_id</x:v>
      </x:c>
      <x:c r="B5" s="556" t="str">
        <x:v>问题</x:v>
      </x:c>
      <x:c r="C5" s="556" t="str">
        <x:v>Phase 3.3A处理</x:v>
      </x:c>
      <x:c r="D5" s="556" t="str">
        <x:v>Phase 3.3B处理</x:v>
      </x:c>
      <x:c r="E5" s="556" t="str">
        <x:v>官方事实</x:v>
      </x:c>
      <x:c r="F5" s="556" t="str">
        <x:v>工信部事实</x:v>
      </x:c>
      <x:c r="G5" s="556" t="str">
        <x:v>预测状态</x:v>
      </x:c>
      <x:c r="H5" s="556" t="str">
        <x:v>发布时影响</x:v>
      </x:c>
      <x:c r="I5" s="556" t="str">
        <x:v>生命周期影响</x:v>
      </x:c>
      <x:c r="J5" s="556" t="str">
        <x:v>可以说</x:v>
      </x:c>
      <x:c r="K5" s="556" t="str">
        <x:v>不能说</x:v>
      </x:c>
      <x:c r="L5" s="556" t="str">
        <x:v>更新触发器</x:v>
      </x:c>
      <x:c r="M5" s="556" t="str">
        <x:v>回链</x:v>
      </x:c>
    </x:row>
    <x:row r="6" ht="66" customHeight="1">
      <x:c r="A6" s="19" t="str">
        <x:v>R-33B-01</x:v>
      </x:c>
      <x:c r="B6" s="19" t="str">
        <x:v>N90标准版是否存在</x:v>
      </x:c>
      <x:c r="C6" s="19" t="str">
        <x:v>未纳入价格树</x:v>
      </x:c>
      <x:c r="D6" s="19" t="str">
        <x:v>纳入条件分支，不冒充官宣</x:v>
      </x:c>
      <x:c r="E6" s="19" t="str">
        <x:v>仅N90 Max已公布</x:v>
      </x:c>
      <x:c r="F6" s="19" t="str">
        <x:v>普通固定顶同型允许5/7座</x:v>
      </x:c>
      <x:c r="G6" s="19" t="str">
        <x:v>PREDICTED</x:v>
      </x:c>
      <x:c r="H6" s="19" t="str">
        <x:v>发布时P(Standard)=35%</x:v>
      </x:c>
      <x:c r="I6" s="19" t="str">
        <x:v>生命周期P(Standard)=72%</x:v>
      </x:c>
      <x:c r="J6" s="19" t="str">
        <x:v>标准版高概率是后续产品节点</x:v>
      </x:c>
      <x:c r="K6" s="19" t="str">
        <x:v>称标准版已官宣/已确定首发</x:v>
      </x:c>
      <x:c r="L6" s="19" t="str">
        <x:v>官方商品卡/配置器SKU</x:v>
      </x:c>
      <x:c r="M6" s="19" t="str">
        <x:v>39/40/103表</x:v>
      </x:c>
    </x:row>
    <x:row r="7" ht="66" customHeight="1">
      <x:c r="A7" s="557" t="str">
        <x:v>R-33B-02</x:v>
      </x:c>
      <x:c r="B7" s="557" t="str">
        <x:v>“只有Max”含义</x:v>
      </x:c>
      <x:c r="C7" s="557" t="str">
        <x:v>近似当作最终版本树</x:v>
      </x:c>
      <x:c r="D7" s="557" t="str">
        <x:v>只作为发布日阵容分支</x:v>
      </x:c>
      <x:c r="E7" s="557" t="str">
        <x:v>官网当前只有Max商品名</x:v>
      </x:c>
      <x:c r="F7" s="557" t="str">
        <x:v>准入不决定商品命名</x:v>
      </x:c>
      <x:c r="G7" s="557" t="str">
        <x:v>CONDITIONAL</x:v>
      </x:c>
      <x:c r="H7" s="557" t="str">
        <x:v>仅Max分支60%</x:v>
      </x:c>
      <x:c r="I7" s="557" t="str">
        <x:v>生命周期仅Max分支20%</x:v>
      </x:c>
      <x:c r="J7" s="557" t="str">
        <x:v>首发只Max仍是第一分支</x:v>
      </x:c>
      <x:c r="K7" s="557" t="str">
        <x:v>整个生命周期只有Max</x:v>
      </x:c>
      <x:c r="L7" s="557" t="str">
        <x:v>正式价格发布会</x:v>
      </x:c>
      <x:c r="M7" s="557" t="str">
        <x:v>103/106表</x:v>
      </x:c>
    </x:row>
    <x:row r="8" ht="66" customHeight="1">
      <x:c r="A8" s="19" t="str">
        <x:v>R-33B-03</x:v>
      </x:c>
      <x:c r="B8" s="19" t="str">
        <x:v>五座准入分支</x:v>
      </x:c>
      <x:c r="C8" s="19" t="str">
        <x:v>保守不生成SKU</x:v>
      </x:c>
      <x:c r="D8" s="19" t="str">
        <x:v>保留为标准版最强结构线索之一</x:v>
      </x:c>
      <x:c r="E8" s="19" t="str">
        <x:v>无五座商品卡</x:v>
      </x:c>
      <x:c r="F8" s="19" t="str">
        <x:v>V-N90-5存在</x:v>
      </x:c>
      <x:c r="G8" s="19" t="str">
        <x:v>MEDIUM_INFERENCE</x:v>
      </x:c>
      <x:c r="H8" s="19" t="str">
        <x:v>提高标准版可能性</x:v>
      </x:c>
      <x:c r="I8" s="19" t="str">
        <x:v>支持五座价值版</x:v>
      </x:c>
      <x:c r="J8" s="19" t="str">
        <x:v>五座可能被商业化</x:v>
      </x:c>
      <x:c r="K8" s="19" t="str">
        <x:v>五座必然叫标准版</x:v>
      </x:c>
      <x:c r="L8" s="19" t="str">
        <x:v>App座位数/正式配置表</x:v>
      </x:c>
      <x:c r="M8" s="19" t="str">
        <x:v>40/103表</x:v>
      </x:c>
    </x:row>
    <x:row r="9" ht="66" customHeight="1">
      <x:c r="A9" s="557" t="str">
        <x:v>R-33B-04</x:v>
      </x:c>
      <x:c r="B9" s="557" t="str">
        <x:v>版本命名</x:v>
      </x:c>
      <x:c r="C9" s="557" t="str">
        <x:v>使用“低阶候选”</x:v>
      </x:c>
      <x:c r="D9" s="557" t="str">
        <x:v>对外使用“标准版/Pro/Max”，后缀标注预测状态</x:v>
      </x:c>
      <x:c r="E9" s="557" t="str">
        <x:v>Max名称已确认</x:v>
      </x:c>
      <x:c r="F9" s="557" t="str">
        <x:v>MIIT不含商业名称</x:v>
      </x:c>
      <x:c r="G9" s="557" t="str">
        <x:v>LOCKED_METHOD</x:v>
      </x:c>
      <x:c r="H9" s="557" t="str">
        <x:v>更易读</x:v>
      </x:c>
      <x:c r="I9" s="557" t="str">
        <x:v>名称可随商品卡替换</x:v>
      </x:c>
      <x:c r="J9" s="557" t="str">
        <x:v>N90标准版（预测）</x:v>
      </x:c>
      <x:c r="K9" s="557" t="str">
        <x:v>把预测名称写成官方名称</x:v>
      </x:c>
      <x:c r="L9" s="557" t="str">
        <x:v>正式版本名</x:v>
      </x:c>
      <x:c r="M9" s="557" t="str">
        <x:v>108表</x:v>
      </x:c>
    </x:row>
    <x:row r="10" ht="66" customHeight="1">
      <x:c r="A10" s="19" t="str">
        <x:v>R-33B-05</x:v>
      </x:c>
      <x:c r="B10" s="19" t="str">
        <x:v>Max降价与起售价</x:v>
      </x:c>
      <x:c r="C10" s="19" t="str">
        <x:v>N90 Max独立边际分布</x:v>
      </x:c>
      <x:c r="D10" s="19" t="str">
        <x:v>对每种阵容设条件分布</x:v>
      </x:c>
      <x:c r="E10" s="19" t="str">
        <x:v>Max预售29.99万</x:v>
      </x:c>
      <x:c r="F10" s="19" t="str">
        <x:v>无正式价信息</x:v>
      </x:c>
      <x:c r="G10" s="19" t="str">
        <x:v>MODELLED</x:v>
      </x:c>
      <x:c r="H10" s="19" t="str">
        <x:v>有低价SKU时Max中枢上移</x:v>
      </x:c>
      <x:c r="I10" s="19" t="str">
        <x:v>版本扩张改变价格围栏</x:v>
      </x:c>
      <x:c r="J10" s="19" t="str">
        <x:v>结构不同，Max合理价不同</x:v>
      </x:c>
      <x:c r="K10" s="19" t="str">
        <x:v>固定认为Max一定27.99万</x:v>
      </x:c>
      <x:c r="L10" s="19" t="str">
        <x:v>是否出现低价SKU</x:v>
      </x:c>
      <x:c r="M10" s="19" t="str">
        <x:v>106/107表</x:v>
      </x:c>
    </x:row>
    <x:row r="11" ht="66" customHeight="1">
      <x:c r="A11" s="557" t="str">
        <x:v>R-33B-06</x:v>
      </x:c>
      <x:c r="B11" s="557" t="str">
        <x:v>跨车系价差</x:v>
      </x:c>
      <x:c r="C11" s="557" t="str">
        <x:v>四节点单向量表达</x:v>
      </x:c>
      <x:c r="D11" s="557" t="str">
        <x:v>不再把跨车系价差当固定常数</x:v>
      </x:c>
      <x:c r="E11" s="557" t="str">
        <x:v>N70/N90预售差4万</x:v>
      </x:c>
      <x:c r="F11" s="557" t="str">
        <x:v>动力电池同源候选</x:v>
      </x:c>
      <x:c r="G11" s="557" t="str">
        <x:v>LOCKED_METHOD</x:v>
      </x:c>
      <x:c r="H11" s="557" t="str">
        <x:v>允许不同阵容下压缩/扩大</x:v>
      </x:c>
      <x:c r="I11" s="557" t="str">
        <x:v>随配置树重构</x:v>
      </x:c>
      <x:c r="J11" s="557" t="str">
        <x:v>版本树决定价差</x:v>
      </x:c>
      <x:c r="K11" s="557" t="str">
        <x:v>N70到N90永远固定4万</x:v>
      </x:c>
      <x:c r="L11" s="557" t="str">
        <x:v>完整配置表</x:v>
      </x:c>
      <x:c r="M11" s="557" t="str">
        <x:v>12/106表</x:v>
      </x:c>
    </x:row>
    <x:row r="12" ht="66" customHeight="1">
      <x:c r="A12" s="19" t="str">
        <x:v>R-33B-07</x:v>
      </x:c>
      <x:c r="B12" s="19" t="str">
        <x:v>标准版成本差</x:v>
      </x:c>
      <x:c r="C12" s="19" t="str">
        <x:v>未单列</x:v>
      </x:c>
      <x:c r="D12" s="19" t="str">
        <x:v>按5座/7座与空悬是否保留三种形态</x:v>
      </x:c>
      <x:c r="E12" s="19" t="str">
        <x:v>Max配置已公布</x:v>
      </x:c>
      <x:c r="F12" s="19" t="str">
        <x:v>动力电池和电驱相同</x:v>
      </x:c>
      <x:c r="G12" s="19" t="str">
        <x:v>ENGINEERING_SCENARIO</x:v>
      </x:c>
      <x:c r="H12" s="19" t="str">
        <x:v>解释2—4万商业梯度</x:v>
      </x:c>
      <x:c r="I12" s="19" t="str">
        <x:v>随供应商确认更新</x:v>
      </x:c>
      <x:c r="J12" s="19" t="str">
        <x:v>主情景中值约0.91万</x:v>
      </x:c>
      <x:c r="K12" s="19" t="str">
        <x:v>用售价反推成本配平</x:v>
      </x:c>
      <x:c r="L12" s="19" t="str">
        <x:v>供应商/拆车/BOM报价</x:v>
      </x:c>
      <x:c r="M12" s="19" t="str">
        <x:v>104/105表</x:v>
      </x:c>
    </x:row>
    <x:row r="13" ht="66" customHeight="1">
      <x:c r="A13" s="557" t="str">
        <x:v>R-33B-08</x:v>
      </x:c>
      <x:c r="B13" s="557" t="str">
        <x:v>动力电池与电驱</x:v>
      </x:c>
      <x:c r="C13" s="557" t="str">
        <x:v>按Max事实</x:v>
      </x:c>
      <x:c r="D13" s="557" t="str">
        <x:v>标准版中心假设继续共用310kW+76kWh</x:v>
      </x:c>
      <x:c r="E13" s="557" t="str">
        <x:v>Max为310kW+76kWh</x:v>
      </x:c>
      <x:c r="F13" s="557" t="str">
        <x:v>普通N90同型为210+100kW、76kWh</x:v>
      </x:c>
      <x:c r="G13" s="557" t="str">
        <x:v>STRONG_INFERENCE</x:v>
      </x:c>
      <x:c r="H13" s="557" t="str">
        <x:v>不靠缩电池做低价</x:v>
      </x:c>
      <x:c r="I13" s="557" t="str">
        <x:v>若新申报出现则重算</x:v>
      </x:c>
      <x:c r="J13" s="557" t="str">
        <x:v>标准版更可能减舒适配置</x:v>
      </x:c>
      <x:c r="K13" s="557" t="str">
        <x:v>认定商业标配已经锁定</x:v>
      </x:c>
      <x:c r="L13" s="557" t="str">
        <x:v>新增申报型号/参数表</x:v>
      </x:c>
      <x:c r="M13" s="557" t="str">
        <x:v>39/104表</x:v>
      </x:c>
    </x:row>
    <x:row r="14" ht="66" customHeight="1">
      <x:c r="A14" s="19" t="str">
        <x:v>R-33B-09</x:v>
      </x:c>
      <x:c r="B14" s="19" t="str">
        <x:v>升顶特殊版</x:v>
      </x:c>
      <x:c r="C14" s="19" t="str">
        <x:v>Max+2万并设29.99下沿</x:v>
      </x:c>
      <x:c r="D14" s="19" t="str">
        <x:v>继续独立于标准/Pro/Max固定顶树</x:v>
      </x:c>
      <x:c r="E14" s="19" t="str">
        <x:v>未商业化</x:v>
      </x:c>
      <x:c r="F14" s="19" t="str">
        <x:v>独立升顶型号、5座</x:v>
      </x:c>
      <x:c r="G14" s="19" t="str">
        <x:v>SEPARATE_CANDIDATE</x:v>
      </x:c>
      <x:c r="H14" s="19" t="str">
        <x:v>不参与固定顶分支权重</x:v>
      </x:c>
      <x:c r="I14" s="19" t="str">
        <x:v>单独商品化概率</x:v>
      </x:c>
      <x:c r="J14" s="19" t="str">
        <x:v>机械升顶用于站立</x:v>
      </x:c>
      <x:c r="K14" s="19" t="str">
        <x:v>称车顶可睡/固定加5万</x:v>
      </x:c>
      <x:c r="L14" s="19" t="str">
        <x:v>独立商品卡</x:v>
      </x:c>
      <x:c r="M14" s="19" t="str">
        <x:v>40/108表</x:v>
      </x:c>
    </x:row>
    <x:row r="15" ht="66" customHeight="1">
      <x:c r="A15" s="557" t="str">
        <x:v>R-33B-10</x:v>
      </x:c>
      <x:c r="B15" s="557" t="str">
        <x:v>现金价与权益</x:v>
      </x:c>
      <x:c r="C15" s="557" t="str">
        <x:v>已分层</x:v>
      </x:c>
      <x:c r="D15" s="557" t="str">
        <x:v>继续分层且只建正式现金价</x:v>
      </x:c>
      <x:c r="E15" s="557" t="str">
        <x:v>正式价未公布</x:v>
      </x:c>
      <x:c r="F15" s="557" t="str">
        <x:v>不适用</x:v>
      </x:c>
      <x:c r="G15" s="557" t="str">
        <x:v>LOCKED_METHOD</x:v>
      </x:c>
      <x:c r="H15" s="557" t="str">
        <x:v>权益不改变指导价概率</x:v>
      </x:c>
      <x:c r="I15" s="557" t="str">
        <x:v>另建有效成本</x:v>
      </x:c>
      <x:c r="J15" s="557" t="str">
        <x:v>赠品/贴息单列</x:v>
      </x:c>
      <x:c r="K15" s="557" t="str">
        <x:v>把权益直接减指导价</x:v>
      </x:c>
      <x:c r="L15" s="557" t="str">
        <x:v>权益细则</x:v>
      </x:c>
      <x:c r="M15" s="557" t="str">
        <x:v>98/107表</x:v>
      </x:c>
    </x:row>
    <x:row r="18" ht="24" customHeight="1">
      <x:c r="A18" s="560" t="str">
        <x:v>本阶段快照：先看结构，再看价格</x:v>
      </x:c>
      <x:c r="B18" s="560"/>
      <x:c r="C18" s="560"/>
      <x:c r="D18" s="560"/>
      <x:c r="E18" s="560"/>
      <x:c r="F18" s="560"/>
      <x:c r="G18" s="560"/>
      <x:c r="H18" s="560"/>
      <x:c r="I18" s="560"/>
      <x:c r="J18" s="560"/>
      <x:c r="K18" s="560"/>
      <x:c r="L18" s="560"/>
      <x:c r="M18" s="560"/>
    </x:row>
    <x:row r="19" ht="52" customHeight="1">
      <x:c r="A19" s="556" t="str">
        <x:v>对象</x:v>
      </x:c>
      <x:c r="B19" s="556" t="str">
        <x:v>当前商业状态</x:v>
      </x:c>
      <x:c r="C19" s="556" t="str">
        <x:v>发布时存在概率</x:v>
      </x:c>
      <x:c r="D19" s="556" t="str">
        <x:v>生命周期存在概率</x:v>
      </x:c>
      <x:c r="E19" s="556" t="str">
        <x:v>条件正式价众数</x:v>
      </x:c>
      <x:c r="F19" s="556" t="str">
        <x:v>官方预售</x:v>
      </x:c>
      <x:c r="G19" s="556" t="str">
        <x:v>座位中心</x:v>
      </x:c>
      <x:c r="H19" s="556" t="str">
        <x:v>动力/电池中心</x:v>
      </x:c>
      <x:c r="I19" s="556" t="str">
        <x:v>主要减配方向</x:v>
      </x:c>
      <x:c r="J19" s="556" t="str">
        <x:v>证据置信</x:v>
      </x:c>
      <x:c r="K19" s="556" t="str">
        <x:v>定价作用</x:v>
      </x:c>
      <x:c r="L19" s="556" t="str">
        <x:v>不能混淆</x:v>
      </x:c>
      <x:c r="M19" s="556" t="str">
        <x:v>回链</x:v>
      </x:c>
    </x:row>
    <x:row r="20" ht="62" customHeight="1">
      <x:c r="A20" s="19" t="str">
        <x:v>N90标准版（预测）</x:v>
      </x:c>
      <x:c r="B20" s="19" t="str">
        <x:v>未官宣</x:v>
      </x:c>
      <x:c r="C20" s="23" t="n">
        <x:v>0.35</x:v>
      </x:c>
      <x:c r="D20" s="23" t="n">
        <x:v>0.72</x:v>
      </x:c>
      <x:c r="E20" s="414" t="n">
        <x:v>259900</x:v>
      </x:c>
      <x:c r="F20" s="414" t="str"/>
      <x:c r="G20" s="19" t="str">
        <x:v>7座主情景；5座备选</x:v>
      </x:c>
      <x:c r="H20" s="19" t="str">
        <x:v>310kW四驱+76kWh三元锂</x:v>
      </x:c>
      <x:c r="I20" s="19" t="str">
        <x:v>空悬/CDC/冰箱/音响；高情景含座椅舒适</x:v>
      </x:c>
      <x:c r="J20" s="19" t="str">
        <x:v>MEDIUM_LOW</x:v>
      </x:c>
      <x:c r="K20" s="19" t="str">
        <x:v>负责压低车系起售价</x:v>
      </x:c>
      <x:c r="L20" s="19" t="str">
        <x:v>不等于工信部五座必然商品化</x:v>
      </x:c>
      <x:c r="M20" s="19" t="str">
        <x:v>103—107</x:v>
      </x:c>
    </x:row>
    <x:row r="21" ht="62" customHeight="1">
      <x:c r="A21" s="557" t="str">
        <x:v>N90 Pro（预测）</x:v>
      </x:c>
      <x:c r="B21" s="557" t="str">
        <x:v>未官宣</x:v>
      </x:c>
      <x:c r="C21" s="562" t="n">
        <x:v>0.15</x:v>
      </x:c>
      <x:c r="D21" s="562" t="n">
        <x:v>0.38</x:v>
      </x:c>
      <x:c r="E21" s="561" t="n">
        <x:v>279900</x:v>
      </x:c>
      <x:c r="F21" s="561" t="str"/>
      <x:c r="G21" s="557" t="str">
        <x:v>7座优先</x:v>
      </x:c>
      <x:c r="H21" s="557" t="str">
        <x:v>310kW四驱+76kWh三元锂</x:v>
      </x:c>
      <x:c r="I21" s="557" t="str">
        <x:v>舒适配置介于标准与Max</x:v>
      </x:c>
      <x:c r="J21" s="557" t="str">
        <x:v>LOW</x:v>
      </x:c>
      <x:c r="K21" s="557" t="str">
        <x:v>补齐中间价格带</x:v>
      </x:c>
      <x:c r="L21" s="557" t="str">
        <x:v>当前没有独立申报或商品卡</x:v>
      </x:c>
      <x:c r="M21" s="557" t="str">
        <x:v>103/106/107</x:v>
      </x:c>
    </x:row>
    <x:row r="22" ht="62" customHeight="1">
      <x:c r="A22" s="19" t="str">
        <x:v>N90 Max</x:v>
      </x:c>
      <x:c r="B22" s="19" t="str">
        <x:v>已预售</x:v>
      </x:c>
      <x:c r="C22" s="23" t="n">
        <x:v>1</x:v>
      </x:c>
      <x:c r="D22" s="23" t="n">
        <x:v>1</x:v>
      </x:c>
      <x:c r="E22" s="414" t="n">
        <x:v>279900</x:v>
      </x:c>
      <x:c r="F22" s="414" t="n">
        <x:v>299900</x:v>
      </x:c>
      <x:c r="G22" s="19" t="str">
        <x:v>7座</x:v>
      </x:c>
      <x:c r="H22" s="19" t="str">
        <x:v>310kW四驱+76kWh三元锂</x:v>
      </x:c>
      <x:c r="I22" s="19" t="str">
        <x:v>基准高配</x:v>
      </x:c>
      <x:c r="J22" s="19" t="str">
        <x:v>HIGH</x:v>
      </x:c>
      <x:c r="K22" s="19" t="str">
        <x:v>仅Max时承担现金降价</x:v>
      </x:c>
      <x:c r="L22" s="19" t="str">
        <x:v>无条件众数≠每个阵容下众数</x:v>
      </x:c>
      <x:c r="M22" s="19" t="str">
        <x:v>103/106/107</x:v>
      </x:c>
    </x:row>
    <x:row r="23" ht="62" customHeight="1">
      <x:c r="A23" s="557" t="str">
        <x:v>N90升顶特殊版（预测）</x:v>
      </x:c>
      <x:c r="B23" s="557" t="str">
        <x:v>已申报未商品化</x:v>
      </x:c>
      <x:c r="C23" s="561" t="str"/>
      <x:c r="D23" s="561" t="str"/>
      <x:c r="E23" s="561" t="n">
        <x:v>299900</x:v>
      </x:c>
      <x:c r="F23" s="561" t="str"/>
      <x:c r="G23" s="557" t="str">
        <x:v>5座</x:v>
      </x:c>
      <x:c r="H23" s="557" t="str">
        <x:v>310kW四驱+76kWh三元锂</x:v>
      </x:c>
      <x:c r="I23" s="557" t="str">
        <x:v>取消玻璃天幕+机械升顶</x:v>
      </x:c>
      <x:c r="J23" s="557" t="str">
        <x:v>LOW</x:v>
      </x:c>
      <x:c r="K23" s="557" t="str">
        <x:v>特殊用途溢价</x:v>
      </x:c>
      <x:c r="L23" s="557" t="str">
        <x:v>不能在车顶睡觉</x:v>
      </x:c>
      <x:c r="M23" s="557" t="str">
        <x:v>40/108</x:v>
      </x:c>
    </x:row>
    <x:row r="24" ht="62" customHeight="1">
      <x:c r="A24" s="19" t="str">
        <x:v>固定顶发布阵容</x:v>
      </x:c>
      <x:c r="B24" s="19" t="str">
        <x:v>四分支</x:v>
      </x:c>
      <x:c r="C24" s="414" t="n">
        <x:v>1</x:v>
      </x:c>
      <x:c r="D24" s="414" t="n">
        <x:v>1</x:v>
      </x:c>
      <x:c r="E24" s="414" t="str"/>
      <x:c r="F24" s="414" t="str"/>
      <x:c r="G24" s="19" t="str"/>
      <x:c r="H24" s="19" t="str"/>
      <x:c r="I24" s="19" t="str"/>
      <x:c r="J24" s="19" t="str">
        <x:v>MODEL</x:v>
      </x:c>
      <x:c r="K24" s="19" t="str">
        <x:v>仅Max60%；有低价SKU40%</x:v>
      </x:c>
      <x:c r="L24" s="19" t="str">
        <x:v>存在概率与条件价格必须分开</x:v>
      </x:c>
      <x:c r="M24" s="19" t="str">
        <x:v>103/106</x:v>
      </x:c>
    </x:row>
  </x:sheetData>
  <x:mergeCells>
    <x:mergeCell ref="A1:M1"/>
    <x:mergeCell ref="A2:M2"/>
    <x:mergeCell ref="A3:M3"/>
    <x:mergeCell ref="A18:M18"/>
  </x:mergeCells>
  <x:conditionalFormatting sqref="G6:G15">
    <x:cfRule type="containsText" dxfId="2524" priority="1" operator="containsText" text="PASS"/>
    <x:cfRule type="containsText" dxfId="2525" priority="2" operator="containsText" text="READY"/>
    <x:cfRule type="containsText" dxfId="2526" priority="3" operator="containsText" text="CONFIRMED"/>
    <x:cfRule type="containsText" dxfId="2527" priority="4" operator="containsText" text="OFFICIAL"/>
    <x:cfRule type="containsText" dxfId="2528" priority="5" operator="containsText" text="MODE"/>
    <x:cfRule type="containsText" dxfId="2529" priority="6" operator="containsText" text="YES"/>
    <x:cfRule type="containsText" dxfId="2530" priority="7" operator="containsText" text="PREDICTED"/>
    <x:cfRule type="containsText" dxfId="2531" priority="8" operator="containsText" text="CONDITIONAL"/>
    <x:cfRule type="containsText" dxfId="2532" priority="9" operator="containsText" text="WATCHLIST"/>
    <x:cfRule type="containsText" dxfId="2533" priority="10" operator="containsText" text="MEDIUM"/>
    <x:cfRule type="containsText" dxfId="2534" priority="11" operator="containsText" text="LOW"/>
    <x:cfRule type="containsText" dxfId="2535" priority="12" operator="containsText" text="SEPARATE"/>
    <x:cfRule type="containsText" dxfId="2536" priority="13" operator="containsText" text="EXCLUDED"/>
    <x:cfRule type="containsText" dxfId="2537" priority="14" operator="containsText" text="NO"/>
    <x:cfRule type="containsText" dxfId="2538" priority="15" operator="containsText" text="BLOCKED"/>
    <x:cfRule type="containsText" dxfId="2539" priority="16" operator="containsText" text="FAIL"/>
    <x:cfRule type="containsText" dxfId="2540" priority="17" operator="containsText" text="SUPERSEDED"/>
  </x:conditionalFormatting>
  <x:conditionalFormatting sqref="B20:B24">
    <x:cfRule type="containsText" dxfId="2541" priority="18" operator="containsText" text="PASS"/>
    <x:cfRule type="containsText" dxfId="2542" priority="19" operator="containsText" text="READY"/>
    <x:cfRule type="containsText" dxfId="2543" priority="20" operator="containsText" text="CONFIRMED"/>
    <x:cfRule type="containsText" dxfId="2544" priority="21" operator="containsText" text="OFFICIAL"/>
    <x:cfRule type="containsText" dxfId="2545" priority="22" operator="containsText" text="MODE"/>
    <x:cfRule type="containsText" dxfId="2546" priority="23" operator="containsText" text="YES"/>
    <x:cfRule type="containsText" dxfId="2547" priority="24" operator="containsText" text="PREDICTED"/>
    <x:cfRule type="containsText" dxfId="2548" priority="25" operator="containsText" text="CONDITIONAL"/>
    <x:cfRule type="containsText" dxfId="2549" priority="26" operator="containsText" text="WATCHLIST"/>
    <x:cfRule type="containsText" dxfId="2550" priority="27" operator="containsText" text="MEDIUM"/>
    <x:cfRule type="containsText" dxfId="2551" priority="28" operator="containsText" text="LOW"/>
    <x:cfRule type="containsText" dxfId="2552" priority="29" operator="containsText" text="SEPARATE"/>
    <x:cfRule type="containsText" dxfId="2553" priority="30" operator="containsText" text="EXCLUDED"/>
    <x:cfRule type="containsText" dxfId="2554" priority="31" operator="containsText" text="NO"/>
    <x:cfRule type="containsText" dxfId="2555" priority="32" operator="containsText" text="BLOCKED"/>
    <x:cfRule type="containsText" dxfId="2556" priority="33" operator="containsText" text="FAIL"/>
    <x:cfRule type="containsText" dxfId="2557" priority="34" operator="containsText" text="SUPERSEDED"/>
  </x:conditionalFormatting>
  <x:conditionalFormatting sqref="J20:J24">
    <x:cfRule type="containsText" dxfId="2558" priority="35" operator="containsText" text="PASS"/>
    <x:cfRule type="containsText" dxfId="2559" priority="36" operator="containsText" text="READY"/>
    <x:cfRule type="containsText" dxfId="2560" priority="37" operator="containsText" text="CONFIRMED"/>
    <x:cfRule type="containsText" dxfId="2561" priority="38" operator="containsText" text="OFFICIAL"/>
    <x:cfRule type="containsText" dxfId="2562" priority="39" operator="containsText" text="MODE"/>
    <x:cfRule type="containsText" dxfId="2563" priority="40" operator="containsText" text="YES"/>
    <x:cfRule type="containsText" dxfId="2564" priority="41" operator="containsText" text="PREDICTED"/>
    <x:cfRule type="containsText" dxfId="2565" priority="42" operator="containsText" text="CONDITIONAL"/>
    <x:cfRule type="containsText" dxfId="2566" priority="43" operator="containsText" text="WATCHLIST"/>
    <x:cfRule type="containsText" dxfId="2567" priority="44" operator="containsText" text="MEDIUM"/>
    <x:cfRule type="containsText" dxfId="2568" priority="45" operator="containsText" text="LOW"/>
    <x:cfRule type="containsText" dxfId="2569" priority="46" operator="containsText" text="SEPARATE"/>
    <x:cfRule type="containsText" dxfId="2570" priority="47" operator="containsText" text="EXCLUDED"/>
    <x:cfRule type="containsText" dxfId="2571" priority="48" operator="containsText" text="NO"/>
    <x:cfRule type="containsText" dxfId="2572" priority="49" operator="containsText" text="BLOCKED"/>
    <x:cfRule type="containsText" dxfId="2573" priority="50" operator="containsText" text="FAIL"/>
    <x:cfRule type="containsText" dxfId="2574" priority="51" operator="containsText" text="SUPERSEDED"/>
  </x:conditionalFormatting>
  <x:pageMargins left="0.7" right="0.7" top="0.75" bottom="0.75" header="0.3" footer="0.3"/>
</x:worksheet>
</file>

<file path=xl/worksheets/sheet10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5" hidden="0" customWidth="1"/>
    <x:col min="3" max="3" width="30" hidden="0" customWidth="1"/>
    <x:col min="4" max="4" width="17" hidden="0" customWidth="1"/>
    <x:col min="5" max="5" width="34" hidden="0" customWidth="1"/>
    <x:col min="6" max="6" width="16" hidden="0" customWidth="1"/>
    <x:col min="7" max="7" width="17" hidden="0" customWidth="1"/>
    <x:col min="8" max="8" width="18" hidden="0" customWidth="1"/>
    <x:col min="9" max="9" width="26" hidden="0" customWidth="1"/>
    <x:col min="10" max="10" width="20" hidden="0" customWidth="1"/>
    <x:col min="11" max="11" width="22" hidden="0" customWidth="1"/>
    <x:col min="12" max="12" width="17" hidden="0" customWidth="1"/>
    <x:col min="13" max="13" width="42" hidden="0" customWidth="1"/>
    <x:col min="14" max="14" width="38" hidden="0" customWidth="1"/>
    <x:col min="15" max="15" width="28" hidden="0" customWidth="1"/>
    <x:col min="16" max="16" width="18" hidden="0" customWidth="1"/>
  </x:cols>
  <x:sheetData>
    <x:row r="1" ht="30" customHeight="1">
      <x:c r="A1" s="544" t="str">
        <x:v>103｜N90商业版本树：官方节点、准入线索与预测节点</x:v>
      </x:c>
      <x:c r="B1" s="544"/>
      <x:c r="C1" s="544"/>
      <x:c r="D1" s="544"/>
      <x:c r="E1" s="544"/>
      <x:c r="F1" s="544"/>
      <x:c r="G1" s="544"/>
      <x:c r="H1" s="544"/>
      <x:c r="I1" s="544"/>
      <x:c r="J1" s="544"/>
      <x:c r="K1" s="544"/>
      <x:c r="L1" s="544"/>
      <x:c r="M1" s="544"/>
      <x:c r="N1" s="544"/>
      <x:c r="O1" s="544"/>
      <x:c r="P1" s="544"/>
    </x:row>
    <x:row r="2" ht="22" customHeight="1">
      <x:c r="A2" s="547" t="str">
        <x:v>普通固定顶同一申报型号允许5/7座｜升顶为独立申报型号｜商业版本树按发布时与生命周期双时点建模</x:v>
      </x:c>
      <x:c r="B2" s="547"/>
      <x:c r="C2" s="547"/>
      <x:c r="D2" s="547"/>
      <x:c r="E2" s="547"/>
      <x:c r="F2" s="547"/>
      <x:c r="G2" s="547"/>
      <x:c r="H2" s="547"/>
      <x:c r="I2" s="547"/>
      <x:c r="J2" s="547"/>
      <x:c r="K2" s="547"/>
      <x:c r="L2" s="547"/>
      <x:c r="M2" s="547"/>
      <x:c r="N2" s="547"/>
      <x:c r="O2" s="547"/>
      <x:c r="P2" s="547"/>
    </x:row>
    <x:row r="3" ht="82" customHeight="1">
      <x:c r="A3" s="551" t="str">
        <x:v>当前唯一官方商品名锚是N90 Max。标准版与Pro均是预测节点；5座准入分支提高标准版的合理性，但不能单独完成商业绑定。发布时阵容权重是决策权重，不是统计概率；生命周期权重用于回答“以后会不会有”。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  <x:c r="M3" s="551"/>
      <x:c r="N3" s="551"/>
      <x:c r="O3" s="551"/>
      <x:c r="P3" s="551"/>
    </x:row>
    <x:row r="5" ht="58" customHeight="1">
      <x:c r="A5" s="556" t="str">
        <x:v>node_id</x:v>
      </x:c>
      <x:c r="B5" s="556" t="str">
        <x:v>对外名称</x:v>
      </x:c>
      <x:c r="C5" s="556" t="str">
        <x:v>商业状态</x:v>
      </x:c>
      <x:c r="D5" s="556" t="str">
        <x:v>官方商品名</x:v>
      </x:c>
      <x:c r="E5" s="556" t="str">
        <x:v>MIIT型号/变体</x:v>
      </x:c>
      <x:c r="F5" s="556" t="str">
        <x:v>允许座位</x:v>
      </x:c>
      <x:c r="G5" s="556" t="str">
        <x:v>车顶</x:v>
      </x:c>
      <x:c r="H5" s="556" t="str">
        <x:v>电驱</x:v>
      </x:c>
      <x:c r="I5" s="556" t="str">
        <x:v>电池</x:v>
      </x:c>
      <x:c r="J5" s="556" t="str">
        <x:v>发布时存在概率</x:v>
      </x:c>
      <x:c r="K5" s="556" t="str">
        <x:v>生命周期存在概率</x:v>
      </x:c>
      <x:c r="L5" s="556" t="str">
        <x:v>证据等级</x:v>
      </x:c>
      <x:c r="M5" s="556" t="str">
        <x:v>已确认</x:v>
      </x:c>
      <x:c r="N5" s="556" t="str">
        <x:v>仍开放</x:v>
      </x:c>
      <x:c r="O5" s="556" t="str">
        <x:v>模型作用</x:v>
      </x:c>
      <x:c r="P5" s="556" t="str">
        <x:v>回链</x:v>
      </x:c>
    </x:row>
    <x:row r="6" ht="72" customHeight="1">
      <x:c r="A6" s="19" t="str">
        <x:v>N90-STD-P</x:v>
      </x:c>
      <x:c r="B6" s="19" t="str">
        <x:v>N90标准版（预测）</x:v>
      </x:c>
      <x:c r="C6" s="19" t="str">
        <x:v>PREDICTED_NOT_ANNOUNCED</x:v>
      </x:c>
      <x:c r="D6" s="19" t="str">
        <x:v>NO</x:v>
      </x:c>
      <x:c r="E6" s="19" t="str">
        <x:v>XMA6530KREEVA1 / V-N90-5或7</x:v>
      </x:c>
      <x:c r="F6" s="19" t="str">
        <x:v>5/7</x:v>
      </x:c>
      <x:c r="G6" s="19" t="str">
        <x:v>固定顶</x:v>
      </x:c>
      <x:c r="H6" s="19" t="str">
        <x:v>210+100kW</x:v>
      </x:c>
      <x:c r="I6" s="19" t="str">
        <x:v>76kWh三元锂/中创新航</x:v>
      </x:c>
      <x:c r="J6" s="23" t="n">
        <x:v>0.35</x:v>
      </x:c>
      <x:c r="K6" s="23" t="n">
        <x:v>0.72</x:v>
      </x:c>
      <x:c r="L6" s="19" t="str">
        <x:v>E3+B→推断</x:v>
      </x:c>
      <x:c r="M6" s="19" t="str">
        <x:v>同型准入允许5/7座；动力电池同一工程底座</x:v>
      </x:c>
      <x:c r="N6" s="19" t="str">
        <x:v>商品名、座位、悬架与舒适标配</x:v>
      </x:c>
      <x:c r="O6" s="19" t="str">
        <x:v>压低起售价</x:v>
      </x:c>
      <x:c r="P6" s="19" t="str">
        <x:v>39/40/41</x:v>
      </x:c>
    </x:row>
    <x:row r="7" ht="72" customHeight="1">
      <x:c r="A7" s="557" t="str">
        <x:v>N90-PRO-P</x:v>
      </x:c>
      <x:c r="B7" s="557" t="str">
        <x:v>N90 Pro（预测）</x:v>
      </x:c>
      <x:c r="C7" s="557" t="str">
        <x:v>WATCHLIST_NOT_ANNOUNCED</x:v>
      </x:c>
      <x:c r="D7" s="557" t="str">
        <x:v>NO</x:v>
      </x:c>
      <x:c r="E7" s="557" t="str">
        <x:v>暂与普通固定顶共用候选</x:v>
      </x:c>
      <x:c r="F7" s="557" t="str">
        <x:v>7优先</x:v>
      </x:c>
      <x:c r="G7" s="557" t="str">
        <x:v>固定顶</x:v>
      </x:c>
      <x:c r="H7" s="557" t="str">
        <x:v>210+100kW</x:v>
      </x:c>
      <x:c r="I7" s="557" t="str">
        <x:v>76kWh三元锂/中创新航</x:v>
      </x:c>
      <x:c r="J7" s="562" t="n">
        <x:v>0.15</x:v>
      </x:c>
      <x:c r="K7" s="562" t="n">
        <x:v>0.38</x:v>
      </x:c>
      <x:c r="L7" s="557" t="str">
        <x:v>D</x:v>
      </x:c>
      <x:c r="M7" s="557" t="str">
        <x:v>存在中间价格带的商业动机</x:v>
      </x:c>
      <x:c r="N7" s="557" t="str">
        <x:v>没有独立监管差异或商品卡</x:v>
      </x:c>
      <x:c r="O7" s="557" t="str">
        <x:v>中间价格围栏</x:v>
      </x:c>
      <x:c r="P7" s="557" t="str">
        <x:v>12/39/40</x:v>
      </x:c>
    </x:row>
    <x:row r="8" ht="72" customHeight="1">
      <x:c r="A8" s="19" t="str">
        <x:v>N90-MAX</x:v>
      </x:c>
      <x:c r="B8" s="19" t="str">
        <x:v>N90 Max</x:v>
      </x:c>
      <x:c r="C8" s="19" t="str">
        <x:v>OFFICIAL_PRESALE</x:v>
      </x:c>
      <x:c r="D8" s="19" t="str">
        <x:v>YES</x:v>
      </x:c>
      <x:c r="E8" s="19" t="str">
        <x:v>XMA6530KREEVA1 / V-N90-7</x:v>
      </x:c>
      <x:c r="F8" s="19" t="str">
        <x:v>7</x:v>
      </x:c>
      <x:c r="G8" s="19" t="str">
        <x:v>固定顶</x:v>
      </x:c>
      <x:c r="H8" s="19" t="str">
        <x:v>210+100kW</x:v>
      </x:c>
      <x:c r="I8" s="19" t="str">
        <x:v>76kWh三元锂/中创新航</x:v>
      </x:c>
      <x:c r="J8" s="23" t="n">
        <x:v>1</x:v>
      </x:c>
      <x:c r="K8" s="23" t="n">
        <x:v>1</x:v>
      </x:c>
      <x:c r="L8" s="19" t="str">
        <x:v>A/E3</x:v>
      </x:c>
      <x:c r="M8" s="19" t="str">
        <x:v>7座、310kW、76kWh、29.99万预售价</x:v>
      </x:c>
      <x:c r="N8" s="19" t="str">
        <x:v>正式价与最终标配表</x:v>
      </x:c>
      <x:c r="O8" s="19" t="str">
        <x:v>高配官方锚</x:v>
      </x:c>
      <x:c r="P8" s="19" t="str">
        <x:v>39/41/57—63</x:v>
      </x:c>
    </x:row>
    <x:row r="9" ht="72" customHeight="1">
      <x:c r="A9" s="557" t="str">
        <x:v>N90-ROOF-P</x:v>
      </x:c>
      <x:c r="B9" s="557" t="str">
        <x:v>N90升顶特殊版（预测）</x:v>
      </x:c>
      <x:c r="C9" s="557" t="str">
        <x:v>HOMOLOGATED_NOT_COMMERCIALIZED</x:v>
      </x:c>
      <x:c r="D9" s="557" t="str">
        <x:v>NO</x:v>
      </x:c>
      <x:c r="E9" s="557" t="str">
        <x:v>XMA5030XWHKREEVA3 / V-ROOF-5</x:v>
      </x:c>
      <x:c r="F9" s="557" t="str">
        <x:v>5</x:v>
      </x:c>
      <x:c r="G9" s="557" t="str">
        <x:v>机械升顶</x:v>
      </x:c>
      <x:c r="H9" s="557" t="str">
        <x:v>210+100kW</x:v>
      </x:c>
      <x:c r="I9" s="557" t="str">
        <x:v>76kWh三元锂/中创新航</x:v>
      </x:c>
      <x:c r="J9" s="562" t="str"/>
      <x:c r="K9" s="562" t="str"/>
      <x:c r="L9" s="557" t="str">
        <x:v>E3</x:v>
      </x:c>
      <x:c r="M9" s="557" t="str">
        <x:v>独立升顶型号、车高1925mm、5座</x:v>
      </x:c>
      <x:c r="N9" s="557" t="str">
        <x:v>商品化、升顶机构标配与价格</x:v>
      </x:c>
      <x:c r="O9" s="557" t="str">
        <x:v>固定顶树之外特殊节点</x:v>
      </x:c>
      <x:c r="P9" s="557" t="str">
        <x:v>39/40</x:v>
      </x:c>
    </x:row>
    <x:row r="12" ht="24" customHeight="1">
      <x:c r="A12" s="560" t="str">
        <x:v>发布时与全生命周期的固定顶阵容分支</x:v>
      </x:c>
      <x:c r="B12" s="560"/>
      <x:c r="C12" s="560"/>
      <x:c r="D12" s="560"/>
      <x:c r="E12" s="560"/>
      <x:c r="F12" s="560"/>
      <x:c r="G12" s="560"/>
      <x:c r="H12" s="560"/>
      <x:c r="I12" s="560"/>
      <x:c r="J12" s="560"/>
      <x:c r="K12" s="560"/>
      <x:c r="L12" s="560"/>
      <x:c r="M12" s="560"/>
      <x:c r="N12" s="560"/>
      <x:c r="O12" s="560"/>
      <x:c r="P12" s="560"/>
    </x:row>
    <x:row r="13" ht="48" customHeight="1">
      <x:c r="A13" s="556" t="str">
        <x:v>阵容分支</x:v>
      </x:c>
      <x:c r="B13" s="556" t="str">
        <x:v>发布时权重</x:v>
      </x:c>
      <x:c r="C13" s="556" t="str">
        <x:v>生命周期权重</x:v>
      </x:c>
      <x:c r="D13" s="556" t="str">
        <x:v>标准版</x:v>
      </x:c>
      <x:c r="E13" s="556" t="str">
        <x:v>Pro</x:v>
      </x:c>
      <x:c r="F13" s="556" t="str">
        <x:v>Max</x:v>
      </x:c>
      <x:c r="G13" s="556" t="str">
        <x:v>代表正式价组合</x:v>
      </x:c>
      <x:c r="H13" s="556" t="str">
        <x:v>解释</x:v>
      </x:c>
    </x:row>
    <x:row r="14" ht="54" customHeight="1">
      <x:c r="A14" s="19" t="str">
        <x:v>仅Max</x:v>
      </x:c>
      <x:c r="B14" s="23" t="n">
        <x:v>0.6</x:v>
      </x:c>
      <x:c r="C14" s="23" t="n">
        <x:v>0.2</x:v>
      </x:c>
      <x:c r="D14" s="19" t="str">
        <x:v>NO</x:v>
      </x:c>
      <x:c r="E14" s="19" t="str">
        <x:v>NO</x:v>
      </x:c>
      <x:c r="F14" s="19" t="str">
        <x:v>YES</x:v>
      </x:c>
      <x:c r="G14" s="19" t="str">
        <x:v>27.99</x:v>
      </x:c>
      <x:c r="H14" s="19" t="str">
        <x:v>当前证据最直接；Max承担现金降价</x:v>
      </x:c>
    </x:row>
    <x:row r="15" ht="54" customHeight="1">
      <x:c r="A15" s="557" t="str">
        <x:v>Standard+Max</x:v>
      </x:c>
      <x:c r="B15" s="562" t="n">
        <x:v>0.25</x:v>
      </x:c>
      <x:c r="C15" s="562" t="n">
        <x:v>0.42</x:v>
      </x:c>
      <x:c r="D15" s="557" t="str">
        <x:v>YES</x:v>
      </x:c>
      <x:c r="E15" s="557" t="str">
        <x:v>NO</x:v>
      </x:c>
      <x:c r="F15" s="557" t="str">
        <x:v>YES</x:v>
      </x:c>
      <x:c r="G15" s="557" t="str">
        <x:v>25.99 / 28.99</x:v>
      </x:c>
      <x:c r="H15" s="557" t="str">
        <x:v>标准版承担低价入口，Max少降</x:v>
      </x:c>
    </x:row>
    <x:row r="16" ht="54" customHeight="1">
      <x:c r="A16" s="19" t="str">
        <x:v>Pro+Max</x:v>
      </x:c>
      <x:c r="B16" s="23" t="n">
        <x:v>0.05</x:v>
      </x:c>
      <x:c r="C16" s="23" t="n">
        <x:v>0.08</x:v>
      </x:c>
      <x:c r="D16" s="19" t="str">
        <x:v>NO</x:v>
      </x:c>
      <x:c r="E16" s="19" t="str">
        <x:v>YES</x:v>
      </x:c>
      <x:c r="F16" s="19" t="str">
        <x:v>YES</x:v>
      </x:c>
      <x:c r="G16" s="19" t="str">
        <x:v>26.99 / 29.99</x:v>
      </x:c>
      <x:c r="H16" s="19" t="str">
        <x:v>中间版负责价格围栏</x:v>
      </x:c>
    </x:row>
    <x:row r="17" ht="54" customHeight="1">
      <x:c r="A17" s="557" t="str">
        <x:v>Standard+Pro+Max</x:v>
      </x:c>
      <x:c r="B17" s="562" t="n">
        <x:v>0.1</x:v>
      </x:c>
      <x:c r="C17" s="562" t="n">
        <x:v>0.3</x:v>
      </x:c>
      <x:c r="D17" s="557" t="str">
        <x:v>YES</x:v>
      </x:c>
      <x:c r="E17" s="557" t="str">
        <x:v>YES</x:v>
      </x:c>
      <x:c r="F17" s="557" t="str">
        <x:v>YES</x:v>
      </x:c>
      <x:c r="G17" s="557" t="str">
        <x:v>25.99 / 27.99 / 29.99</x:v>
      </x:c>
      <x:c r="H17" s="557" t="str">
        <x:v>三档完整版本树</x:v>
      </x:c>
    </x:row>
    <x:row r="20" ht="24" customHeight="1">
      <x:c r="A20" s="560" t="str">
        <x:v>派生存在概率（公式回链上表）</x:v>
      </x:c>
      <x:c r="B20" s="560"/>
      <x:c r="C20" s="560"/>
      <x:c r="D20" s="560"/>
      <x:c r="E20" s="560"/>
      <x:c r="F20" s="560"/>
      <x:c r="G20" s="560"/>
      <x:c r="H20" s="560"/>
    </x:row>
    <x:row r="21" ht="44" customHeight="1">
      <x:c r="A21" s="556" t="str">
        <x:v>节点/事件</x:v>
      </x:c>
      <x:c r="B21" s="556" t="str">
        <x:v>发布时</x:v>
      </x:c>
      <x:c r="C21" s="556" t="str">
        <x:v>生命周期</x:v>
      </x:c>
      <x:c r="D21" s="556" t="str">
        <x:v>解释</x:v>
      </x:c>
    </x:row>
    <x:row r="22" ht="48" customHeight="1">
      <x:c r="A22" s="19" t="str">
        <x:v>N90标准版</x:v>
      </x:c>
      <x:c r="B22" s="23" t="n">
        <x:f>B15+B17</x:f>
        <x:v>0.35</x:v>
      </x:c>
      <x:c r="C22" s="23" t="n">
        <x:f>C15+C17</x:f>
        <x:v>0.72</x:v>
      </x:c>
      <x:c r="D22" s="19" t="str">
        <x:v>Standard+Max与三档分支合计</x:v>
      </x:c>
    </x:row>
    <x:row r="23" ht="48" customHeight="1">
      <x:c r="A23" s="557" t="str">
        <x:v>N90 Pro</x:v>
      </x:c>
      <x:c r="B23" s="562" t="n">
        <x:f>B16+B17</x:f>
        <x:v>0.15000000000000002</x:v>
      </x:c>
      <x:c r="C23" s="562" t="n">
        <x:f>C16+C17</x:f>
        <x:v>0.38</x:v>
      </x:c>
      <x:c r="D23" s="557" t="str">
        <x:v>Pro+Max与三档分支合计</x:v>
      </x:c>
    </x:row>
    <x:row r="24" ht="48" customHeight="1">
      <x:c r="A24" s="19" t="str">
        <x:v>N90 Max</x:v>
      </x:c>
      <x:c r="B24" s="23" t="n">
        <x:f>SUM(B14:B17)</x:f>
        <x:v>1</x:v>
      </x:c>
      <x:c r="C24" s="23" t="n">
        <x:f>SUM(C14:C17)</x:f>
        <x:v>1</x:v>
      </x:c>
      <x:c r="D24" s="19" t="str">
        <x:v>所有分支都存在</x:v>
      </x:c>
    </x:row>
    <x:row r="25" ht="48" customHeight="1">
      <x:c r="A25" s="557" t="str">
        <x:v>任一非Max固定顶</x:v>
      </x:c>
      <x:c r="B25" s="562" t="n">
        <x:f>1-B14</x:f>
        <x:v>0.4</x:v>
      </x:c>
      <x:c r="C25" s="562" t="n">
        <x:f>1-C14</x:f>
        <x:v>0.8</x:v>
      </x:c>
      <x:c r="D25" s="557" t="str">
        <x:v>1减仅Max分支</x:v>
      </x:c>
    </x:row>
    <x:row r="26" ht="48" customHeight="1">
      <x:c r="A26" s="19" t="str">
        <x:v>仍仅Max</x:v>
      </x:c>
      <x:c r="B26" s="23" t="n">
        <x:f>B14</x:f>
        <x:v>0.6</x:v>
      </x:c>
      <x:c r="C26" s="23" t="n">
        <x:f>C14</x:f>
        <x:v>0.2</x:v>
      </x:c>
      <x:c r="D26" s="19" t="str">
        <x:v>仅Max分支</x:v>
      </x:c>
    </x:row>
  </x:sheetData>
  <x:mergeCells>
    <x:mergeCell ref="A1:P1"/>
    <x:mergeCell ref="A2:P2"/>
    <x:mergeCell ref="A3:P3"/>
    <x:mergeCell ref="A12:P12"/>
    <x:mergeCell ref="A20:H20"/>
  </x:mergeCells>
  <x:conditionalFormatting sqref="C6:D9">
    <x:cfRule type="containsText" dxfId="2575" priority="1" operator="containsText" text="PASS"/>
    <x:cfRule type="containsText" dxfId="2576" priority="2" operator="containsText" text="READY"/>
    <x:cfRule type="containsText" dxfId="2577" priority="3" operator="containsText" text="CONFIRMED"/>
    <x:cfRule type="containsText" dxfId="2578" priority="4" operator="containsText" text="OFFICIAL"/>
    <x:cfRule type="containsText" dxfId="2579" priority="5" operator="containsText" text="MODE"/>
    <x:cfRule type="containsText" dxfId="2580" priority="6" operator="containsText" text="YES"/>
    <x:cfRule type="containsText" dxfId="2581" priority="7" operator="containsText" text="PREDICTED"/>
    <x:cfRule type="containsText" dxfId="2582" priority="8" operator="containsText" text="CONDITIONAL"/>
    <x:cfRule type="containsText" dxfId="2583" priority="9" operator="containsText" text="WATCHLIST"/>
    <x:cfRule type="containsText" dxfId="2584" priority="10" operator="containsText" text="MEDIUM"/>
    <x:cfRule type="containsText" dxfId="2585" priority="11" operator="containsText" text="LOW"/>
    <x:cfRule type="containsText" dxfId="2586" priority="12" operator="containsText" text="SEPARATE"/>
    <x:cfRule type="containsText" dxfId="2587" priority="13" operator="containsText" text="EXCLUDED"/>
    <x:cfRule type="containsText" dxfId="2588" priority="14" operator="containsText" text="NO"/>
    <x:cfRule type="containsText" dxfId="2589" priority="15" operator="containsText" text="BLOCKED"/>
    <x:cfRule type="containsText" dxfId="2590" priority="16" operator="containsText" text="FAIL"/>
    <x:cfRule type="containsText" dxfId="2591" priority="17" operator="containsText" text="SUPERSEDED"/>
  </x:conditionalFormatting>
  <x:conditionalFormatting sqref="L6:L9">
    <x:cfRule type="containsText" dxfId="2592" priority="18" operator="containsText" text="PASS"/>
    <x:cfRule type="containsText" dxfId="2593" priority="19" operator="containsText" text="READY"/>
    <x:cfRule type="containsText" dxfId="2594" priority="20" operator="containsText" text="CONFIRMED"/>
    <x:cfRule type="containsText" dxfId="2595" priority="21" operator="containsText" text="OFFICIAL"/>
    <x:cfRule type="containsText" dxfId="2596" priority="22" operator="containsText" text="MODE"/>
    <x:cfRule type="containsText" dxfId="2597" priority="23" operator="containsText" text="YES"/>
    <x:cfRule type="containsText" dxfId="2598" priority="24" operator="containsText" text="PREDICTED"/>
    <x:cfRule type="containsText" dxfId="2599" priority="25" operator="containsText" text="CONDITIONAL"/>
    <x:cfRule type="containsText" dxfId="2600" priority="26" operator="containsText" text="WATCHLIST"/>
    <x:cfRule type="containsText" dxfId="2601" priority="27" operator="containsText" text="MEDIUM"/>
    <x:cfRule type="containsText" dxfId="2602" priority="28" operator="containsText" text="LOW"/>
    <x:cfRule type="containsText" dxfId="2603" priority="29" operator="containsText" text="SEPARATE"/>
    <x:cfRule type="containsText" dxfId="2604" priority="30" operator="containsText" text="EXCLUDED"/>
    <x:cfRule type="containsText" dxfId="2605" priority="31" operator="containsText" text="NO"/>
    <x:cfRule type="containsText" dxfId="2606" priority="32" operator="containsText" text="BLOCKED"/>
    <x:cfRule type="containsText" dxfId="2607" priority="33" operator="containsText" text="FAIL"/>
    <x:cfRule type="containsText" dxfId="2608" priority="34" operator="containsText" text="SUPERSEDED"/>
  </x:conditionalFormatting>
  <x:conditionalFormatting sqref="D14:F17">
    <x:cfRule type="containsText" dxfId="2609" priority="35" operator="containsText" text="PASS"/>
    <x:cfRule type="containsText" dxfId="2610" priority="36" operator="containsText" text="READY"/>
    <x:cfRule type="containsText" dxfId="2611" priority="37" operator="containsText" text="CONFIRMED"/>
    <x:cfRule type="containsText" dxfId="2612" priority="38" operator="containsText" text="OFFICIAL"/>
    <x:cfRule type="containsText" dxfId="2613" priority="39" operator="containsText" text="MODE"/>
    <x:cfRule type="containsText" dxfId="2614" priority="40" operator="containsText" text="YES"/>
    <x:cfRule type="containsText" dxfId="2615" priority="41" operator="containsText" text="PREDICTED"/>
    <x:cfRule type="containsText" dxfId="2616" priority="42" operator="containsText" text="CONDITIONAL"/>
    <x:cfRule type="containsText" dxfId="2617" priority="43" operator="containsText" text="WATCHLIST"/>
    <x:cfRule type="containsText" dxfId="2618" priority="44" operator="containsText" text="MEDIUM"/>
    <x:cfRule type="containsText" dxfId="2619" priority="45" operator="containsText" text="LOW"/>
    <x:cfRule type="containsText" dxfId="2620" priority="46" operator="containsText" text="SEPARATE"/>
    <x:cfRule type="containsText" dxfId="2621" priority="47" operator="containsText" text="EXCLUDED"/>
    <x:cfRule type="containsText" dxfId="2622" priority="48" operator="containsText" text="NO"/>
    <x:cfRule type="containsText" dxfId="2623" priority="49" operator="containsText" text="BLOCKED"/>
    <x:cfRule type="containsText" dxfId="2624" priority="50" operator="containsText" text="FAIL"/>
    <x:cfRule type="containsText" dxfId="2625" priority="51" operator="containsText" text="SUPERSEDED"/>
  </x:conditionalFormatting>
  <x:pageMargins left="0.7" right="0.7" top="0.75" bottom="0.75" header="0.3" footer="0.3"/>
  <x:drawing xmlns:r="http://schemas.openxmlformats.org/officeDocument/2006/relationships" r:id="Rf78c80602e4b463b"/>
</x:worksheet>
</file>

<file path=xl/worksheets/sheet10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9" hidden="0" customWidth="1"/>
    <x:col min="2" max="2" width="27" hidden="0" customWidth="1"/>
    <x:col min="3" max="3" width="34" hidden="0" customWidth="1"/>
    <x:col min="4" max="4" width="36" hidden="0" customWidth="1"/>
    <x:col min="5" max="5" width="36" hidden="0" customWidth="1"/>
    <x:col min="6" max="6" width="21" hidden="0" customWidth="1"/>
    <x:col min="7" max="7" width="20" hidden="0" customWidth="1"/>
    <x:col min="8" max="8" width="24" hidden="0" customWidth="1"/>
    <x:col min="9" max="9" width="28" hidden="0" customWidth="1"/>
    <x:col min="10" max="10" width="20" hidden="0" customWidth="1"/>
    <x:col min="11" max="11" width="28" hidden="0" customWidth="1"/>
    <x:col min="12" max="12" width="28" hidden="0" customWidth="1"/>
    <x:col min="13" max="13" width="42" hidden="0" customWidth="1"/>
    <x:col min="14" max="14" width="24" hidden="0" customWidth="1"/>
  </x:cols>
  <x:sheetData>
    <x:row r="1" ht="30" customHeight="1">
      <x:c r="A1" s="544" t="str">
        <x:v>104｜N90标准版相对Max的主要配置差：两种商业形态</x:v>
      </x:c>
      <x:c r="B1" s="544"/>
      <x:c r="C1" s="544"/>
      <x:c r="D1" s="544"/>
      <x:c r="E1" s="544"/>
      <x:c r="F1" s="544"/>
      <x:c r="G1" s="544"/>
      <x:c r="H1" s="544"/>
      <x:c r="I1" s="544"/>
      <x:c r="J1" s="544"/>
      <x:c r="K1" s="544"/>
      <x:c r="L1" s="544"/>
      <x:c r="M1" s="544"/>
      <x:c r="N1" s="544"/>
    </x:row>
    <x:row r="2" ht="22" customHeight="1">
      <x:c r="A2" s="547" t="str">
        <x:v>七座简化悬架为主情景｜五座价值版为重要备选｜动力电池不作为中心减配项</x:v>
      </x:c>
      <x:c r="B2" s="547"/>
      <x:c r="C2" s="547"/>
      <x:c r="D2" s="547"/>
      <x:c r="E2" s="547"/>
      <x:c r="F2" s="547"/>
      <x:c r="G2" s="547"/>
      <x:c r="H2" s="547"/>
      <x:c r="I2" s="547"/>
      <x:c r="J2" s="547"/>
      <x:c r="K2" s="547"/>
      <x:c r="L2" s="547"/>
      <x:c r="M2" s="547"/>
      <x:c r="N2" s="547"/>
    </x:row>
    <x:row r="3" ht="82" customHeight="1">
      <x:c r="A3" s="551" t="str">
        <x:v>本表不是官方配置表，而是用于成本与定价的受控预测。普通N90申报同型已经锁定310kW四驱和76kWh三元锂工程底座，因此最合理的减配集中在悬架、冰箱和音响；只有High情景才计入完整座椅舒适差，五座形态再增加第三排与三排HVAC差。安全、车身和核心智驾默认保留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  <x:c r="M3" s="551"/>
      <x:c r="N3" s="551"/>
    </x:row>
    <x:row r="5" ht="58" customHeight="1">
      <x:c r="A5" s="556" t="str">
        <x:v>模块</x:v>
      </x:c>
      <x:c r="B5" s="556" t="str">
        <x:v>配置项</x:v>
      </x:c>
      <x:c r="C5" s="556" t="str">
        <x:v>N90 Max已知/工程基准</x:v>
      </x:c>
      <x:c r="D5" s="556" t="str">
        <x:v>标准版五座形态（预测）</x:v>
      </x:c>
      <x:c r="E5" s="556" t="str">
        <x:v>标准版七座形态（预测）</x:v>
      </x:c>
      <x:c r="F5" s="556" t="str">
        <x:v>差异方向</x:v>
      </x:c>
      <x:c r="G5" s="556" t="str">
        <x:v>差异置信</x:v>
      </x:c>
      <x:c r="H5" s="556" t="str">
        <x:v>Max证据</x:v>
      </x:c>
      <x:c r="I5" s="556" t="str">
        <x:v>标准版证据</x:v>
      </x:c>
      <x:c r="J5" s="556" t="str">
        <x:v>计入成本</x:v>
      </x:c>
      <x:c r="K5" s="556" t="str">
        <x:v>double_count_key</x:v>
      </x:c>
      <x:c r="L5" s="556" t="str">
        <x:v>主要价值</x:v>
      </x:c>
      <x:c r="M5" s="556" t="str">
        <x:v>禁止推断</x:v>
      </x:c>
      <x:c r="N5" s="556" t="str">
        <x:v>更新触发</x:v>
      </x:c>
    </x:row>
    <x:row r="6" ht="68" customHeight="1">
      <x:c r="A6" s="19" t="str">
        <x:v>座位/空间</x:v>
      </x:c>
      <x:c r="B6" s="19" t="str">
        <x:v>座位数与第三排</x:v>
      </x:c>
      <x:c r="C6" s="19" t="str">
        <x:v>7座，2+2+3</x:v>
      </x:c>
      <x:c r="D6" s="19" t="str">
        <x:v>5座；释放货舱，取消第三排</x:v>
      </x:c>
      <x:c r="E6" s="19" t="str">
        <x:v>7座；保留基础第三排</x:v>
      </x:c>
      <x:c r="F6" s="19" t="str">
        <x:v>DOWN_OR_SAME</x:v>
      </x:c>
      <x:c r="G6" s="19" t="str">
        <x:v>MEDIUM</x:v>
      </x:c>
      <x:c r="H6" s="19" t="str">
        <x:v>官网+MIIT</x:v>
      </x:c>
      <x:c r="I6" s="19" t="str">
        <x:v>MIIT允许5/7座</x:v>
      </x:c>
      <x:c r="J6" s="19" t="str">
        <x:v>YES_CONDITIONAL</x:v>
      </x:c>
      <x:c r="K6" s="19" t="str">
        <x:v>SEAT_ARCH_N90_TRIM</x:v>
      </x:c>
      <x:c r="L6" s="19" t="str">
        <x:v>约0.14—0.38万未税</x:v>
      </x:c>
      <x:c r="M6" s="19" t="str">
        <x:v>五座必然叫标准版</x:v>
      </x:c>
      <x:c r="N6" s="19" t="str">
        <x:v>正式座位数</x:v>
      </x:c>
    </x:row>
    <x:row r="7" ht="68" customHeight="1">
      <x:c r="A7" s="557" t="str">
        <x:v>动力</x:v>
      </x:c>
      <x:c r="B7" s="557" t="str">
        <x:v>双电机四驱</x:v>
      </x:c>
      <x:c r="C7" s="557" t="str">
        <x:v>310kW（210+100）</x:v>
      </x:c>
      <x:c r="D7" s="557" t="str">
        <x:v>保持</x:v>
      </x:c>
      <x:c r="E7" s="557" t="str">
        <x:v>保持</x:v>
      </x:c>
      <x:c r="F7" s="557" t="str">
        <x:v>SAME</x:v>
      </x:c>
      <x:c r="G7" s="557" t="str">
        <x:v>HIGH</x:v>
      </x:c>
      <x:c r="H7" s="557" t="str">
        <x:v>官网+MIIT</x:v>
      </x:c>
      <x:c r="I7" s="557" t="str">
        <x:v>同一普通N90型号</x:v>
      </x:c>
      <x:c r="J7" s="557" t="str">
        <x:v>NO</x:v>
      </x:c>
      <x:c r="K7" s="557" t="str">
        <x:v>POWERTRAIN_COMMON</x:v>
      </x:c>
      <x:c r="L7" s="557" t="str">
        <x:v>共同底座</x:v>
      </x:c>
      <x:c r="M7" s="557" t="str">
        <x:v>为低价擅自改成单电机</x:v>
      </x:c>
      <x:c r="N7" s="557" t="str">
        <x:v>新增申报型号</x:v>
      </x:c>
    </x:row>
    <x:row r="8" ht="68" customHeight="1">
      <x:c r="A8" s="19" t="str">
        <x:v>电池</x:v>
      </x:c>
      <x:c r="B8" s="19" t="str">
        <x:v>容量/化学体系/供应商</x:v>
      </x:c>
      <x:c r="C8" s="19" t="str">
        <x:v>76kWh三元锂/中创新航</x:v>
      </x:c>
      <x:c r="D8" s="19" t="str">
        <x:v>保持</x:v>
      </x:c>
      <x:c r="E8" s="19" t="str">
        <x:v>保持</x:v>
      </x:c>
      <x:c r="F8" s="19" t="str">
        <x:v>SAME</x:v>
      </x:c>
      <x:c r="G8" s="19" t="str">
        <x:v>HIGH</x:v>
      </x:c>
      <x:c r="H8" s="19" t="str">
        <x:v>官网+MIIT</x:v>
      </x:c>
      <x:c r="I8" s="19" t="str">
        <x:v>同一普通N90型号</x:v>
      </x:c>
      <x:c r="J8" s="19" t="str">
        <x:v>NO</x:v>
      </x:c>
      <x:c r="K8" s="19" t="str">
        <x:v>BATTERY_COMMON_76</x:v>
      </x:c>
      <x:c r="L8" s="19" t="str">
        <x:v>共同底座</x:v>
      </x:c>
      <x:c r="M8" s="19" t="str">
        <x:v>用标准版价格反推缩电池</x:v>
      </x:c>
      <x:c r="N8" s="19" t="str">
        <x:v>新增申报型号</x:v>
      </x:c>
    </x:row>
    <x:row r="9" ht="68" customHeight="1">
      <x:c r="A9" s="557" t="str">
        <x:v>底盘</x:v>
      </x:c>
      <x:c r="B9" s="557" t="str">
        <x:v>空气悬架+CDC</x:v>
      </x:c>
      <x:c r="C9" s="557" t="str">
        <x:v>Max工程基准</x:v>
      </x:c>
      <x:c r="D9" s="557" t="str">
        <x:v>较可能改为螺簧/基础减振</x:v>
      </x:c>
      <x:c r="E9" s="557" t="str">
        <x:v>螺簧/基础减振或保留空悬</x:v>
      </x:c>
      <x:c r="F9" s="557" t="str">
        <x:v>DOWN_OR_SAME</x:v>
      </x:c>
      <x:c r="G9" s="557" t="str">
        <x:v>MEDIUM_LOW</x:v>
      </x:c>
      <x:c r="H9" s="557" t="str">
        <x:v>N90 Max页面</x:v>
      </x:c>
      <x:c r="I9" s="557" t="str">
        <x:v>无标准版商品证据</x:v>
      </x:c>
      <x:c r="J9" s="557" t="str">
        <x:v>YES_CONDITIONAL</x:v>
      </x:c>
      <x:c r="K9" s="557" t="str">
        <x:v>SUSPENSION_AIR_CDC</x:v>
      </x:c>
      <x:c r="L9" s="557" t="str">
        <x:v>约0.56—0.95万物理BOM</x:v>
      </x:c>
      <x:c r="M9" s="557" t="str">
        <x:v>把空悬与CDC去留写成事实</x:v>
      </x:c>
      <x:c r="N9" s="557" t="str">
        <x:v>正式配置表</x:v>
      </x:c>
    </x:row>
    <x:row r="10" ht="68" customHeight="1">
      <x:c r="A10" s="19" t="str">
        <x:v>座舱舒适</x:v>
      </x:c>
      <x:c r="B10" s="19" t="str">
        <x:v>一二排按摩/通风/加热</x:v>
      </x:c>
      <x:c r="C10" s="19" t="str">
        <x:v>Max丰富舒适包</x:v>
      </x:c>
      <x:c r="D10" s="19" t="str">
        <x:v>保留基础加热/通风，减少按摩与后排覆盖</x:v>
      </x:c>
      <x:c r="E10" s="19" t="str">
        <x:v>同左或略多</x:v>
      </x:c>
      <x:c r="F10" s="19" t="str">
        <x:v>DOWN</x:v>
      </x:c>
      <x:c r="G10" s="19" t="str">
        <x:v>MEDIUM</x:v>
      </x:c>
      <x:c r="H10" s="19" t="str">
        <x:v>N90 Max页面</x:v>
      </x:c>
      <x:c r="I10" s="19" t="str">
        <x:v>版本梯度推断</x:v>
      </x:c>
      <x:c r="J10" s="19" t="str">
        <x:v>YES</x:v>
      </x:c>
      <x:c r="K10" s="19" t="str">
        <x:v>SEAT_COMFORT_DELTA</x:v>
      </x:c>
      <x:c r="L10" s="19" t="str">
        <x:v>约0.18—0.65万未税</x:v>
      </x:c>
      <x:c r="M10" s="19" t="str">
        <x:v>将零重力选装算入Max基础</x:v>
      </x:c>
      <x:c r="N10" s="19" t="str">
        <x:v>App配置表</x:v>
      </x:c>
    </x:row>
    <x:row r="11" ht="68" customHeight="1">
      <x:c r="A11" s="557" t="str">
        <x:v>座舱舒适</x:v>
      </x:c>
      <x:c r="B11" s="557" t="str">
        <x:v>9L冰箱</x:v>
      </x:c>
      <x:c r="C11" s="557" t="str">
        <x:v>已展示</x:v>
      </x:c>
      <x:c r="D11" s="557" t="str">
        <x:v>取消或选装</x:v>
      </x:c>
      <x:c r="E11" s="557" t="str">
        <x:v>取消或选装</x:v>
      </x:c>
      <x:c r="F11" s="557" t="str">
        <x:v>DOWN</x:v>
      </x:c>
      <x:c r="G11" s="557" t="str">
        <x:v>MEDIUM</x:v>
      </x:c>
      <x:c r="H11" s="557" t="str">
        <x:v>N90 Max页面</x:v>
      </x:c>
      <x:c r="I11" s="557" t="str">
        <x:v>版本梯度推断</x:v>
      </x:c>
      <x:c r="J11" s="557" t="str">
        <x:v>YES</x:v>
      </x:c>
      <x:c r="K11" s="557" t="str">
        <x:v>FRIDGE_DELTA</x:v>
      </x:c>
      <x:c r="L11" s="557" t="str">
        <x:v>约0.03—0.12万未税</x:v>
      </x:c>
      <x:c r="M11" s="557" t="str">
        <x:v>把宣传价值当采购成本</x:v>
      </x:c>
      <x:c r="N11" s="557" t="str">
        <x:v>App配置表</x:v>
      </x:c>
    </x:row>
    <x:row r="12" ht="68" customHeight="1">
      <x:c r="A12" s="19" t="str">
        <x:v>音响</x:v>
      </x:c>
      <x:c r="B12" s="19" t="str">
        <x:v>25扬声器/4890W</x:v>
      </x:c>
      <x:c r="C12" s="19" t="str">
        <x:v>已展示</x:v>
      </x:c>
      <x:c r="D12" s="19" t="str">
        <x:v>降至基础音响</x:v>
      </x:c>
      <x:c r="E12" s="19" t="str">
        <x:v>降至基础音响</x:v>
      </x:c>
      <x:c r="F12" s="19" t="str">
        <x:v>DOWN</x:v>
      </x:c>
      <x:c r="G12" s="19" t="str">
        <x:v>MEDIUM</x:v>
      </x:c>
      <x:c r="H12" s="19" t="str">
        <x:v>N90 Max页面</x:v>
      </x:c>
      <x:c r="I12" s="19" t="str">
        <x:v>版本梯度推断</x:v>
      </x:c>
      <x:c r="J12" s="19" t="str">
        <x:v>YES</x:v>
      </x:c>
      <x:c r="K12" s="19" t="str">
        <x:v>AUDIO_SYSTEM_UPGRADE</x:v>
      </x:c>
      <x:c r="L12" s="19" t="str">
        <x:v>约0.04—0.105万未税</x:v>
      </x:c>
      <x:c r="M12" s="19" t="str">
        <x:v>再叠加功放/扬声器数量</x:v>
      </x:c>
      <x:c r="N12" s="19" t="str">
        <x:v>App配置表</x:v>
      </x:c>
    </x:row>
    <x:row r="13" ht="68" customHeight="1">
      <x:c r="A13" s="557" t="str">
        <x:v>娱乐</x:v>
      </x:c>
      <x:c r="B13" s="557" t="str">
        <x:v>固定后排娱乐屏</x:v>
      </x:c>
      <x:c r="C13" s="557" t="str">
        <x:v>工程基准候选</x:v>
      </x:c>
      <x:c r="D13" s="557" t="str">
        <x:v>取消或选装</x:v>
      </x:c>
      <x:c r="E13" s="557" t="str">
        <x:v>取消或选装</x:v>
      </x:c>
      <x:c r="F13" s="557" t="str">
        <x:v>DOWN</x:v>
      </x:c>
      <x:c r="G13" s="557" t="str">
        <x:v>LOW</x:v>
      </x:c>
      <x:c r="H13" s="557" t="str">
        <x:v>官网展示</x:v>
      </x:c>
      <x:c r="I13" s="557" t="str">
        <x:v>范围未完全锁定</x:v>
      </x:c>
      <x:c r="J13" s="557" t="str">
        <x:v>YES_CONDITIONAL</x:v>
      </x:c>
      <x:c r="K13" s="557" t="str">
        <x:v>REAR_DISPLAY</x:v>
      </x:c>
      <x:c r="L13" s="557" t="str">
        <x:v>约0.04—0.085万未税</x:v>
      </x:c>
      <x:c r="M13" s="557" t="str">
        <x:v>把外接Pad算基础屏</x:v>
      </x:c>
      <x:c r="N13" s="557" t="str">
        <x:v>App配置表</x:v>
      </x:c>
    </x:row>
    <x:row r="14" ht="68" customHeight="1">
      <x:c r="A14" s="19" t="str">
        <x:v>内饰</x:v>
      </x:c>
      <x:c r="B14" s="19" t="str">
        <x:v>95%软包/氛围灯/静谧包</x:v>
      </x:c>
      <x:c r="C14" s="19" t="str">
        <x:v>Max高规格候选</x:v>
      </x:c>
      <x:c r="D14" s="19" t="str">
        <x:v>材料与声学包简化</x:v>
      </x:c>
      <x:c r="E14" s="19" t="str">
        <x:v>材料与声学包简化</x:v>
      </x:c>
      <x:c r="F14" s="19" t="str">
        <x:v>DOWN</x:v>
      </x:c>
      <x:c r="G14" s="19" t="str">
        <x:v>LOW</x:v>
      </x:c>
      <x:c r="H14" s="19" t="str">
        <x:v>官网展示</x:v>
      </x:c>
      <x:c r="I14" s="19" t="str">
        <x:v>范围未完全锁定</x:v>
      </x:c>
      <x:c r="J14" s="19" t="str">
        <x:v>YES_CONDITIONAL</x:v>
      </x:c>
      <x:c r="K14" s="19" t="str">
        <x:v>CABIN_TRIM_PACKAGE</x:v>
      </x:c>
      <x:c r="L14" s="19" t="str">
        <x:v>约0.05—0.22万未税</x:v>
      </x:c>
      <x:c r="M14" s="19" t="str">
        <x:v>将未披露等同不存在</x:v>
      </x:c>
      <x:c r="N14" s="19" t="str">
        <x:v>完整参数表</x:v>
      </x:c>
    </x:row>
    <x:row r="15" ht="68" customHeight="1">
      <x:c r="A15" s="557" t="str">
        <x:v>智能</x:v>
      </x:c>
      <x:c r="B15" s="557" t="str">
        <x:v>HAD/超级小爱/核心传感器</x:v>
      </x:c>
      <x:c r="C15" s="557" t="str">
        <x:v>系列智能基准</x:v>
      </x:c>
      <x:c r="D15" s="557" t="str">
        <x:v>中心假设保留</x:v>
      </x:c>
      <x:c r="E15" s="557" t="str">
        <x:v>中心假设保留</x:v>
      </x:c>
      <x:c r="F15" s="557" t="str">
        <x:v>SAME</x:v>
      </x:c>
      <x:c r="G15" s="557" t="str">
        <x:v>MEDIUM</x:v>
      </x:c>
      <x:c r="H15" s="557" t="str">
        <x:v>官网章节级证据</x:v>
      </x:c>
      <x:c r="I15" s="557" t="str">
        <x:v>小米全系策略+成本复用</x:v>
      </x:c>
      <x:c r="J15" s="557" t="str">
        <x:v>NO</x:v>
      </x:c>
      <x:c r="K15" s="557" t="str">
        <x:v>ADAS_STACK_COMMON</x:v>
      </x:c>
      <x:c r="L15" s="557" t="str">
        <x:v>保持品牌体验</x:v>
      </x:c>
      <x:c r="M15" s="557" t="str">
        <x:v>为了凑价差随意减传感器</x:v>
      </x:c>
      <x:c r="N15" s="557" t="str">
        <x:v>正式智驾清单</x:v>
      </x:c>
    </x:row>
    <x:row r="16" ht="68" customHeight="1">
      <x:c r="A16" s="19" t="str">
        <x:v>安全/车身</x:v>
      </x:c>
      <x:c r="B16" s="19" t="str">
        <x:v>门环/电池防护/涉水/气囊</x:v>
      </x:c>
      <x:c r="C16" s="19" t="str">
        <x:v>N90车身工程基准</x:v>
      </x:c>
      <x:c r="D16" s="19" t="str">
        <x:v>中心假设保持</x:v>
      </x:c>
      <x:c r="E16" s="19" t="str">
        <x:v>中心假设保持</x:v>
      </x:c>
      <x:c r="F16" s="19" t="str">
        <x:v>SAME</x:v>
      </x:c>
      <x:c r="G16" s="19" t="str">
        <x:v>MEDIUM</x:v>
      </x:c>
      <x:c r="H16" s="19" t="str">
        <x:v>官网工程事实</x:v>
      </x:c>
      <x:c r="I16" s="19" t="str">
        <x:v>同车身平台</x:v>
      </x:c>
      <x:c r="J16" s="19" t="str">
        <x:v>NO</x:v>
      </x:c>
      <x:c r="K16" s="19" t="str">
        <x:v>BODY_SAFETY_COMMON</x:v>
      </x:c>
      <x:c r="L16" s="19" t="str">
        <x:v>不能作为版本削减池</x:v>
      </x:c>
      <x:c r="M16" s="19" t="str">
        <x:v>把气囊数量未披露写成减少</x:v>
      </x:c>
      <x:c r="N16" s="19" t="str">
        <x:v>正式安全清单</x:v>
      </x:c>
    </x:row>
    <x:row r="17" ht="68" customHeight="1">
      <x:c r="A17" s="557" t="str">
        <x:v>选装池</x:v>
      </x:c>
      <x:c r="B17" s="557" t="str">
        <x:v>电动门/踏板/旋转/零重力/轮毂</x:v>
      </x:c>
      <x:c r="C17" s="557" t="str">
        <x:v>明确选装池</x:v>
      </x:c>
      <x:c r="D17" s="557" t="str">
        <x:v>同为选装或取消可选</x:v>
      </x:c>
      <x:c r="E17" s="557" t="str">
        <x:v>同为选装或取消可选</x:v>
      </x:c>
      <x:c r="F17" s="557" t="str">
        <x:v>EXCLUDED</x:v>
      </x:c>
      <x:c r="G17" s="557" t="str">
        <x:v>HIGH</x:v>
      </x:c>
      <x:c r="H17" s="557" t="str">
        <x:v>官网明确选装</x:v>
      </x:c>
      <x:c r="I17" s="557" t="str">
        <x:v>不适用</x:v>
      </x:c>
      <x:c r="J17" s="557" t="str">
        <x:v>NO_EXCLUDED</x:v>
      </x:c>
      <x:c r="K17" s="557" t="str">
        <x:v>OPTION_POOL_EXCLUDED</x:v>
      </x:c>
      <x:c r="L17" s="557" t="str">
        <x:v>基础BOM为0</x:v>
      </x:c>
      <x:c r="M17" s="557" t="str">
        <x:v>把六项选装计入Max基础</x:v>
      </x:c>
      <x:c r="N17" s="557" t="str">
        <x:v>官方选装价</x:v>
      </x:c>
    </x:row>
    <x:row r="20" ht="24" customHeight="1">
      <x:c r="A20" s="560" t="str">
        <x:v>一句话版本差异（用于阅读，不替代逐项表）</x:v>
      </x:c>
      <x:c r="B20" s="560"/>
      <x:c r="C20" s="560"/>
      <x:c r="D20" s="560"/>
      <x:c r="E20" s="560"/>
      <x:c r="F20" s="560"/>
      <x:c r="G20" s="560"/>
      <x:c r="H20" s="560"/>
      <x:c r="I20" s="560"/>
      <x:c r="J20" s="560"/>
      <x:c r="K20" s="560"/>
      <x:c r="L20" s="560"/>
      <x:c r="M20" s="560"/>
      <x:c r="N20" s="560"/>
    </x:row>
    <x:row r="21" ht="58" customHeight="1">
      <x:c r="A21" s="19" t="str">
        <x:v>标准版五座形态</x:v>
      </x:c>
      <x:c r="B21" s="19" t="str">
        <x:v>与Max共用310kW四驱+76kWh三元锂；取消第三排并简化悬架，作为重要备选</x:v>
      </x:c>
      <x:c r="C21" s="19" t="str"/>
      <x:c r="D21" s="19" t="str"/>
      <x:c r="E21" s="19" t="str"/>
      <x:c r="F21" s="19" t="str">
        <x:v>PREDICTED_ALTERNATIVE</x:v>
      </x:c>
      <x:c r="G21" s="19" t="str">
        <x:v>MEDIUM_LOW</x:v>
      </x:c>
      <x:c r="H21" s="19" t="str"/>
      <x:c r="I21" s="19" t="str"/>
      <x:c r="J21" s="19" t="str"/>
      <x:c r="K21" s="19" t="str"/>
      <x:c r="L21" s="19" t="str"/>
      <x:c r="M21" s="19" t="str"/>
      <x:c r="N21" s="19" t="str"/>
    </x:row>
    <x:row r="22" ht="58" customHeight="1">
      <x:c r="A22" s="557" t="str">
        <x:v>标准版七座形态</x:v>
      </x:c>
      <x:c r="B22" s="557" t="str">
        <x:v>主情景：保留基础7座；动力电池不变，主要简化悬架，Mid起计冰箱+音响差</x:v>
      </x:c>
      <x:c r="C22" s="557" t="str"/>
      <x:c r="D22" s="557" t="str"/>
      <x:c r="E22" s="557" t="str"/>
      <x:c r="F22" s="557" t="str">
        <x:v>PREDICTED_MODE</x:v>
      </x:c>
      <x:c r="G22" s="557" t="str">
        <x:v>MEDIUM_LOW</x:v>
      </x:c>
      <x:c r="H22" s="557" t="str"/>
      <x:c r="I22" s="557" t="str"/>
      <x:c r="J22" s="557" t="str"/>
      <x:c r="K22" s="557" t="str"/>
      <x:c r="L22" s="557" t="str"/>
      <x:c r="M22" s="557" t="str"/>
      <x:c r="N22" s="557" t="str"/>
    </x:row>
    <x:row r="23" ht="58" customHeight="1">
      <x:c r="A23" s="19" t="str">
        <x:v>Max</x:v>
      </x:c>
      <x:c r="B23" s="19" t="str">
        <x:v>7座+高舒适配置；若低价SKU出现，Max不必靠大幅现金降价承担起售价任务</x:v>
      </x:c>
      <x:c r="C23" s="19" t="str"/>
      <x:c r="D23" s="19" t="str"/>
      <x:c r="E23" s="19" t="str"/>
      <x:c r="F23" s="19" t="str">
        <x:v>OFFICIAL_ANCHOR</x:v>
      </x:c>
      <x:c r="G23" s="19" t="str">
        <x:v>HIGH</x:v>
      </x:c>
      <x:c r="H23" s="19" t="str"/>
      <x:c r="I23" s="19" t="str"/>
      <x:c r="J23" s="19" t="str"/>
      <x:c r="K23" s="19" t="str"/>
      <x:c r="L23" s="19" t="str"/>
      <x:c r="M23" s="19" t="str"/>
      <x:c r="N23" s="19" t="str"/>
    </x:row>
  </x:sheetData>
  <x:mergeCells>
    <x:mergeCell ref="A1:N1"/>
    <x:mergeCell ref="A2:N2"/>
    <x:mergeCell ref="A3:N3"/>
    <x:mergeCell ref="A20:N20"/>
  </x:mergeCells>
  <x:conditionalFormatting sqref="F6:G17">
    <x:cfRule type="containsText" dxfId="2626" priority="1" operator="containsText" text="PASS"/>
    <x:cfRule type="containsText" dxfId="2627" priority="2" operator="containsText" text="READY"/>
    <x:cfRule type="containsText" dxfId="2628" priority="3" operator="containsText" text="CONFIRMED"/>
    <x:cfRule type="containsText" dxfId="2629" priority="4" operator="containsText" text="OFFICIAL"/>
    <x:cfRule type="containsText" dxfId="2630" priority="5" operator="containsText" text="MODE"/>
    <x:cfRule type="containsText" dxfId="2631" priority="6" operator="containsText" text="YES"/>
    <x:cfRule type="containsText" dxfId="2632" priority="7" operator="containsText" text="PREDICTED"/>
    <x:cfRule type="containsText" dxfId="2633" priority="8" operator="containsText" text="CONDITIONAL"/>
    <x:cfRule type="containsText" dxfId="2634" priority="9" operator="containsText" text="WATCHLIST"/>
    <x:cfRule type="containsText" dxfId="2635" priority="10" operator="containsText" text="MEDIUM"/>
    <x:cfRule type="containsText" dxfId="2636" priority="11" operator="containsText" text="LOW"/>
    <x:cfRule type="containsText" dxfId="2637" priority="12" operator="containsText" text="SEPARATE"/>
    <x:cfRule type="containsText" dxfId="2638" priority="13" operator="containsText" text="EXCLUDED"/>
    <x:cfRule type="containsText" dxfId="2639" priority="14" operator="containsText" text="NO"/>
    <x:cfRule type="containsText" dxfId="2640" priority="15" operator="containsText" text="BLOCKED"/>
    <x:cfRule type="containsText" dxfId="2641" priority="16" operator="containsText" text="FAIL"/>
    <x:cfRule type="containsText" dxfId="2642" priority="17" operator="containsText" text="SUPERSEDED"/>
  </x:conditionalFormatting>
  <x:conditionalFormatting sqref="J6:J17">
    <x:cfRule type="containsText" dxfId="2643" priority="18" operator="containsText" text="PASS"/>
    <x:cfRule type="containsText" dxfId="2644" priority="19" operator="containsText" text="READY"/>
    <x:cfRule type="containsText" dxfId="2645" priority="20" operator="containsText" text="CONFIRMED"/>
    <x:cfRule type="containsText" dxfId="2646" priority="21" operator="containsText" text="OFFICIAL"/>
    <x:cfRule type="containsText" dxfId="2647" priority="22" operator="containsText" text="MODE"/>
    <x:cfRule type="containsText" dxfId="2648" priority="23" operator="containsText" text="YES"/>
    <x:cfRule type="containsText" dxfId="2649" priority="24" operator="containsText" text="PREDICTED"/>
    <x:cfRule type="containsText" dxfId="2650" priority="25" operator="containsText" text="CONDITIONAL"/>
    <x:cfRule type="containsText" dxfId="2651" priority="26" operator="containsText" text="WATCHLIST"/>
    <x:cfRule type="containsText" dxfId="2652" priority="27" operator="containsText" text="MEDIUM"/>
    <x:cfRule type="containsText" dxfId="2653" priority="28" operator="containsText" text="LOW"/>
    <x:cfRule type="containsText" dxfId="2654" priority="29" operator="containsText" text="SEPARATE"/>
    <x:cfRule type="containsText" dxfId="2655" priority="30" operator="containsText" text="EXCLUDED"/>
    <x:cfRule type="containsText" dxfId="2656" priority="31" operator="containsText" text="NO"/>
    <x:cfRule type="containsText" dxfId="2657" priority="32" operator="containsText" text="BLOCKED"/>
    <x:cfRule type="containsText" dxfId="2658" priority="33" operator="containsText" text="FAIL"/>
    <x:cfRule type="containsText" dxfId="2659" priority="34" operator="containsText" text="SUPERSEDED"/>
  </x:conditionalFormatting>
  <x:conditionalFormatting sqref="F21:G23">
    <x:cfRule type="containsText" dxfId="2660" priority="35" operator="containsText" text="PASS"/>
    <x:cfRule type="containsText" dxfId="2661" priority="36" operator="containsText" text="READY"/>
    <x:cfRule type="containsText" dxfId="2662" priority="37" operator="containsText" text="CONFIRMED"/>
    <x:cfRule type="containsText" dxfId="2663" priority="38" operator="containsText" text="OFFICIAL"/>
    <x:cfRule type="containsText" dxfId="2664" priority="39" operator="containsText" text="MODE"/>
    <x:cfRule type="containsText" dxfId="2665" priority="40" operator="containsText" text="YES"/>
    <x:cfRule type="containsText" dxfId="2666" priority="41" operator="containsText" text="PREDICTED"/>
    <x:cfRule type="containsText" dxfId="2667" priority="42" operator="containsText" text="CONDITIONAL"/>
    <x:cfRule type="containsText" dxfId="2668" priority="43" operator="containsText" text="WATCHLIST"/>
    <x:cfRule type="containsText" dxfId="2669" priority="44" operator="containsText" text="MEDIUM"/>
    <x:cfRule type="containsText" dxfId="2670" priority="45" operator="containsText" text="LOW"/>
    <x:cfRule type="containsText" dxfId="2671" priority="46" operator="containsText" text="SEPARATE"/>
    <x:cfRule type="containsText" dxfId="2672" priority="47" operator="containsText" text="EXCLUDED"/>
    <x:cfRule type="containsText" dxfId="2673" priority="48" operator="containsText" text="NO"/>
    <x:cfRule type="containsText" dxfId="2674" priority="49" operator="containsText" text="BLOCKED"/>
    <x:cfRule type="containsText" dxfId="2675" priority="50" operator="containsText" text="FAIL"/>
    <x:cfRule type="containsText" dxfId="2676" priority="51" operator="containsText" text="SUPERSEDED"/>
  </x:conditionalFormatting>
  <x:pageMargins left="0.7" right="0.7" top="0.75" bottom="0.75" header="0.3" footer="0.3"/>
</x:worksheet>
</file>

<file path=xl/worksheets/sheet10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9" hidden="0" customWidth="1"/>
    <x:col min="2" max="2" width="39" hidden="0" customWidth="1"/>
    <x:col min="3" max="3" width="17" hidden="0" customWidth="1"/>
    <x:col min="4" max="4" width="17" hidden="0" customWidth="1"/>
    <x:col min="5" max="5" width="17" hidden="0" customWidth="1"/>
    <x:col min="6" max="6" width="20" hidden="0" customWidth="1"/>
    <x:col min="7" max="7" width="20" hidden="0" customWidth="1"/>
    <x:col min="8" max="8" width="20" hidden="0" customWidth="1"/>
    <x:col min="9" max="9" width="32" hidden="0" customWidth="1"/>
    <x:col min="10" max="10" width="24" hidden="0" customWidth="1"/>
    <x:col min="11" max="11" width="30" hidden="0" customWidth="1"/>
    <x:col min="12" max="12" width="46" hidden="0" customWidth="1"/>
  </x:cols>
  <x:sheetData>
    <x:row r="1" ht="30" customHeight="1">
      <x:c r="A1" s="544" t="str">
        <x:v>105｜N90标准版相对Max的工程成本差：三种形态</x:v>
      </x:c>
      <x:c r="B1" s="544"/>
      <x:c r="C1" s="544"/>
      <x:c r="D1" s="544"/>
      <x:c r="E1" s="544"/>
      <x:c r="F1" s="544"/>
      <x:c r="G1" s="544"/>
      <x:c r="H1" s="544"/>
      <x:c r="I1" s="544"/>
      <x:c r="J1" s="544"/>
      <x:c r="K1" s="544"/>
      <x:c r="L1" s="544"/>
    </x:row>
    <x:row r="2" ht="22" customHeight="1">
      <x:c r="A2" s="547" t="str">
        <x:v>未税BOM节省Low/Mid/High｜制造与质保覆盖只加一次｜κ与VAT只在最后传导</x:v>
      </x:c>
      <x:c r="B2" s="547"/>
      <x:c r="C2" s="547"/>
      <x:c r="D2" s="547"/>
      <x:c r="E2" s="547"/>
      <x:c r="F2" s="547"/>
      <x:c r="G2" s="547"/>
      <x:c r="H2" s="547"/>
      <x:c r="I2" s="547"/>
      <x:c r="J2" s="547"/>
      <x:c r="K2" s="547"/>
      <x:c r="L2" s="547"/>
    </x:row>
    <x:row r="3" ht="82" customHeight="1">
      <x:c r="A3" s="551" t="str">
        <x:v>成本差不能从售价倒推。动力、电池、车身安全和核心智驾在中心假设中不减；六项选装也不进入Max基础。主情景是“七座+简化悬架”，其中值成本约0.91万元、含税价格传导约1.09万元；五座形态额外计入第三排与三排HVAC。结果是工程代理，不是供应商报价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</x:row>
    <x:row r="5" ht="58" customHeight="1">
      <x:c r="A5" s="556" t="str">
        <x:v>cost_id</x:v>
      </x:c>
      <x:c r="B5" s="556" t="str">
        <x:v>成本原子（Max→标准的节省）</x:v>
      </x:c>
      <x:c r="C5" s="556" t="str">
        <x:v>Low</x:v>
      </x:c>
      <x:c r="D5" s="556" t="str">
        <x:v>Mid</x:v>
      </x:c>
      <x:c r="E5" s="556" t="str">
        <x:v>High</x:v>
      </x:c>
      <x:c r="F5" s="556" t="str">
        <x:v>五座+简化悬架</x:v>
      </x:c>
      <x:c r="G5" s="556" t="str">
        <x:v>七座+简化悬架</x:v>
      </x:c>
      <x:c r="H5" s="556" t="str">
        <x:v>七座+保留空悬</x:v>
      </x:c>
      <x:c r="I5" s="556" t="str">
        <x:v>证据/来源</x:v>
      </x:c>
      <x:c r="J5" s="556" t="str">
        <x:v>状态</x:v>
      </x:c>
      <x:c r="K5" s="556" t="str">
        <x:v>double_count_key</x:v>
      </x:c>
      <x:c r="L5" s="556" t="str">
        <x:v>边界说明</x:v>
      </x:c>
    </x:row>
    <x:row r="6" ht="58" customHeight="1">
      <x:c r="A6" s="19" t="str">
        <x:v>C01</x:v>
      </x:c>
      <x:c r="B6" s="19" t="str">
        <x:v>取消第三排基础座椅架构</x:v>
      </x:c>
      <x:c r="C6" s="414" t="n">
        <x:v>1400</x:v>
      </x:c>
      <x:c r="D6" s="414" t="n">
        <x:v>2400</x:v>
      </x:c>
      <x:c r="E6" s="414" t="n">
        <x:v>3800</x:v>
      </x:c>
      <x:c r="F6" s="106" t="n">
        <x:v>1</x:v>
      </x:c>
      <x:c r="G6" s="106" t="n">
        <x:v>0</x:v>
      </x:c>
      <x:c r="H6" s="106" t="n">
        <x:v>0</x:v>
      </x:c>
      <x:c r="I6" s="19" t="str">
        <x:v>Phase3.2B座椅架构原子</x:v>
      </x:c>
      <x:c r="J6" s="19" t="str">
        <x:v>CORE_CONDITIONAL</x:v>
      </x:c>
      <x:c r="K6" s="19" t="str">
        <x:v>SEAT_ARCH_N90_TRIM</x:v>
      </x:c>
      <x:c r="L6" s="19" t="str">
        <x:v>只含基础第三排、固定与安全带；不含按摩/零重力</x:v>
      </x:c>
    </x:row>
    <x:row r="7" ht="58" customHeight="1">
      <x:c r="A7" s="557" t="str">
        <x:v>C02</x:v>
      </x:c>
      <x:c r="B7" s="557" t="str">
        <x:v>取消三排HVAC增量</x:v>
      </x:c>
      <x:c r="C7" s="561" t="n">
        <x:v>200</x:v>
      </x:c>
      <x:c r="D7" s="561" t="n">
        <x:v>500</x:v>
      </x:c>
      <x:c r="E7" s="561" t="n">
        <x:v>900</x:v>
      </x:c>
      <x:c r="F7" s="563" t="n">
        <x:v>1</x:v>
      </x:c>
      <x:c r="G7" s="563" t="n">
        <x:v>0</x:v>
      </x:c>
      <x:c r="H7" s="563" t="n">
        <x:v>0</x:v>
      </x:c>
      <x:c r="I7" s="557" t="str">
        <x:v>Phase3.2B三排温控原子</x:v>
      </x:c>
      <x:c r="J7" s="557" t="str">
        <x:v>CORE_CONDITIONAL</x:v>
      </x:c>
      <x:c r="K7" s="557" t="str">
        <x:v>HVAC_3ROW_DELTA</x:v>
      </x:c>
      <x:c r="L7" s="557" t="str">
        <x:v>只有五座形态计入</x:v>
      </x:c>
    </x:row>
    <x:row r="8" ht="58" customHeight="1">
      <x:c r="A8" s="19" t="str">
        <x:v>C03</x:v>
      </x:c>
      <x:c r="B8" s="19" t="str">
        <x:v>空气弹簧硬件→螺簧</x:v>
      </x:c>
      <x:c r="C8" s="414" t="n">
        <x:v>3800</x:v>
      </x:c>
      <x:c r="D8" s="414" t="n">
        <x:v>5000</x:v>
      </x:c>
      <x:c r="E8" s="414" t="n">
        <x:v>6300</x:v>
      </x:c>
      <x:c r="F8" s="106" t="n">
        <x:v>1</x:v>
      </x:c>
      <x:c r="G8" s="106" t="n">
        <x:v>1</x:v>
      </x:c>
      <x:c r="H8" s="106" t="n">
        <x:v>0</x:v>
      </x:c>
      <x:c r="I8" s="19" t="str">
        <x:v>工程代理；待正式配置</x:v>
      </x:c>
      <x:c r="J8" s="19" t="str">
        <x:v>MODELLED</x:v>
      </x:c>
      <x:c r="K8" s="19" t="str">
        <x:v>AIR_SPRING_HARDWARE</x:v>
      </x:c>
      <x:c r="L8" s="19" t="str">
        <x:v>若标准版保留空悬则本项为0</x:v>
      </x:c>
    </x:row>
    <x:row r="9" ht="58" customHeight="1">
      <x:c r="A9" s="557" t="str">
        <x:v>C04</x:v>
      </x:c>
      <x:c r="B9" s="557" t="str">
        <x:v>CDC连续阻尼减振器简化</x:v>
      </x:c>
      <x:c r="C9" s="561" t="n">
        <x:v>1800</x:v>
      </x:c>
      <x:c r="D9" s="561" t="n">
        <x:v>2500</x:v>
      </x:c>
      <x:c r="E9" s="561" t="n">
        <x:v>3200</x:v>
      </x:c>
      <x:c r="F9" s="563" t="n">
        <x:v>1</x:v>
      </x:c>
      <x:c r="G9" s="563" t="n">
        <x:v>1</x:v>
      </x:c>
      <x:c r="H9" s="563" t="n">
        <x:v>0</x:v>
      </x:c>
      <x:c r="I9" s="557" t="str">
        <x:v>工程代理；待正式配置</x:v>
      </x:c>
      <x:c r="J9" s="557" t="str">
        <x:v>MODELLED</x:v>
      </x:c>
      <x:c r="K9" s="557" t="str">
        <x:v>CDC_DAMPER_DELTA</x:v>
      </x:c>
      <x:c r="L9" s="557" t="str">
        <x:v>简化悬架形态计入；是否保留CDC未锁定</x:v>
      </x:c>
    </x:row>
    <x:row r="10" ht="58" customHeight="1">
      <x:c r="A10" s="19" t="str">
        <x:v>C05</x:v>
      </x:c>
      <x:c r="B10" s="19" t="str">
        <x:v>9L冰箱取消/选装化</x:v>
      </x:c>
      <x:c r="C10" s="414" t="n">
        <x:v>0</x:v>
      </x:c>
      <x:c r="D10" s="414" t="n">
        <x:v>600</x:v>
      </x:c>
      <x:c r="E10" s="414" t="n">
        <x:v>1200</x:v>
      </x:c>
      <x:c r="F10" s="106" t="n">
        <x:v>1</x:v>
      </x:c>
      <x:c r="G10" s="106" t="n">
        <x:v>1</x:v>
      </x:c>
      <x:c r="H10" s="106" t="n">
        <x:v>1</x:v>
      </x:c>
      <x:c r="I10" s="19" t="str">
        <x:v>Phase3.2B条件池</x:v>
      </x:c>
      <x:c r="J10" s="19" t="str">
        <x:v>MODELLED_HIGHER</x:v>
      </x:c>
      <x:c r="K10" s="19" t="str">
        <x:v>FRIDGE_DELTA</x:v>
      </x:c>
      <x:c r="L10" s="19" t="str">
        <x:v>Low不把未证实标配当差异；Mid起计</x:v>
      </x:c>
    </x:row>
    <x:row r="11" ht="58" customHeight="1">
      <x:c r="A11" s="557" t="str">
        <x:v>C06</x:v>
      </x:c>
      <x:c r="B11" s="557" t="str">
        <x:v>25扬声器→基础音响</x:v>
      </x:c>
      <x:c r="C11" s="561" t="n">
        <x:v>0</x:v>
      </x:c>
      <x:c r="D11" s="561" t="n">
        <x:v>650</x:v>
      </x:c>
      <x:c r="E11" s="561" t="n">
        <x:v>1050</x:v>
      </x:c>
      <x:c r="F11" s="563" t="n">
        <x:v>1</x:v>
      </x:c>
      <x:c r="G11" s="563" t="n">
        <x:v>1</x:v>
      </x:c>
      <x:c r="H11" s="563" t="n">
        <x:v>1</x:v>
      </x:c>
      <x:c r="I11" s="557" t="str">
        <x:v>历史原子：14→25扬声器</x:v>
      </x:c>
      <x:c r="J11" s="557" t="str">
        <x:v>REUSED_ATOMIC</x:v>
      </x:c>
      <x:c r="K11" s="557" t="str">
        <x:v>AUDIO_SYSTEM_UPGRADE</x:v>
      </x:c>
      <x:c r="L11" s="557" t="str">
        <x:v>Low不计；系统升级一次计价</x:v>
      </x:c>
    </x:row>
    <x:row r="12" ht="58" customHeight="1">
      <x:c r="A12" s="19" t="str">
        <x:v>C07</x:v>
      </x:c>
      <x:c r="B12" s="19" t="str">
        <x:v>一二排舒适包降级</x:v>
      </x:c>
      <x:c r="C12" s="414" t="n">
        <x:v>0</x:v>
      </x:c>
      <x:c r="D12" s="414" t="n">
        <x:v>0</x:v>
      </x:c>
      <x:c r="E12" s="414" t="n">
        <x:v>3500</x:v>
      </x:c>
      <x:c r="F12" s="106" t="n">
        <x:v>1</x:v>
      </x:c>
      <x:c r="G12" s="106" t="n">
        <x:v>1</x:v>
      </x:c>
      <x:c r="H12" s="106" t="n">
        <x:v>1</x:v>
      </x:c>
      <x:c r="I12" s="19" t="str">
        <x:v>Phase3.2B条件池</x:v>
      </x:c>
      <x:c r="J12" s="19" t="str">
        <x:v>HIGH_ONLY</x:v>
      </x:c>
      <x:c r="K12" s="19" t="str">
        <x:v>SEAT_COMFORT_DELTA</x:v>
      </x:c>
      <x:c r="L12" s="19" t="str">
        <x:v>仅High计入按摩/通风/加热差；不含零重力选装</x:v>
      </x:c>
    </x:row>
    <x:row r="13" ht="58" customHeight="1">
      <x:c r="A13" s="557" t="str">
        <x:v>C08</x:v>
      </x:c>
      <x:c r="B13" s="557" t="str">
        <x:v>核心智驾系统</x:v>
      </x:c>
      <x:c r="C13" s="561" t="n">
        <x:v>0</x:v>
      </x:c>
      <x:c r="D13" s="561" t="n">
        <x:v>0</x:v>
      </x:c>
      <x:c r="E13" s="561" t="n">
        <x:v>0</x:v>
      </x:c>
      <x:c r="F13" s="563" t="n">
        <x:v>0</x:v>
      </x:c>
      <x:c r="G13" s="563" t="n">
        <x:v>0</x:v>
      </x:c>
      <x:c r="H13" s="563" t="n">
        <x:v>0</x:v>
      </x:c>
      <x:c r="I13" s="557" t="str">
        <x:v>中心假设共用</x:v>
      </x:c>
      <x:c r="J13" s="557" t="str">
        <x:v>EXCLUDED_COMMON</x:v>
      </x:c>
      <x:c r="K13" s="557" t="str">
        <x:v>ADAS_STACK_COMMON</x:v>
      </x:c>
      <x:c r="L13" s="557" t="str">
        <x:v>不得为了配平价格擅自减传感器</x:v>
      </x:c>
    </x:row>
    <x:row r="14" ht="58" customHeight="1">
      <x:c r="A14" s="19" t="str">
        <x:v>C09</x:v>
      </x:c>
      <x:c r="B14" s="19" t="str">
        <x:v>310kW双电机四驱</x:v>
      </x:c>
      <x:c r="C14" s="414" t="n">
        <x:v>0</x:v>
      </x:c>
      <x:c r="D14" s="414" t="n">
        <x:v>0</x:v>
      </x:c>
      <x:c r="E14" s="414" t="n">
        <x:v>0</x:v>
      </x:c>
      <x:c r="F14" s="106" t="n">
        <x:v>0</x:v>
      </x:c>
      <x:c r="G14" s="106" t="n">
        <x:v>0</x:v>
      </x:c>
      <x:c r="H14" s="106" t="n">
        <x:v>0</x:v>
      </x:c>
      <x:c r="I14" s="19" t="str">
        <x:v>同一普通N90准入型号</x:v>
      </x:c>
      <x:c r="J14" s="19" t="str">
        <x:v>EXCLUDED_COMMON</x:v>
      </x:c>
      <x:c r="K14" s="19" t="str">
        <x:v>POWERTRAIN_COMMON</x:v>
      </x:c>
      <x:c r="L14" s="19" t="str">
        <x:v>若未来出现单电机新型号再重算</x:v>
      </x:c>
    </x:row>
    <x:row r="15" ht="58" customHeight="1">
      <x:c r="A15" s="557" t="str">
        <x:v>C10</x:v>
      </x:c>
      <x:c r="B15" s="557" t="str">
        <x:v>76kWh三元锂电池</x:v>
      </x:c>
      <x:c r="C15" s="561" t="n">
        <x:v>0</x:v>
      </x:c>
      <x:c r="D15" s="561" t="n">
        <x:v>0</x:v>
      </x:c>
      <x:c r="E15" s="561" t="n">
        <x:v>0</x:v>
      </x:c>
      <x:c r="F15" s="563" t="n">
        <x:v>0</x:v>
      </x:c>
      <x:c r="G15" s="563" t="n">
        <x:v>0</x:v>
      </x:c>
      <x:c r="H15" s="563" t="n">
        <x:v>0</x:v>
      </x:c>
      <x:c r="I15" s="557" t="str">
        <x:v>同一普通N90准入型号</x:v>
      </x:c>
      <x:c r="J15" s="557" t="str">
        <x:v>EXCLUDED_COMMON</x:v>
      </x:c>
      <x:c r="K15" s="557" t="str">
        <x:v>BATTERY_COMMON_76</x:v>
      </x:c>
      <x:c r="L15" s="557" t="str">
        <x:v>不把供应商降本重复计为版本差</x:v>
      </x:c>
    </x:row>
    <x:row r="16" ht="58" customHeight="1">
      <x:c r="A16" s="19" t="str">
        <x:v>C11</x:v>
      </x:c>
      <x:c r="B16" s="19" t="str">
        <x:v>Max六项选装与另购附件</x:v>
      </x:c>
      <x:c r="C16" s="414" t="n">
        <x:v>0</x:v>
      </x:c>
      <x:c r="D16" s="414" t="n">
        <x:v>0</x:v>
      </x:c>
      <x:c r="E16" s="414" t="n">
        <x:v>0</x:v>
      </x:c>
      <x:c r="F16" s="106" t="n">
        <x:v>0</x:v>
      </x:c>
      <x:c r="G16" s="106" t="n">
        <x:v>0</x:v>
      </x:c>
      <x:c r="H16" s="106" t="n">
        <x:v>0</x:v>
      </x:c>
      <x:c r="I16" s="19" t="str">
        <x:v>官网明确选装/另购</x:v>
      </x:c>
      <x:c r="J16" s="19" t="str">
        <x:v>EXCLUDED_OPTION</x:v>
      </x:c>
      <x:c r="K16" s="19" t="str">
        <x:v>OPTION_POOL_EXCLUDED</x:v>
      </x:c>
      <x:c r="L16" s="19" t="str">
        <x:v>基础BOM排除</x:v>
      </x:c>
    </x:row>
    <x:row r="19" ht="24" customHeight="1">
      <x:c r="A19" s="560" t="str">
        <x:v>三种形态汇总（公式计算）</x:v>
      </x:c>
      <x:c r="B19" s="560"/>
      <x:c r="C19" s="560"/>
      <x:c r="D19" s="560"/>
      <x:c r="E19" s="560"/>
      <x:c r="F19" s="560"/>
      <x:c r="G19" s="560"/>
      <x:c r="H19" s="560"/>
      <x:c r="I19" s="560"/>
      <x:c r="J19" s="560"/>
      <x:c r="K19" s="560"/>
      <x:c r="L19" s="560"/>
    </x:row>
    <x:row r="20" ht="56" customHeight="1">
      <x:c r="A20" s="556" t="str">
        <x:v>形态</x:v>
      </x:c>
      <x:c r="B20" s="556" t="str">
        <x:v>定义</x:v>
      </x:c>
      <x:c r="C20" s="556" t="str">
        <x:v>物理BOM Low</x:v>
      </x:c>
      <x:c r="D20" s="556" t="str">
        <x:v>物理BOM Mid</x:v>
      </x:c>
      <x:c r="E20" s="556" t="str">
        <x:v>物理BOM High</x:v>
      </x:c>
      <x:c r="F20" s="556" t="str">
        <x:v>含覆盖 Low</x:v>
      </x:c>
      <x:c r="G20" s="556" t="str">
        <x:v>含覆盖 Mid</x:v>
      </x:c>
      <x:c r="H20" s="556" t="str">
        <x:v>含覆盖 High</x:v>
      </x:c>
      <x:c r="I20" s="556" t="str">
        <x:v>成本驱动含税价差 Low</x:v>
      </x:c>
      <x:c r="J20" s="556" t="str">
        <x:v>Mid</x:v>
      </x:c>
      <x:c r="K20" s="556" t="str">
        <x:v>High</x:v>
      </x:c>
      <x:c r="L20" s="556" t="str">
        <x:v>解释</x:v>
      </x:c>
    </x:row>
    <x:row r="21" ht="58" customHeight="1">
      <x:c r="A21" s="19" t="str">
        <x:v>五座+简化悬架</x:v>
      </x:c>
      <x:c r="B21" s="19" t="str">
        <x:v>取消第三排/HVAC、空簧与CDC；Mid起计冰箱+音响</x:v>
      </x:c>
      <x:c r="C21" s="414" t="n">
        <x:f>SUMPRODUCT($C$6:$C$16,$F$6:$F$16)</x:f>
        <x:v>7200</x:v>
      </x:c>
      <x:c r="D21" s="414" t="n">
        <x:f>SUMPRODUCT($D$6:$D$16,$F$6:$F$16)</x:f>
        <x:v>11650</x:v>
      </x:c>
      <x:c r="E21" s="414" t="n">
        <x:f>SUMPRODUCT($E$6:$E$16,$F$6:$F$16)</x:f>
        <x:v>19950</x:v>
      </x:c>
      <x:c r="F21" s="414" t="n">
        <x:f>C21*(1+1.5%)</x:f>
        <x:v>7307.999999999999</x:v>
      </x:c>
      <x:c r="G21" s="414" t="n">
        <x:f>D21*(1+3.5%)</x:f>
        <x:v>12057.749999999998</x:v>
      </x:c>
      <x:c r="H21" s="414" t="n">
        <x:f>E21*(1+7%)</x:f>
        <x:v>21346.5</x:v>
      </x:c>
      <x:c r="I21" s="414" t="n">
        <x:f>ROUND(ROUND(F21,0)*1.0254,0)*1.13</x:f>
        <x:v>8468.22</x:v>
      </x:c>
      <x:c r="J21" s="414" t="n">
        <x:f>ROUND(ROUND(G21,0)*1.0695,0)*1.13</x:f>
        <x:v>14572.479999999998</x:v>
      </x:c>
      <x:c r="K21" s="414" t="n">
        <x:f>ROUND(ROUND(H21,0)*1.2207,0)*1.13</x:f>
        <x:v>29445.539999999997</x:v>
      </x:c>
      <x:c r="L21" s="19" t="str">
        <x:v>L/M/H成本0.73/1.21/2.13万；含税传导0.85/1.46/2.94万</x:v>
      </x:c>
    </x:row>
    <x:row r="22" ht="58" customHeight="1">
      <x:c r="A22" s="557" t="str">
        <x:v>七座+简化悬架</x:v>
      </x:c>
      <x:c r="B22" s="557" t="str">
        <x:v>保留第三排；简化空簧与CDC；Mid起计冰箱+音响</x:v>
      </x:c>
      <x:c r="C22" s="561" t="n">
        <x:f>SUMPRODUCT($C$6:$C$16,$G$6:$G$16)</x:f>
        <x:v>5600</x:v>
      </x:c>
      <x:c r="D22" s="561" t="n">
        <x:f>SUMPRODUCT($D$6:$D$16,$G$6:$G$16)</x:f>
        <x:v>8750</x:v>
      </x:c>
      <x:c r="E22" s="561" t="n">
        <x:f>SUMPRODUCT($E$6:$E$16,$G$6:$G$16)</x:f>
        <x:v>15250</x:v>
      </x:c>
      <x:c r="F22" s="561" t="n">
        <x:f>C22*(1+1.5%)</x:f>
        <x:v>5683.999999999999</x:v>
      </x:c>
      <x:c r="G22" s="561" t="n">
        <x:f>D22*(1+3.5%)</x:f>
        <x:v>9056.25</x:v>
      </x:c>
      <x:c r="H22" s="561" t="n">
        <x:f>E22*(1+7%)</x:f>
        <x:v>16317.500000000002</x:v>
      </x:c>
      <x:c r="I22" s="561" t="n">
        <x:f>ROUND(ROUND(F22,0)*1.0254,0)*1.13</x:f>
        <x:v>6585.639999999999</x:v>
      </x:c>
      <x:c r="J22" s="561" t="n">
        <x:f>ROUND(ROUND(G22,0)*1.0695,0)*1.13</x:f>
        <x:v>10944.05</x:v>
      </x:c>
      <x:c r="K22" s="561" t="n">
        <x:f>ROUND(ROUND(H22,0)*1.2207,0)*1.13</x:f>
        <x:v>22508.469999999998</x:v>
      </x:c>
      <x:c r="L22" s="557" t="str">
        <x:v>主情景：成本0.57/0.91/1.63万；含税传导0.66/1.09/2.25万</x:v>
      </x:c>
    </x:row>
    <x:row r="23" ht="58" customHeight="1">
      <x:c r="A23" s="19" t="str">
        <x:v>七座+保留空悬</x:v>
      </x:c>
      <x:c r="B23" s="19" t="str">
        <x:v>只在Mid/High计座舱舒适差异</x:v>
      </x:c>
      <x:c r="C23" s="414" t="n">
        <x:f>SUMPRODUCT($C$6:$C$16,$H$6:$H$16)</x:f>
        <x:v>0</x:v>
      </x:c>
      <x:c r="D23" s="414" t="n">
        <x:f>SUMPRODUCT($D$6:$D$16,$H$6:$H$16)</x:f>
        <x:v>1250</x:v>
      </x:c>
      <x:c r="E23" s="414" t="n">
        <x:f>SUMPRODUCT($E$6:$E$16,$H$6:$H$16)</x:f>
        <x:v>5750</x:v>
      </x:c>
      <x:c r="F23" s="414" t="n">
        <x:f>C23*(1+1.5%)</x:f>
        <x:v>0</x:v>
      </x:c>
      <x:c r="G23" s="414" t="n">
        <x:f>D23*(1+3.5%)</x:f>
        <x:v>1293.75</x:v>
      </x:c>
      <x:c r="H23" s="414" t="n">
        <x:f>E23*(1+7%)</x:f>
        <x:v>6152.5</x:v>
      </x:c>
      <x:c r="I23" s="414" t="n">
        <x:f>ROUND(ROUND(F23,0)*1.0254,0)*1.13</x:f>
        <x:v>0</x:v>
      </x:c>
      <x:c r="J23" s="414" t="n">
        <x:f>ROUND(ROUND(G23,0)*1.0695,0)*1.13</x:f>
        <x:v>1563.9199999999998</x:v>
      </x:c>
      <x:c r="K23" s="414" t="n">
        <x:f>ROUND(ROUND(H23,0)*1.2207,0)*1.13</x:f>
        <x:v>8487.429999999998</x:v>
      </x:c>
      <x:c r="L23" s="19" t="str">
        <x:v>成本0/0.13/0.62万；含税传导0/0.16/0.85万</x:v>
      </x:c>
    </x:row>
    <x:row r="26" ht="24" customHeight="1">
      <x:c r="A26" s="560" t="str">
        <x:v>标准版形态混合中枢（条件于标准版出现）</x:v>
      </x:c>
      <x:c r="B26" s="560"/>
      <x:c r="C26" s="560"/>
      <x:c r="D26" s="560"/>
      <x:c r="E26" s="560"/>
      <x:c r="F26" s="560"/>
      <x:c r="G26" s="560"/>
      <x:c r="H26" s="560"/>
      <x:c r="I26" s="560"/>
      <x:c r="J26" s="560"/>
      <x:c r="K26" s="560"/>
      <x:c r="L26" s="560"/>
    </x:row>
    <x:row r="27" ht="48" customHeight="1">
      <x:c r="A27" s="556" t="str">
        <x:v>形态</x:v>
      </x:c>
      <x:c r="B27" s="556" t="str">
        <x:v>工作权重</x:v>
      </x:c>
      <x:c r="C27" s="556" t="str">
        <x:v>含覆盖成本Mid</x:v>
      </x:c>
      <x:c r="D27" s="556" t="str">
        <x:v>成本驱动含税价差Mid</x:v>
      </x:c>
      <x:c r="E27" s="556" t="str">
        <x:v>用途</x:v>
      </x:c>
      <x:c r="F27" s="556" t="str">
        <x:v>限制</x:v>
      </x:c>
    </x:row>
    <x:row r="28" ht="50" customHeight="1">
      <x:c r="A28" s="19" t="str">
        <x:v>五座+简化悬架</x:v>
      </x:c>
      <x:c r="B28" s="23" t="n">
        <x:v>0.35</x:v>
      </x:c>
      <x:c r="C28" s="414" t="n">
        <x:f>G21</x:f>
        <x:v>12057.749999999998</x:v>
      </x:c>
      <x:c r="D28" s="414" t="n">
        <x:f>J21</x:f>
        <x:v>14572.479999999998</x:v>
      </x:c>
      <x:c r="E28" s="19" t="str">
        <x:v>重要备选形态</x:v>
      </x:c>
      <x:c r="F28" s="19" t="str">
        <x:v>MIIT五座只是商业线索</x:v>
      </x:c>
    </x:row>
    <x:row r="29" ht="50" customHeight="1">
      <x:c r="A29" s="557" t="str">
        <x:v>七座+简化悬架</x:v>
      </x:c>
      <x:c r="B29" s="562" t="n">
        <x:v>0.5</x:v>
      </x:c>
      <x:c r="C29" s="561" t="n">
        <x:f>G22</x:f>
        <x:v>9056.25</x:v>
      </x:c>
      <x:c r="D29" s="561" t="n">
        <x:f>J22</x:f>
        <x:v>10944.05</x:v>
      </x:c>
      <x:c r="E29" s="557" t="str">
        <x:v>主情景</x:v>
      </x:c>
      <x:c r="F29" s="557" t="str">
        <x:v>大型家用SUV保留七座，底盘与舒适分层</x:v>
      </x:c>
    </x:row>
    <x:row r="30" ht="50" customHeight="1">
      <x:c r="A30" s="19" t="str">
        <x:v>七座+保留空悬</x:v>
      </x:c>
      <x:c r="B30" s="23" t="n">
        <x:v>0.15</x:v>
      </x:c>
      <x:c r="C30" s="414" t="n">
        <x:f>G23</x:f>
        <x:v>1293.75</x:v>
      </x:c>
      <x:c r="D30" s="414" t="n">
        <x:f>J23</x:f>
        <x:v>1563.9199999999998</x:v>
      </x:c>
      <x:c r="E30" s="19" t="str">
        <x:v>保守减配</x:v>
      </x:c>
      <x:c r="F30" s="19" t="str">
        <x:v>经济分层较弱，需更多已确认舒适减项</x:v>
      </x:c>
    </x:row>
    <x:row r="32" ht="44" customHeight="1">
      <x:c r="A32" s="556" t="str">
        <x:v>指标</x:v>
      </x:c>
      <x:c r="B32" s="556" t="str">
        <x:v>结果</x:v>
      </x:c>
      <x:c r="C32" s="556" t="str">
        <x:v>Expected/解释</x:v>
      </x:c>
      <x:c r="D32" s="556" t="str"/>
      <x:c r="E32" s="556" t="str"/>
      <x:c r="F32" s="556" t="str"/>
    </x:row>
    <x:row r="33" ht="48" customHeight="1">
      <x:c r="A33" s="19" t="str">
        <x:v>形态权重合计</x:v>
      </x:c>
      <x:c r="B33" s="23" t="n">
        <x:f>SUM(B28:B30)</x:f>
        <x:v>1</x:v>
      </x:c>
      <x:c r="C33" s="19" t="str">
        <x:v>100%</x:v>
      </x:c>
      <x:c r="D33" s="19" t="str"/>
      <x:c r="E33" s="19" t="str"/>
      <x:c r="F33" s="19" t="str"/>
    </x:row>
    <x:row r="34" ht="48" customHeight="1">
      <x:c r="A34" s="557" t="str">
        <x:v>加权成本差中值</x:v>
      </x:c>
      <x:c r="B34" s="561" t="n">
        <x:f>SUMPRODUCT(B28:B30,C28:C30)</x:f>
        <x:v>8942.399999999998</x:v>
      </x:c>
      <x:c r="C34" s="557" t="str">
        <x:v>约0.89万元未税含覆盖</x:v>
      </x:c>
      <x:c r="D34" s="557" t="str"/>
      <x:c r="E34" s="557" t="str"/>
      <x:c r="F34" s="557" t="str"/>
    </x:row>
    <x:row r="35" ht="48" customHeight="1">
      <x:c r="A35" s="19" t="str">
        <x:v>加权成本驱动含税价差</x:v>
      </x:c>
      <x:c r="B35" s="414" t="n">
        <x:f>SUMPRODUCT(B28:B30,D28:D30)</x:f>
        <x:v>10806.980999999998</x:v>
      </x:c>
      <x:c r="C35" s="19" t="str">
        <x:v>约1.08万元；商业价格梯度可为2—4万元</x:v>
      </x:c>
      <x:c r="D35" s="19" t="str"/>
      <x:c r="E35" s="19" t="str"/>
      <x:c r="F35" s="19" t="str"/>
    </x:row>
  </x:sheetData>
  <x:mergeCells>
    <x:mergeCell ref="A1:L1"/>
    <x:mergeCell ref="A2:L2"/>
    <x:mergeCell ref="A3:L3"/>
    <x:mergeCell ref="A19:L19"/>
    <x:mergeCell ref="A26:L26"/>
  </x:mergeCells>
  <x:conditionalFormatting sqref="J6:J16">
    <x:cfRule type="containsText" dxfId="2677" priority="1" operator="containsText" text="PASS"/>
    <x:cfRule type="containsText" dxfId="2678" priority="2" operator="containsText" text="READY"/>
    <x:cfRule type="containsText" dxfId="2679" priority="3" operator="containsText" text="CONFIRMED"/>
    <x:cfRule type="containsText" dxfId="2680" priority="4" operator="containsText" text="OFFICIAL"/>
    <x:cfRule type="containsText" dxfId="2681" priority="5" operator="containsText" text="MODE"/>
    <x:cfRule type="containsText" dxfId="2682" priority="6" operator="containsText" text="YES"/>
    <x:cfRule type="containsText" dxfId="2683" priority="7" operator="containsText" text="PREDICTED"/>
    <x:cfRule type="containsText" dxfId="2684" priority="8" operator="containsText" text="CONDITIONAL"/>
    <x:cfRule type="containsText" dxfId="2685" priority="9" operator="containsText" text="WATCHLIST"/>
    <x:cfRule type="containsText" dxfId="2686" priority="10" operator="containsText" text="MEDIUM"/>
    <x:cfRule type="containsText" dxfId="2687" priority="11" operator="containsText" text="LOW"/>
    <x:cfRule type="containsText" dxfId="2688" priority="12" operator="containsText" text="SEPARATE"/>
    <x:cfRule type="containsText" dxfId="2689" priority="13" operator="containsText" text="EXCLUDED"/>
    <x:cfRule type="containsText" dxfId="2690" priority="14" operator="containsText" text="NO"/>
    <x:cfRule type="containsText" dxfId="2691" priority="15" operator="containsText" text="BLOCKED"/>
    <x:cfRule type="containsText" dxfId="2692" priority="16" operator="containsText" text="FAIL"/>
    <x:cfRule type="containsText" dxfId="2693" priority="17" operator="containsText" text="SUPERSEDED"/>
  </x:conditionalFormatting>
  <x:pageMargins left="0.7" right="0.7" top="0.75" bottom="0.75" header="0.3" footer="0.3"/>
</x:worksheet>
</file>

<file path=xl/worksheets/sheet10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25" hidden="0" customWidth="1"/>
    <x:col min="3" max="3" width="18" hidden="0" customWidth="1"/>
    <x:col min="4" max="4" width="18" hidden="0" customWidth="1"/>
    <x:col min="5" max="5" width="20" hidden="0" customWidth="1"/>
    <x:col min="6" max="6" width="18" hidden="0" customWidth="1"/>
    <x:col min="7" max="7" width="19" hidden="0" customWidth="1"/>
    <x:col min="8" max="8" width="19" hidden="0" customWidth="1"/>
    <x:col min="9" max="9" width="18" hidden="0" customWidth="1"/>
    <x:col min="10" max="10" width="22" hidden="0" customWidth="1"/>
    <x:col min="11" max="11" width="19" hidden="0" customWidth="1"/>
    <x:col min="12" max="12" width="20" hidden="0" customWidth="1"/>
    <x:col min="13" max="13" width="20" hidden="0" customWidth="1"/>
    <x:col min="14" max="14" width="16" hidden="0" customWidth="1"/>
    <x:col min="15" max="15" width="14" hidden="0" customWidth="1"/>
    <x:col min="16" max="16" width="17" hidden="0" customWidth="1"/>
    <x:col min="17" max="17" width="20" hidden="0" customWidth="1"/>
    <x:col min="18" max="18" width="40" hidden="0" customWidth="1"/>
    <x:col min="19" max="19" width="22" hidden="0" customWidth="1"/>
    <x:col min="20" max="20" width="25" hidden="0" customWidth="1"/>
  </x:cols>
  <x:sheetData>
    <x:row r="1" ht="30" customHeight="1">
      <x:c r="A1" s="544" t="str">
        <x:v>106｜N90固定顶版本树 × Max正式价的联合定价</x:v>
      </x:c>
      <x:c r="B1" s="544"/>
      <x:c r="C1" s="544"/>
      <x:c r="D1" s="544"/>
      <x:c r="E1" s="544"/>
      <x:c r="F1" s="544"/>
      <x:c r="G1" s="544"/>
      <x:c r="H1" s="544"/>
      <x:c r="I1" s="544"/>
      <x:c r="J1" s="544"/>
      <x:c r="K1" s="544"/>
      <x:c r="L1" s="544"/>
      <x:c r="M1" s="544"/>
      <x:c r="N1" s="544"/>
      <x:c r="O1" s="544"/>
      <x:c r="P1" s="544"/>
      <x:c r="Q1" s="544"/>
      <x:c r="R1" s="544"/>
      <x:c r="S1" s="544"/>
      <x:c r="T1" s="544"/>
    </x:row>
    <x:row r="2" ht="22" customHeight="1">
      <x:c r="A2" s="547" t="str">
        <x:v>4个互斥阵容分支 × 6个Max价格点＝24个联合情景｜先判断上哪些版本，再判断各版本卖多少钱</x:v>
      </x:c>
      <x:c r="B2" s="547"/>
      <x:c r="C2" s="547"/>
      <x:c r="D2" s="547"/>
      <x:c r="E2" s="547"/>
      <x:c r="F2" s="547"/>
      <x:c r="G2" s="547"/>
      <x:c r="H2" s="547"/>
      <x:c r="I2" s="547"/>
      <x:c r="J2" s="547"/>
      <x:c r="K2" s="547"/>
      <x:c r="L2" s="547"/>
      <x:c r="M2" s="547"/>
      <x:c r="N2" s="547"/>
      <x:c r="O2" s="547"/>
      <x:c r="P2" s="547"/>
      <x:c r="Q2" s="547"/>
      <x:c r="R2" s="547"/>
      <x:c r="S2" s="547"/>
      <x:c r="T2" s="547"/>
    </x:row>
    <x:row r="3" ht="82" customHeight="1">
      <x:c r="A3" s="551" t="str">
        <x:v>结构权重与条件价格分布均为可审计的决策权重。仅Max时，Max深降承担车系竞争力；一旦标准版/Pro出现，低价SKU负责降低起售价，Max的合理中枢上移。升顶特殊版只给条件价格，不参与固定顶阵容权重。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  <x:c r="M3" s="551"/>
      <x:c r="N3" s="551"/>
      <x:c r="O3" s="551"/>
      <x:c r="P3" s="551"/>
      <x:c r="Q3" s="551"/>
      <x:c r="R3" s="551"/>
      <x:c r="S3" s="551"/>
      <x:c r="T3" s="551"/>
    </x:row>
    <x:row r="5" ht="62" customHeight="1">
      <x:c r="A5" s="556" t="str">
        <x:v>scenario_id</x:v>
      </x:c>
      <x:c r="B5" s="556" t="str">
        <x:v>固定顶阵容</x:v>
      </x:c>
      <x:c r="C5" s="556" t="str">
        <x:v>Max价格点</x:v>
      </x:c>
      <x:c r="D5" s="556" t="str">
        <x:v>阵容权重</x:v>
      </x:c>
      <x:c r="E5" s="556" t="str">
        <x:v>阵容内条件权重</x:v>
      </x:c>
      <x:c r="F5" s="556" t="str">
        <x:v>联合权重</x:v>
      </x:c>
      <x:c r="G5" s="556" t="str">
        <x:v>N90标准版</x:v>
      </x:c>
      <x:c r="H5" s="556" t="str">
        <x:v>N90 Pro</x:v>
      </x:c>
      <x:c r="I5" s="556" t="str">
        <x:v>N90 Max</x:v>
      </x:c>
      <x:c r="J5" s="556" t="str">
        <x:v>Max较预售降幅</x:v>
      </x:c>
      <x:c r="K5" s="556" t="str">
        <x:v>升顶条件价</x:v>
      </x:c>
      <x:c r="L5" s="556" t="str">
        <x:v>标准→Max价差</x:v>
      </x:c>
      <x:c r="M5" s="556" t="str">
        <x:v>Pro→Max价差</x:v>
      </x:c>
      <x:c r="N5" s="556" t="str">
        <x:v>has_Standard</x:v>
      </x:c>
      <x:c r="O5" s="556" t="str">
        <x:v>has_Pro</x:v>
      </x:c>
      <x:c r="P5" s="556" t="str">
        <x:v>has_低价SKU</x:v>
      </x:c>
      <x:c r="Q5" s="556" t="str">
        <x:v>仅Max联合权重</x:v>
      </x:c>
      <x:c r="R5" s="556" t="str">
        <x:v>解释</x:v>
      </x:c>
      <x:c r="S5" s="556" t="str">
        <x:v>权重×Max价</x:v>
      </x:c>
      <x:c r="T5" s="556" t="str">
        <x:v>Max≤27.99联合权重</x:v>
      </x:c>
    </x:row>
    <x:row r="6" ht="48" customHeight="1">
      <x:c r="A6" s="19" t="str">
        <x:v>B0-P1</x:v>
      </x:c>
      <x:c r="B6" s="19" t="str">
        <x:v>仅Max</x:v>
      </x:c>
      <x:c r="C6" s="414" t="n">
        <x:v>299900</x:v>
      </x:c>
      <x:c r="D6" s="23" t="n">
        <x:f>INDEX('103_N90版本树'!$B$14:$B$17,MATCH(B6,'103_N90版本树'!$A$14:$A$17,0))</x:f>
        <x:v>0.6</x:v>
      </x:c>
      <x:c r="E6" s="528" t="n">
        <x:v>0.01</x:v>
      </x:c>
      <x:c r="F6" s="23" t="n">
        <x:f>D6*E6</x:f>
        <x:v>0.006</x:v>
      </x:c>
      <x:c r="G6" s="414" t="str">
        <x:f>IF(OR(B6="Standard+Max",B6="Standard+Pro+Max"),IF(C6&gt;=289900,259900,249900),"")</x:f>
      </x:c>
      <x:c r="H6" s="414" t="str">
        <x:f>IF(B6="Pro+Max",IF(C6&gt;=289900,269900,259900),IF(B6="Standard+Pro+Max",IF(C6&gt;=289900,279900,IF(C6&gt;=269900,259900,249900)),""))</x:f>
      </x:c>
      <x:c r="I6" s="414" t="n">
        <x:f>C6</x:f>
        <x:v>299900</x:v>
      </x:c>
      <x:c r="J6" s="414" t="n">
        <x:f>299900-I6</x:f>
        <x:v>0</x:v>
      </x:c>
      <x:c r="K6" s="414" t="n">
        <x:f>MAX(I6+20000,299900)</x:f>
        <x:v>319900</x:v>
      </x:c>
      <x:c r="L6" s="414" t="str">
        <x:f>IF(G6="","",I6-G6)</x:f>
      </x:c>
      <x:c r="M6" s="414" t="str">
        <x:f>IF(H6="","",I6-H6)</x:f>
      </x:c>
      <x:c r="N6" s="19" t="n">
        <x:f>IF(G6="",0,1)</x:f>
        <x:v>0</x:v>
      </x:c>
      <x:c r="O6" s="19" t="n">
        <x:f>IF(H6="",0,1)</x:f>
        <x:v>0</x:v>
      </x:c>
      <x:c r="P6" s="19" t="n">
        <x:f>IF(OR(N6=1,O6=1),1,0)</x:f>
        <x:v>0</x:v>
      </x:c>
      <x:c r="Q6" s="23" t="n">
        <x:f>IF(B6="仅Max",F6,0)</x:f>
        <x:v>0.006</x:v>
      </x:c>
      <x:c r="R6" s="19" t="str">
        <x:v>没有低价SKU，Max承担现金降价</x:v>
      </x:c>
      <x:c r="S6" s="414" t="n">
        <x:f>I6*F6</x:f>
        <x:v>1799.4</x:v>
      </x:c>
      <x:c r="T6" s="23" t="n">
        <x:f>IF(I6&lt;=279900,F6,0)</x:f>
        <x:v>0</x:v>
      </x:c>
    </x:row>
    <x:row r="7" ht="48" customHeight="1">
      <x:c r="A7" s="557" t="str">
        <x:v>B0-P2</x:v>
      </x:c>
      <x:c r="B7" s="557" t="str">
        <x:v>仅Max</x:v>
      </x:c>
      <x:c r="C7" s="561" t="n">
        <x:v>293900</x:v>
      </x:c>
      <x:c r="D7" s="562" t="n">
        <x:f>INDEX('103_N90版本树'!$B$14:$B$17,MATCH(B7,'103_N90版本树'!$A$14:$A$17,0))</x:f>
        <x:v>0.6</x:v>
      </x:c>
      <x:c r="E7" s="564" t="n">
        <x:v>0.02</x:v>
      </x:c>
      <x:c r="F7" s="562" t="n">
        <x:f>D7*E7</x:f>
        <x:v>0.012</x:v>
      </x:c>
      <x:c r="G7" s="561" t="str">
        <x:f>IF(OR(B7="Standard+Max",B7="Standard+Pro+Max"),IF(C7&gt;=289900,259900,249900),"")</x:f>
      </x:c>
      <x:c r="H7" s="561" t="str">
        <x:f>IF(B7="Pro+Max",IF(C7&gt;=289900,269900,259900),IF(B7="Standard+Pro+Max",IF(C7&gt;=289900,279900,IF(C7&gt;=269900,259900,249900)),""))</x:f>
      </x:c>
      <x:c r="I7" s="561" t="n">
        <x:f>C7</x:f>
        <x:v>293900</x:v>
      </x:c>
      <x:c r="J7" s="561" t="n">
        <x:f>299900-I7</x:f>
        <x:v>6000</x:v>
      </x:c>
      <x:c r="K7" s="561" t="n">
        <x:f>MAX(I7+20000,299900)</x:f>
        <x:v>313900</x:v>
      </x:c>
      <x:c r="L7" s="561" t="str">
        <x:f>IF(G7="","",I7-G7)</x:f>
      </x:c>
      <x:c r="M7" s="561" t="str">
        <x:f>IF(H7="","",I7-H7)</x:f>
      </x:c>
      <x:c r="N7" s="557" t="n">
        <x:f>IF(G7="",0,1)</x:f>
        <x:v>0</x:v>
      </x:c>
      <x:c r="O7" s="557" t="n">
        <x:f>IF(H7="",0,1)</x:f>
        <x:v>0</x:v>
      </x:c>
      <x:c r="P7" s="557" t="n">
        <x:f>IF(OR(N7=1,O7=1),1,0)</x:f>
        <x:v>0</x:v>
      </x:c>
      <x:c r="Q7" s="562" t="n">
        <x:f>IF(B7="仅Max",F7,0)</x:f>
        <x:v>0.012</x:v>
      </x:c>
      <x:c r="R7" s="557" t="str">
        <x:v>没有低价SKU，Max承担现金降价</x:v>
      </x:c>
      <x:c r="S7" s="561" t="n">
        <x:f>I7*F7</x:f>
        <x:v>3526.8</x:v>
      </x:c>
      <x:c r="T7" s="562" t="n">
        <x:f>IF(I7&lt;=279900,F7,0)</x:f>
        <x:v>0</x:v>
      </x:c>
    </x:row>
    <x:row r="8" ht="48" customHeight="1">
      <x:c r="A8" s="19" t="str">
        <x:v>B0-P3</x:v>
      </x:c>
      <x:c r="B8" s="19" t="str">
        <x:v>仅Max</x:v>
      </x:c>
      <x:c r="C8" s="414" t="n">
        <x:v>289900</x:v>
      </x:c>
      <x:c r="D8" s="23" t="n">
        <x:f>INDEX('103_N90版本树'!$B$14:$B$17,MATCH(B8,'103_N90版本树'!$A$14:$A$17,0))</x:f>
        <x:v>0.6</x:v>
      </x:c>
      <x:c r="E8" s="528" t="n">
        <x:v>0.02</x:v>
      </x:c>
      <x:c r="F8" s="23" t="n">
        <x:f>D8*E8</x:f>
        <x:v>0.012</x:v>
      </x:c>
      <x:c r="G8" s="414" t="str">
        <x:f>IF(OR(B8="Standard+Max",B8="Standard+Pro+Max"),IF(C8&gt;=289900,259900,249900),"")</x:f>
      </x:c>
      <x:c r="H8" s="414" t="str">
        <x:f>IF(B8="Pro+Max",IF(C8&gt;=289900,269900,259900),IF(B8="Standard+Pro+Max",IF(C8&gt;=289900,279900,IF(C8&gt;=269900,259900,249900)),""))</x:f>
      </x:c>
      <x:c r="I8" s="414" t="n">
        <x:f>C8</x:f>
        <x:v>289900</x:v>
      </x:c>
      <x:c r="J8" s="414" t="n">
        <x:f>299900-I8</x:f>
        <x:v>10000</x:v>
      </x:c>
      <x:c r="K8" s="414" t="n">
        <x:f>MAX(I8+20000,299900)</x:f>
        <x:v>309900</x:v>
      </x:c>
      <x:c r="L8" s="414" t="str">
        <x:f>IF(G8="","",I8-G8)</x:f>
      </x:c>
      <x:c r="M8" s="414" t="str">
        <x:f>IF(H8="","",I8-H8)</x:f>
      </x:c>
      <x:c r="N8" s="19" t="n">
        <x:f>IF(G8="",0,1)</x:f>
        <x:v>0</x:v>
      </x:c>
      <x:c r="O8" s="19" t="n">
        <x:f>IF(H8="",0,1)</x:f>
        <x:v>0</x:v>
      </x:c>
      <x:c r="P8" s="19" t="n">
        <x:f>IF(OR(N8=1,O8=1),1,0)</x:f>
        <x:v>0</x:v>
      </x:c>
      <x:c r="Q8" s="23" t="n">
        <x:f>IF(B8="仅Max",F8,0)</x:f>
        <x:v>0.012</x:v>
      </x:c>
      <x:c r="R8" s="19" t="str">
        <x:v>没有低价SKU，Max承担现金降价</x:v>
      </x:c>
      <x:c r="S8" s="414" t="n">
        <x:f>I8*F8</x:f>
        <x:v>3478.8</x:v>
      </x:c>
      <x:c r="T8" s="23" t="n">
        <x:f>IF(I8&lt;=279900,F8,0)</x:f>
        <x:v>0</x:v>
      </x:c>
    </x:row>
    <x:row r="9" ht="48" customHeight="1">
      <x:c r="A9" s="557" t="str">
        <x:v>B0-P4</x:v>
      </x:c>
      <x:c r="B9" s="557" t="str">
        <x:v>仅Max</x:v>
      </x:c>
      <x:c r="C9" s="561" t="n">
        <x:v>279900</x:v>
      </x:c>
      <x:c r="D9" s="562" t="n">
        <x:f>INDEX('103_N90版本树'!$B$14:$B$17,MATCH(B9,'103_N90版本树'!$A$14:$A$17,0))</x:f>
        <x:v>0.6</x:v>
      </x:c>
      <x:c r="E9" s="564" t="n">
        <x:v>0.7</x:v>
      </x:c>
      <x:c r="F9" s="562" t="n">
        <x:f>D9*E9</x:f>
        <x:v>0.42</x:v>
      </x:c>
      <x:c r="G9" s="561" t="str">
        <x:f>IF(OR(B9="Standard+Max",B9="Standard+Pro+Max"),IF(C9&gt;=289900,259900,249900),"")</x:f>
      </x:c>
      <x:c r="H9" s="561" t="str">
        <x:f>IF(B9="Pro+Max",IF(C9&gt;=289900,269900,259900),IF(B9="Standard+Pro+Max",IF(C9&gt;=289900,279900,IF(C9&gt;=269900,259900,249900)),""))</x:f>
      </x:c>
      <x:c r="I9" s="561" t="n">
        <x:f>C9</x:f>
        <x:v>279900</x:v>
      </x:c>
      <x:c r="J9" s="561" t="n">
        <x:f>299900-I9</x:f>
        <x:v>20000</x:v>
      </x:c>
      <x:c r="K9" s="561" t="n">
        <x:f>MAX(I9+20000,299900)</x:f>
        <x:v>299900</x:v>
      </x:c>
      <x:c r="L9" s="561" t="str">
        <x:f>IF(G9="","",I9-G9)</x:f>
      </x:c>
      <x:c r="M9" s="561" t="str">
        <x:f>IF(H9="","",I9-H9)</x:f>
      </x:c>
      <x:c r="N9" s="557" t="n">
        <x:f>IF(G9="",0,1)</x:f>
        <x:v>0</x:v>
      </x:c>
      <x:c r="O9" s="557" t="n">
        <x:f>IF(H9="",0,1)</x:f>
        <x:v>0</x:v>
      </x:c>
      <x:c r="P9" s="557" t="n">
        <x:f>IF(OR(N9=1,O9=1),1,0)</x:f>
        <x:v>0</x:v>
      </x:c>
      <x:c r="Q9" s="562" t="n">
        <x:f>IF(B9="仅Max",F9,0)</x:f>
        <x:v>0.42</x:v>
      </x:c>
      <x:c r="R9" s="557" t="str">
        <x:v>没有低价SKU，Max承担现金降价</x:v>
      </x:c>
      <x:c r="S9" s="561" t="n">
        <x:f>I9*F9</x:f>
        <x:v>117558</x:v>
      </x:c>
      <x:c r="T9" s="562" t="n">
        <x:f>IF(I9&lt;=279900,F9,0)</x:f>
        <x:v>0.42</x:v>
      </x:c>
    </x:row>
    <x:row r="10" ht="48" customHeight="1">
      <x:c r="A10" s="19" t="str">
        <x:v>B0-P5</x:v>
      </x:c>
      <x:c r="B10" s="19" t="str">
        <x:v>仅Max</x:v>
      </x:c>
      <x:c r="C10" s="414" t="n">
        <x:v>269900</x:v>
      </x:c>
      <x:c r="D10" s="23" t="n">
        <x:f>INDEX('103_N90版本树'!$B$14:$B$17,MATCH(B10,'103_N90版本树'!$A$14:$A$17,0))</x:f>
        <x:v>0.6</x:v>
      </x:c>
      <x:c r="E10" s="528" t="n">
        <x:v>0.2</x:v>
      </x:c>
      <x:c r="F10" s="23" t="n">
        <x:f>D10*E10</x:f>
        <x:v>0.12</x:v>
      </x:c>
      <x:c r="G10" s="414" t="str">
        <x:f>IF(OR(B10="Standard+Max",B10="Standard+Pro+Max"),IF(C10&gt;=289900,259900,249900),"")</x:f>
      </x:c>
      <x:c r="H10" s="414" t="str">
        <x:f>IF(B10="Pro+Max",IF(C10&gt;=289900,269900,259900),IF(B10="Standard+Pro+Max",IF(C10&gt;=289900,279900,IF(C10&gt;=269900,259900,249900)),""))</x:f>
      </x:c>
      <x:c r="I10" s="414" t="n">
        <x:f>C10</x:f>
        <x:v>269900</x:v>
      </x:c>
      <x:c r="J10" s="414" t="n">
        <x:f>299900-I10</x:f>
        <x:v>30000</x:v>
      </x:c>
      <x:c r="K10" s="414" t="n">
        <x:f>MAX(I10+20000,299900)</x:f>
        <x:v>299900</x:v>
      </x:c>
      <x:c r="L10" s="414" t="str">
        <x:f>IF(G10="","",I10-G10)</x:f>
      </x:c>
      <x:c r="M10" s="414" t="str">
        <x:f>IF(H10="","",I10-H10)</x:f>
      </x:c>
      <x:c r="N10" s="19" t="n">
        <x:f>IF(G10="",0,1)</x:f>
        <x:v>0</x:v>
      </x:c>
      <x:c r="O10" s="19" t="n">
        <x:f>IF(H10="",0,1)</x:f>
        <x:v>0</x:v>
      </x:c>
      <x:c r="P10" s="19" t="n">
        <x:f>IF(OR(N10=1,O10=1),1,0)</x:f>
        <x:v>0</x:v>
      </x:c>
      <x:c r="Q10" s="23" t="n">
        <x:f>IF(B10="仅Max",F10,0)</x:f>
        <x:v>0.12</x:v>
      </x:c>
      <x:c r="R10" s="19" t="str">
        <x:v>没有低价SKU，Max承担现金降价</x:v>
      </x:c>
      <x:c r="S10" s="414" t="n">
        <x:f>I10*F10</x:f>
        <x:v>32388</x:v>
      </x:c>
      <x:c r="T10" s="23" t="n">
        <x:f>IF(I10&lt;=279900,F10,0)</x:f>
        <x:v>0.12</x:v>
      </x:c>
    </x:row>
    <x:row r="11" ht="48" customHeight="1">
      <x:c r="A11" s="557" t="str">
        <x:v>B0-P6</x:v>
      </x:c>
      <x:c r="B11" s="557" t="str">
        <x:v>仅Max</x:v>
      </x:c>
      <x:c r="C11" s="561" t="n">
        <x:v>259900</x:v>
      </x:c>
      <x:c r="D11" s="562" t="n">
        <x:f>INDEX('103_N90版本树'!$B$14:$B$17,MATCH(B11,'103_N90版本树'!$A$14:$A$17,0))</x:f>
        <x:v>0.6</x:v>
      </x:c>
      <x:c r="E11" s="564" t="n">
        <x:v>0.05</x:v>
      </x:c>
      <x:c r="F11" s="562" t="n">
        <x:f>D11*E11</x:f>
        <x:v>0.03</x:v>
      </x:c>
      <x:c r="G11" s="561" t="str">
        <x:f>IF(OR(B11="Standard+Max",B11="Standard+Pro+Max"),IF(C11&gt;=289900,259900,249900),"")</x:f>
      </x:c>
      <x:c r="H11" s="561" t="str">
        <x:f>IF(B11="Pro+Max",IF(C11&gt;=289900,269900,259900),IF(B11="Standard+Pro+Max",IF(C11&gt;=289900,279900,IF(C11&gt;=269900,259900,249900)),""))</x:f>
      </x:c>
      <x:c r="I11" s="561" t="n">
        <x:f>C11</x:f>
        <x:v>259900</x:v>
      </x:c>
      <x:c r="J11" s="561" t="n">
        <x:f>299900-I11</x:f>
        <x:v>40000</x:v>
      </x:c>
      <x:c r="K11" s="561" t="n">
        <x:f>MAX(I11+20000,299900)</x:f>
        <x:v>299900</x:v>
      </x:c>
      <x:c r="L11" s="561" t="str">
        <x:f>IF(G11="","",I11-G11)</x:f>
      </x:c>
      <x:c r="M11" s="561" t="str">
        <x:f>IF(H11="","",I11-H11)</x:f>
      </x:c>
      <x:c r="N11" s="557" t="n">
        <x:f>IF(G11="",0,1)</x:f>
        <x:v>0</x:v>
      </x:c>
      <x:c r="O11" s="557" t="n">
        <x:f>IF(H11="",0,1)</x:f>
        <x:v>0</x:v>
      </x:c>
      <x:c r="P11" s="557" t="n">
        <x:f>IF(OR(N11=1,O11=1),1,0)</x:f>
        <x:v>0</x:v>
      </x:c>
      <x:c r="Q11" s="562" t="n">
        <x:f>IF(B11="仅Max",F11,0)</x:f>
        <x:v>0.03</x:v>
      </x:c>
      <x:c r="R11" s="557" t="str">
        <x:v>没有低价SKU，Max承担现金降价</x:v>
      </x:c>
      <x:c r="S11" s="561" t="n">
        <x:f>I11*F11</x:f>
        <x:v>7797</x:v>
      </x:c>
      <x:c r="T11" s="562" t="n">
        <x:f>IF(I11&lt;=279900,F11,0)</x:f>
        <x:v>0.03</x:v>
      </x:c>
    </x:row>
    <x:row r="12" ht="48" customHeight="1">
      <x:c r="A12" s="19" t="str">
        <x:v>B1-P1</x:v>
      </x:c>
      <x:c r="B12" s="19" t="str">
        <x:v>Standard+Max</x:v>
      </x:c>
      <x:c r="C12" s="414" t="n">
        <x:v>299900</x:v>
      </x:c>
      <x:c r="D12" s="23" t="n">
        <x:f>INDEX('103_N90版本树'!$B$14:$B$17,MATCH(B12,'103_N90版本树'!$A$14:$A$17,0))</x:f>
        <x:v>0.25</x:v>
      </x:c>
      <x:c r="E12" s="528" t="n">
        <x:v>0.15</x:v>
      </x:c>
      <x:c r="F12" s="23" t="n">
        <x:f>D12*E12</x:f>
        <x:v>0.0375</x:v>
      </x:c>
      <x:c r="G12" s="414" t="n">
        <x:f>IF(OR(B12="Standard+Max",B12="Standard+Pro+Max"),IF(C12&gt;=289900,259900,249900),"")</x:f>
        <x:v>259900</x:v>
      </x:c>
      <x:c r="H12" s="414" t="str">
        <x:f>IF(B12="Pro+Max",IF(C12&gt;=289900,269900,259900),IF(B12="Standard+Pro+Max",IF(C12&gt;=289900,279900,IF(C12&gt;=269900,259900,249900)),""))</x:f>
      </x:c>
      <x:c r="I12" s="414" t="n">
        <x:f>C12</x:f>
        <x:v>299900</x:v>
      </x:c>
      <x:c r="J12" s="414" t="n">
        <x:f>299900-I12</x:f>
        <x:v>0</x:v>
      </x:c>
      <x:c r="K12" s="414" t="n">
        <x:f>MAX(I12+20000,299900)</x:f>
        <x:v>319900</x:v>
      </x:c>
      <x:c r="L12" s="414" t="n">
        <x:f>IF(G12="","",I12-G12)</x:f>
        <x:v>40000</x:v>
      </x:c>
      <x:c r="M12" s="414" t="str">
        <x:f>IF(H12="","",I12-H12)</x:f>
      </x:c>
      <x:c r="N12" s="19" t="n">
        <x:f>IF(G12="",0,1)</x:f>
        <x:v>1</x:v>
      </x:c>
      <x:c r="O12" s="19" t="n">
        <x:f>IF(H12="",0,1)</x:f>
        <x:v>0</x:v>
      </x:c>
      <x:c r="P12" s="19" t="n">
        <x:f>IF(OR(N12=1,O12=1),1,0)</x:f>
        <x:v>1</x:v>
      </x:c>
      <x:c r="Q12" s="23" t="n">
        <x:f>IF(B12="仅Max",F12,0)</x:f>
        <x:v>0</x:v>
      </x:c>
      <x:c r="R12" s="19" t="str">
        <x:v>标准版承担起售价，Max中枢回到28.99</x:v>
      </x:c>
      <x:c r="S12" s="414" t="n">
        <x:f>I12*F12</x:f>
        <x:v>11246.25</x:v>
      </x:c>
      <x:c r="T12" s="23" t="n">
        <x:f>IF(I12&lt;=279900,F12,0)</x:f>
        <x:v>0</x:v>
      </x:c>
    </x:row>
    <x:row r="13" ht="48" customHeight="1">
      <x:c r="A13" s="557" t="str">
        <x:v>B1-P2</x:v>
      </x:c>
      <x:c r="B13" s="557" t="str">
        <x:v>Standard+Max</x:v>
      </x:c>
      <x:c r="C13" s="561" t="n">
        <x:v>293900</x:v>
      </x:c>
      <x:c r="D13" s="562" t="n">
        <x:f>INDEX('103_N90版本树'!$B$14:$B$17,MATCH(B13,'103_N90版本树'!$A$14:$A$17,0))</x:f>
        <x:v>0.25</x:v>
      </x:c>
      <x:c r="E13" s="564" t="n">
        <x:v>0.05</x:v>
      </x:c>
      <x:c r="F13" s="562" t="n">
        <x:f>D13*E13</x:f>
        <x:v>0.0125</x:v>
      </x:c>
      <x:c r="G13" s="561" t="n">
        <x:f>IF(OR(B13="Standard+Max",B13="Standard+Pro+Max"),IF(C13&gt;=289900,259900,249900),"")</x:f>
        <x:v>259900</x:v>
      </x:c>
      <x:c r="H13" s="561" t="str">
        <x:f>IF(B13="Pro+Max",IF(C13&gt;=289900,269900,259900),IF(B13="Standard+Pro+Max",IF(C13&gt;=289900,279900,IF(C13&gt;=269900,259900,249900)),""))</x:f>
      </x:c>
      <x:c r="I13" s="561" t="n">
        <x:f>C13</x:f>
        <x:v>293900</x:v>
      </x:c>
      <x:c r="J13" s="561" t="n">
        <x:f>299900-I13</x:f>
        <x:v>6000</x:v>
      </x:c>
      <x:c r="K13" s="561" t="n">
        <x:f>MAX(I13+20000,299900)</x:f>
        <x:v>313900</x:v>
      </x:c>
      <x:c r="L13" s="561" t="n">
        <x:f>IF(G13="","",I13-G13)</x:f>
        <x:v>34000</x:v>
      </x:c>
      <x:c r="M13" s="561" t="str">
        <x:f>IF(H13="","",I13-H13)</x:f>
      </x:c>
      <x:c r="N13" s="557" t="n">
        <x:f>IF(G13="",0,1)</x:f>
        <x:v>1</x:v>
      </x:c>
      <x:c r="O13" s="557" t="n">
        <x:f>IF(H13="",0,1)</x:f>
        <x:v>0</x:v>
      </x:c>
      <x:c r="P13" s="557" t="n">
        <x:f>IF(OR(N13=1,O13=1),1,0)</x:f>
        <x:v>1</x:v>
      </x:c>
      <x:c r="Q13" s="562" t="n">
        <x:f>IF(B13="仅Max",F13,0)</x:f>
        <x:v>0</x:v>
      </x:c>
      <x:c r="R13" s="557" t="str">
        <x:v>标准版承担起售价，Max中枢回到28.99</x:v>
      </x:c>
      <x:c r="S13" s="561" t="n">
        <x:f>I13*F13</x:f>
        <x:v>3673.75</x:v>
      </x:c>
      <x:c r="T13" s="562" t="n">
        <x:f>IF(I13&lt;=279900,F13,0)</x:f>
        <x:v>0</x:v>
      </x:c>
    </x:row>
    <x:row r="14" ht="48" customHeight="1">
      <x:c r="A14" s="19" t="str">
        <x:v>B1-P3</x:v>
      </x:c>
      <x:c r="B14" s="19" t="str">
        <x:v>Standard+Max</x:v>
      </x:c>
      <x:c r="C14" s="414" t="n">
        <x:v>289900</x:v>
      </x:c>
      <x:c r="D14" s="23" t="n">
        <x:f>INDEX('103_N90版本树'!$B$14:$B$17,MATCH(B14,'103_N90版本树'!$A$14:$A$17,0))</x:f>
        <x:v>0.25</x:v>
      </x:c>
      <x:c r="E14" s="528" t="n">
        <x:v>0.55</x:v>
      </x:c>
      <x:c r="F14" s="23" t="n">
        <x:f>D14*E14</x:f>
        <x:v>0.1375</x:v>
      </x:c>
      <x:c r="G14" s="414" t="n">
        <x:f>IF(OR(B14="Standard+Max",B14="Standard+Pro+Max"),IF(C14&gt;=289900,259900,249900),"")</x:f>
        <x:v>259900</x:v>
      </x:c>
      <x:c r="H14" s="414" t="str">
        <x:f>IF(B14="Pro+Max",IF(C14&gt;=289900,269900,259900),IF(B14="Standard+Pro+Max",IF(C14&gt;=289900,279900,IF(C14&gt;=269900,259900,249900)),""))</x:f>
      </x:c>
      <x:c r="I14" s="414" t="n">
        <x:f>C14</x:f>
        <x:v>289900</x:v>
      </x:c>
      <x:c r="J14" s="414" t="n">
        <x:f>299900-I14</x:f>
        <x:v>10000</x:v>
      </x:c>
      <x:c r="K14" s="414" t="n">
        <x:f>MAX(I14+20000,299900)</x:f>
        <x:v>309900</x:v>
      </x:c>
      <x:c r="L14" s="414" t="n">
        <x:f>IF(G14="","",I14-G14)</x:f>
        <x:v>30000</x:v>
      </x:c>
      <x:c r="M14" s="414" t="str">
        <x:f>IF(H14="","",I14-H14)</x:f>
      </x:c>
      <x:c r="N14" s="19" t="n">
        <x:f>IF(G14="",0,1)</x:f>
        <x:v>1</x:v>
      </x:c>
      <x:c r="O14" s="19" t="n">
        <x:f>IF(H14="",0,1)</x:f>
        <x:v>0</x:v>
      </x:c>
      <x:c r="P14" s="19" t="n">
        <x:f>IF(OR(N14=1,O14=1),1,0)</x:f>
        <x:v>1</x:v>
      </x:c>
      <x:c r="Q14" s="23" t="n">
        <x:f>IF(B14="仅Max",F14,0)</x:f>
        <x:v>0</x:v>
      </x:c>
      <x:c r="R14" s="19" t="str">
        <x:v>标准版承担起售价，Max中枢回到28.99</x:v>
      </x:c>
      <x:c r="S14" s="414" t="n">
        <x:f>I14*F14</x:f>
        <x:v>39861.25</x:v>
      </x:c>
      <x:c r="T14" s="23" t="n">
        <x:f>IF(I14&lt;=279900,F14,0)</x:f>
        <x:v>0</x:v>
      </x:c>
    </x:row>
    <x:row r="15" ht="48" customHeight="1">
      <x:c r="A15" s="557" t="str">
        <x:v>B1-P4</x:v>
      </x:c>
      <x:c r="B15" s="557" t="str">
        <x:v>Standard+Max</x:v>
      </x:c>
      <x:c r="C15" s="561" t="n">
        <x:v>279900</x:v>
      </x:c>
      <x:c r="D15" s="562" t="n">
        <x:f>INDEX('103_N90版本树'!$B$14:$B$17,MATCH(B15,'103_N90版本树'!$A$14:$A$17,0))</x:f>
        <x:v>0.25</x:v>
      </x:c>
      <x:c r="E15" s="564" t="n">
        <x:v>0.2</x:v>
      </x:c>
      <x:c r="F15" s="562" t="n">
        <x:f>D15*E15</x:f>
        <x:v>0.05</x:v>
      </x:c>
      <x:c r="G15" s="561" t="n">
        <x:f>IF(OR(B15="Standard+Max",B15="Standard+Pro+Max"),IF(C15&gt;=289900,259900,249900),"")</x:f>
        <x:v>249900</x:v>
      </x:c>
      <x:c r="H15" s="561" t="str">
        <x:f>IF(B15="Pro+Max",IF(C15&gt;=289900,269900,259900),IF(B15="Standard+Pro+Max",IF(C15&gt;=289900,279900,IF(C15&gt;=269900,259900,249900)),""))</x:f>
      </x:c>
      <x:c r="I15" s="561" t="n">
        <x:f>C15</x:f>
        <x:v>279900</x:v>
      </x:c>
      <x:c r="J15" s="561" t="n">
        <x:f>299900-I15</x:f>
        <x:v>20000</x:v>
      </x:c>
      <x:c r="K15" s="561" t="n">
        <x:f>MAX(I15+20000,299900)</x:f>
        <x:v>299900</x:v>
      </x:c>
      <x:c r="L15" s="561" t="n">
        <x:f>IF(G15="","",I15-G15)</x:f>
        <x:v>30000</x:v>
      </x:c>
      <x:c r="M15" s="561" t="str">
        <x:f>IF(H15="","",I15-H15)</x:f>
      </x:c>
      <x:c r="N15" s="557" t="n">
        <x:f>IF(G15="",0,1)</x:f>
        <x:v>1</x:v>
      </x:c>
      <x:c r="O15" s="557" t="n">
        <x:f>IF(H15="",0,1)</x:f>
        <x:v>0</x:v>
      </x:c>
      <x:c r="P15" s="557" t="n">
        <x:f>IF(OR(N15=1,O15=1),1,0)</x:f>
        <x:v>1</x:v>
      </x:c>
      <x:c r="Q15" s="562" t="n">
        <x:f>IF(B15="仅Max",F15,0)</x:f>
        <x:v>0</x:v>
      </x:c>
      <x:c r="R15" s="557" t="str">
        <x:v>标准版承担起售价，Max中枢回到28.99</x:v>
      </x:c>
      <x:c r="S15" s="561" t="n">
        <x:f>I15*F15</x:f>
        <x:v>13995</x:v>
      </x:c>
      <x:c r="T15" s="562" t="n">
        <x:f>IF(I15&lt;=279900,F15,0)</x:f>
        <x:v>0.05</x:v>
      </x:c>
    </x:row>
    <x:row r="16" ht="48" customHeight="1">
      <x:c r="A16" s="19" t="str">
        <x:v>B1-P5</x:v>
      </x:c>
      <x:c r="B16" s="19" t="str">
        <x:v>Standard+Max</x:v>
      </x:c>
      <x:c r="C16" s="414" t="n">
        <x:v>269900</x:v>
      </x:c>
      <x:c r="D16" s="23" t="n">
        <x:f>INDEX('103_N90版本树'!$B$14:$B$17,MATCH(B16,'103_N90版本树'!$A$14:$A$17,0))</x:f>
        <x:v>0.25</x:v>
      </x:c>
      <x:c r="E16" s="528" t="n">
        <x:v>0.05</x:v>
      </x:c>
      <x:c r="F16" s="23" t="n">
        <x:f>D16*E16</x:f>
        <x:v>0.0125</x:v>
      </x:c>
      <x:c r="G16" s="414" t="n">
        <x:f>IF(OR(B16="Standard+Max",B16="Standard+Pro+Max"),IF(C16&gt;=289900,259900,249900),"")</x:f>
        <x:v>249900</x:v>
      </x:c>
      <x:c r="H16" s="414" t="str">
        <x:f>IF(B16="Pro+Max",IF(C16&gt;=289900,269900,259900),IF(B16="Standard+Pro+Max",IF(C16&gt;=289900,279900,IF(C16&gt;=269900,259900,249900)),""))</x:f>
      </x:c>
      <x:c r="I16" s="414" t="n">
        <x:f>C16</x:f>
        <x:v>269900</x:v>
      </x:c>
      <x:c r="J16" s="414" t="n">
        <x:f>299900-I16</x:f>
        <x:v>30000</x:v>
      </x:c>
      <x:c r="K16" s="414" t="n">
        <x:f>MAX(I16+20000,299900)</x:f>
        <x:v>299900</x:v>
      </x:c>
      <x:c r="L16" s="414" t="n">
        <x:f>IF(G16="","",I16-G16)</x:f>
        <x:v>20000</x:v>
      </x:c>
      <x:c r="M16" s="414" t="str">
        <x:f>IF(H16="","",I16-H16)</x:f>
      </x:c>
      <x:c r="N16" s="19" t="n">
        <x:f>IF(G16="",0,1)</x:f>
        <x:v>1</x:v>
      </x:c>
      <x:c r="O16" s="19" t="n">
        <x:f>IF(H16="",0,1)</x:f>
        <x:v>0</x:v>
      </x:c>
      <x:c r="P16" s="19" t="n">
        <x:f>IF(OR(N16=1,O16=1),1,0)</x:f>
        <x:v>1</x:v>
      </x:c>
      <x:c r="Q16" s="23" t="n">
        <x:f>IF(B16="仅Max",F16,0)</x:f>
        <x:v>0</x:v>
      </x:c>
      <x:c r="R16" s="19" t="str">
        <x:v>标准版承担起售价，Max中枢回到28.99</x:v>
      </x:c>
      <x:c r="S16" s="414" t="n">
        <x:f>I16*F16</x:f>
        <x:v>3373.75</x:v>
      </x:c>
      <x:c r="T16" s="23" t="n">
        <x:f>IF(I16&lt;=279900,F16,0)</x:f>
        <x:v>0.0125</x:v>
      </x:c>
    </x:row>
    <x:row r="17" ht="48" customHeight="1">
      <x:c r="A17" s="557" t="str">
        <x:v>B1-P6</x:v>
      </x:c>
      <x:c r="B17" s="557" t="str">
        <x:v>Standard+Max</x:v>
      </x:c>
      <x:c r="C17" s="561" t="n">
        <x:v>259900</x:v>
      </x:c>
      <x:c r="D17" s="562" t="n">
        <x:f>INDEX('103_N90版本树'!$B$14:$B$17,MATCH(B17,'103_N90版本树'!$A$14:$A$17,0))</x:f>
        <x:v>0.25</x:v>
      </x:c>
      <x:c r="E17" s="564" t="n">
        <x:v>0</x:v>
      </x:c>
      <x:c r="F17" s="562" t="n">
        <x:f>D17*E17</x:f>
        <x:v>0</x:v>
      </x:c>
      <x:c r="G17" s="561" t="n">
        <x:f>IF(OR(B17="Standard+Max",B17="Standard+Pro+Max"),IF(C17&gt;=289900,259900,249900),"")</x:f>
        <x:v>249900</x:v>
      </x:c>
      <x:c r="H17" s="561" t="str">
        <x:f>IF(B17="Pro+Max",IF(C17&gt;=289900,269900,259900),IF(B17="Standard+Pro+Max",IF(C17&gt;=289900,279900,IF(C17&gt;=269900,259900,249900)),""))</x:f>
      </x:c>
      <x:c r="I17" s="561" t="n">
        <x:f>C17</x:f>
        <x:v>259900</x:v>
      </x:c>
      <x:c r="J17" s="561" t="n">
        <x:f>299900-I17</x:f>
        <x:v>40000</x:v>
      </x:c>
      <x:c r="K17" s="561" t="n">
        <x:f>MAX(I17+20000,299900)</x:f>
        <x:v>299900</x:v>
      </x:c>
      <x:c r="L17" s="561" t="n">
        <x:f>IF(G17="","",I17-G17)</x:f>
        <x:v>10000</x:v>
      </x:c>
      <x:c r="M17" s="561" t="str">
        <x:f>IF(H17="","",I17-H17)</x:f>
      </x:c>
      <x:c r="N17" s="557" t="n">
        <x:f>IF(G17="",0,1)</x:f>
        <x:v>1</x:v>
      </x:c>
      <x:c r="O17" s="557" t="n">
        <x:f>IF(H17="",0,1)</x:f>
        <x:v>0</x:v>
      </x:c>
      <x:c r="P17" s="557" t="n">
        <x:f>IF(OR(N17=1,O17=1),1,0)</x:f>
        <x:v>1</x:v>
      </x:c>
      <x:c r="Q17" s="562" t="n">
        <x:f>IF(B17="仅Max",F17,0)</x:f>
        <x:v>0</x:v>
      </x:c>
      <x:c r="R17" s="557" t="str">
        <x:v>标准版承担起售价，Max中枢回到28.99</x:v>
      </x:c>
      <x:c r="S17" s="561" t="n">
        <x:f>I17*F17</x:f>
        <x:v>0</x:v>
      </x:c>
      <x:c r="T17" s="562" t="n">
        <x:f>IF(I17&lt;=279900,F17,0)</x:f>
        <x:v>0</x:v>
      </x:c>
    </x:row>
    <x:row r="18" ht="48" customHeight="1">
      <x:c r="A18" s="19" t="str">
        <x:v>B2-P1</x:v>
      </x:c>
      <x:c r="B18" s="19" t="str">
        <x:v>Pro+Max</x:v>
      </x:c>
      <x:c r="C18" s="414" t="n">
        <x:v>299900</x:v>
      </x:c>
      <x:c r="D18" s="23" t="n">
        <x:f>INDEX('103_N90版本树'!$B$14:$B$17,MATCH(B18,'103_N90版本树'!$A$14:$A$17,0))</x:f>
        <x:v>0.05</x:v>
      </x:c>
      <x:c r="E18" s="528" t="n">
        <x:v>0.5</x:v>
      </x:c>
      <x:c r="F18" s="23" t="n">
        <x:f>D18*E18</x:f>
        <x:v>0.025</x:v>
      </x:c>
      <x:c r="G18" s="414" t="str">
        <x:f>IF(OR(B18="Standard+Max",B18="Standard+Pro+Max"),IF(C18&gt;=289900,259900,249900),"")</x:f>
      </x:c>
      <x:c r="H18" s="414" t="n">
        <x:f>IF(B18="Pro+Max",IF(C18&gt;=289900,269900,259900),IF(B18="Standard+Pro+Max",IF(C18&gt;=289900,279900,IF(C18&gt;=269900,259900,249900)),""))</x:f>
        <x:v>269900</x:v>
      </x:c>
      <x:c r="I18" s="414" t="n">
        <x:f>C18</x:f>
        <x:v>299900</x:v>
      </x:c>
      <x:c r="J18" s="414" t="n">
        <x:f>299900-I18</x:f>
        <x:v>0</x:v>
      </x:c>
      <x:c r="K18" s="414" t="n">
        <x:f>MAX(I18+20000,299900)</x:f>
        <x:v>319900</x:v>
      </x:c>
      <x:c r="L18" s="414" t="str">
        <x:f>IF(G18="","",I18-G18)</x:f>
      </x:c>
      <x:c r="M18" s="414" t="n">
        <x:f>IF(H18="","",I18-H18)</x:f>
        <x:v>30000</x:v>
      </x:c>
      <x:c r="N18" s="19" t="n">
        <x:f>IF(G18="",0,1)</x:f>
        <x:v>0</x:v>
      </x:c>
      <x:c r="O18" s="19" t="n">
        <x:f>IF(H18="",0,1)</x:f>
        <x:v>1</x:v>
      </x:c>
      <x:c r="P18" s="19" t="n">
        <x:f>IF(OR(N18=1,O18=1),1,0)</x:f>
        <x:v>1</x:v>
      </x:c>
      <x:c r="Q18" s="23" t="n">
        <x:f>IF(B18="仅Max",F18,0)</x:f>
        <x:v>0</x:v>
      </x:c>
      <x:c r="R18" s="19" t="str">
        <x:v>Pro填补中间带，Max优先保持29.99</x:v>
      </x:c>
      <x:c r="S18" s="414" t="n">
        <x:f>I18*F18</x:f>
        <x:v>7497.5</x:v>
      </x:c>
      <x:c r="T18" s="23" t="n">
        <x:f>IF(I18&lt;=279900,F18,0)</x:f>
        <x:v>0</x:v>
      </x:c>
    </x:row>
    <x:row r="19" ht="48" customHeight="1">
      <x:c r="A19" s="557" t="str">
        <x:v>B2-P2</x:v>
      </x:c>
      <x:c r="B19" s="557" t="str">
        <x:v>Pro+Max</x:v>
      </x:c>
      <x:c r="C19" s="561" t="n">
        <x:v>293900</x:v>
      </x:c>
      <x:c r="D19" s="562" t="n">
        <x:f>INDEX('103_N90版本树'!$B$14:$B$17,MATCH(B19,'103_N90版本树'!$A$14:$A$17,0))</x:f>
        <x:v>0.05</x:v>
      </x:c>
      <x:c r="E19" s="564" t="n">
        <x:v>0.05</x:v>
      </x:c>
      <x:c r="F19" s="562" t="n">
        <x:f>D19*E19</x:f>
        <x:v>0.0025000000000000005</x:v>
      </x:c>
      <x:c r="G19" s="561" t="str">
        <x:f>IF(OR(B19="Standard+Max",B19="Standard+Pro+Max"),IF(C19&gt;=289900,259900,249900),"")</x:f>
      </x:c>
      <x:c r="H19" s="561" t="n">
        <x:f>IF(B19="Pro+Max",IF(C19&gt;=289900,269900,259900),IF(B19="Standard+Pro+Max",IF(C19&gt;=289900,279900,IF(C19&gt;=269900,259900,249900)),""))</x:f>
        <x:v>269900</x:v>
      </x:c>
      <x:c r="I19" s="561" t="n">
        <x:f>C19</x:f>
        <x:v>293900</x:v>
      </x:c>
      <x:c r="J19" s="561" t="n">
        <x:f>299900-I19</x:f>
        <x:v>6000</x:v>
      </x:c>
      <x:c r="K19" s="561" t="n">
        <x:f>MAX(I19+20000,299900)</x:f>
        <x:v>313900</x:v>
      </x:c>
      <x:c r="L19" s="561" t="str">
        <x:f>IF(G19="","",I19-G19)</x:f>
      </x:c>
      <x:c r="M19" s="561" t="n">
        <x:f>IF(H19="","",I19-H19)</x:f>
        <x:v>24000</x:v>
      </x:c>
      <x:c r="N19" s="557" t="n">
        <x:f>IF(G19="",0,1)</x:f>
        <x:v>0</x:v>
      </x:c>
      <x:c r="O19" s="557" t="n">
        <x:f>IF(H19="",0,1)</x:f>
        <x:v>1</x:v>
      </x:c>
      <x:c r="P19" s="557" t="n">
        <x:f>IF(OR(N19=1,O19=1),1,0)</x:f>
        <x:v>1</x:v>
      </x:c>
      <x:c r="Q19" s="562" t="n">
        <x:f>IF(B19="仅Max",F19,0)</x:f>
        <x:v>0</x:v>
      </x:c>
      <x:c r="R19" s="557" t="str">
        <x:v>Pro填补中间带，Max优先保持29.99</x:v>
      </x:c>
      <x:c r="S19" s="561" t="n">
        <x:f>I19*F19</x:f>
        <x:v>734.7500000000001</x:v>
      </x:c>
      <x:c r="T19" s="562" t="n">
        <x:f>IF(I19&lt;=279900,F19,0)</x:f>
        <x:v>0</x:v>
      </x:c>
    </x:row>
    <x:row r="20" ht="48" customHeight="1">
      <x:c r="A20" s="19" t="str">
        <x:v>B2-P3</x:v>
      </x:c>
      <x:c r="B20" s="19" t="str">
        <x:v>Pro+Max</x:v>
      </x:c>
      <x:c r="C20" s="414" t="n">
        <x:v>289900</x:v>
      </x:c>
      <x:c r="D20" s="23" t="n">
        <x:f>INDEX('103_N90版本树'!$B$14:$B$17,MATCH(B20,'103_N90版本树'!$A$14:$A$17,0))</x:f>
        <x:v>0.05</x:v>
      </x:c>
      <x:c r="E20" s="528" t="n">
        <x:v>0.3</x:v>
      </x:c>
      <x:c r="F20" s="23" t="n">
        <x:f>D20*E20</x:f>
        <x:v>0.015</x:v>
      </x:c>
      <x:c r="G20" s="414" t="str">
        <x:f>IF(OR(B20="Standard+Max",B20="Standard+Pro+Max"),IF(C20&gt;=289900,259900,249900),"")</x:f>
      </x:c>
      <x:c r="H20" s="414" t="n">
        <x:f>IF(B20="Pro+Max",IF(C20&gt;=289900,269900,259900),IF(B20="Standard+Pro+Max",IF(C20&gt;=289900,279900,IF(C20&gt;=269900,259900,249900)),""))</x:f>
        <x:v>269900</x:v>
      </x:c>
      <x:c r="I20" s="414" t="n">
        <x:f>C20</x:f>
        <x:v>289900</x:v>
      </x:c>
      <x:c r="J20" s="414" t="n">
        <x:f>299900-I20</x:f>
        <x:v>10000</x:v>
      </x:c>
      <x:c r="K20" s="414" t="n">
        <x:f>MAX(I20+20000,299900)</x:f>
        <x:v>309900</x:v>
      </x:c>
      <x:c r="L20" s="414" t="str">
        <x:f>IF(G20="","",I20-G20)</x:f>
      </x:c>
      <x:c r="M20" s="414" t="n">
        <x:f>IF(H20="","",I20-H20)</x:f>
        <x:v>20000</x:v>
      </x:c>
      <x:c r="N20" s="19" t="n">
        <x:f>IF(G20="",0,1)</x:f>
        <x:v>0</x:v>
      </x:c>
      <x:c r="O20" s="19" t="n">
        <x:f>IF(H20="",0,1)</x:f>
        <x:v>1</x:v>
      </x:c>
      <x:c r="P20" s="19" t="n">
        <x:f>IF(OR(N20=1,O20=1),1,0)</x:f>
        <x:v>1</x:v>
      </x:c>
      <x:c r="Q20" s="23" t="n">
        <x:f>IF(B20="仅Max",F20,0)</x:f>
        <x:v>0</x:v>
      </x:c>
      <x:c r="R20" s="19" t="str">
        <x:v>Pro填补中间带，Max优先保持29.99</x:v>
      </x:c>
      <x:c r="S20" s="414" t="n">
        <x:f>I20*F20</x:f>
        <x:v>4348.5</x:v>
      </x:c>
      <x:c r="T20" s="23" t="n">
        <x:f>IF(I20&lt;=279900,F20,0)</x:f>
        <x:v>0</x:v>
      </x:c>
    </x:row>
    <x:row r="21" ht="48" customHeight="1">
      <x:c r="A21" s="557" t="str">
        <x:v>B2-P4</x:v>
      </x:c>
      <x:c r="B21" s="557" t="str">
        <x:v>Pro+Max</x:v>
      </x:c>
      <x:c r="C21" s="561" t="n">
        <x:v>279900</x:v>
      </x:c>
      <x:c r="D21" s="562" t="n">
        <x:f>INDEX('103_N90版本树'!$B$14:$B$17,MATCH(B21,'103_N90版本树'!$A$14:$A$17,0))</x:f>
        <x:v>0.05</x:v>
      </x:c>
      <x:c r="E21" s="564" t="n">
        <x:v>0.12</x:v>
      </x:c>
      <x:c r="F21" s="562" t="n">
        <x:f>D21*E21</x:f>
        <x:v>0.006</x:v>
      </x:c>
      <x:c r="G21" s="561" t="str">
        <x:f>IF(OR(B21="Standard+Max",B21="Standard+Pro+Max"),IF(C21&gt;=289900,259900,249900),"")</x:f>
      </x:c>
      <x:c r="H21" s="561" t="n">
        <x:f>IF(B21="Pro+Max",IF(C21&gt;=289900,269900,259900),IF(B21="Standard+Pro+Max",IF(C21&gt;=289900,279900,IF(C21&gt;=269900,259900,249900)),""))</x:f>
        <x:v>259900</x:v>
      </x:c>
      <x:c r="I21" s="561" t="n">
        <x:f>C21</x:f>
        <x:v>279900</x:v>
      </x:c>
      <x:c r="J21" s="561" t="n">
        <x:f>299900-I21</x:f>
        <x:v>20000</x:v>
      </x:c>
      <x:c r="K21" s="561" t="n">
        <x:f>MAX(I21+20000,299900)</x:f>
        <x:v>299900</x:v>
      </x:c>
      <x:c r="L21" s="561" t="str">
        <x:f>IF(G21="","",I21-G21)</x:f>
      </x:c>
      <x:c r="M21" s="561" t="n">
        <x:f>IF(H21="","",I21-H21)</x:f>
        <x:v>20000</x:v>
      </x:c>
      <x:c r="N21" s="557" t="n">
        <x:f>IF(G21="",0,1)</x:f>
        <x:v>0</x:v>
      </x:c>
      <x:c r="O21" s="557" t="n">
        <x:f>IF(H21="",0,1)</x:f>
        <x:v>1</x:v>
      </x:c>
      <x:c r="P21" s="557" t="n">
        <x:f>IF(OR(N21=1,O21=1),1,0)</x:f>
        <x:v>1</x:v>
      </x:c>
      <x:c r="Q21" s="562" t="n">
        <x:f>IF(B21="仅Max",F21,0)</x:f>
        <x:v>0</x:v>
      </x:c>
      <x:c r="R21" s="557" t="str">
        <x:v>Pro填补中间带，Max优先保持29.99</x:v>
      </x:c>
      <x:c r="S21" s="561" t="n">
        <x:f>I21*F21</x:f>
        <x:v>1679.4</x:v>
      </x:c>
      <x:c r="T21" s="562" t="n">
        <x:f>IF(I21&lt;=279900,F21,0)</x:f>
        <x:v>0.006</x:v>
      </x:c>
    </x:row>
    <x:row r="22" ht="48" customHeight="1">
      <x:c r="A22" s="19" t="str">
        <x:v>B2-P5</x:v>
      </x:c>
      <x:c r="B22" s="19" t="str">
        <x:v>Pro+Max</x:v>
      </x:c>
      <x:c r="C22" s="414" t="n">
        <x:v>269900</x:v>
      </x:c>
      <x:c r="D22" s="23" t="n">
        <x:f>INDEX('103_N90版本树'!$B$14:$B$17,MATCH(B22,'103_N90版本树'!$A$14:$A$17,0))</x:f>
        <x:v>0.05</x:v>
      </x:c>
      <x:c r="E22" s="528" t="n">
        <x:v>0.03</x:v>
      </x:c>
      <x:c r="F22" s="23" t="n">
        <x:f>D22*E22</x:f>
        <x:v>0.0015</x:v>
      </x:c>
      <x:c r="G22" s="414" t="str">
        <x:f>IF(OR(B22="Standard+Max",B22="Standard+Pro+Max"),IF(C22&gt;=289900,259900,249900),"")</x:f>
      </x:c>
      <x:c r="H22" s="414" t="n">
        <x:f>IF(B22="Pro+Max",IF(C22&gt;=289900,269900,259900),IF(B22="Standard+Pro+Max",IF(C22&gt;=289900,279900,IF(C22&gt;=269900,259900,249900)),""))</x:f>
        <x:v>259900</x:v>
      </x:c>
      <x:c r="I22" s="414" t="n">
        <x:f>C22</x:f>
        <x:v>269900</x:v>
      </x:c>
      <x:c r="J22" s="414" t="n">
        <x:f>299900-I22</x:f>
        <x:v>30000</x:v>
      </x:c>
      <x:c r="K22" s="414" t="n">
        <x:f>MAX(I22+20000,299900)</x:f>
        <x:v>299900</x:v>
      </x:c>
      <x:c r="L22" s="414" t="str">
        <x:f>IF(G22="","",I22-G22)</x:f>
      </x:c>
      <x:c r="M22" s="414" t="n">
        <x:f>IF(H22="","",I22-H22)</x:f>
        <x:v>10000</x:v>
      </x:c>
      <x:c r="N22" s="19" t="n">
        <x:f>IF(G22="",0,1)</x:f>
        <x:v>0</x:v>
      </x:c>
      <x:c r="O22" s="19" t="n">
        <x:f>IF(H22="",0,1)</x:f>
        <x:v>1</x:v>
      </x:c>
      <x:c r="P22" s="19" t="n">
        <x:f>IF(OR(N22=1,O22=1),1,0)</x:f>
        <x:v>1</x:v>
      </x:c>
      <x:c r="Q22" s="23" t="n">
        <x:f>IF(B22="仅Max",F22,0)</x:f>
        <x:v>0</x:v>
      </x:c>
      <x:c r="R22" s="19" t="str">
        <x:v>Pro填补中间带，Max优先保持29.99</x:v>
      </x:c>
      <x:c r="S22" s="414" t="n">
        <x:f>I22*F22</x:f>
        <x:v>404.85</x:v>
      </x:c>
      <x:c r="T22" s="23" t="n">
        <x:f>IF(I22&lt;=279900,F22,0)</x:f>
        <x:v>0.0015</x:v>
      </x:c>
    </x:row>
    <x:row r="23" ht="48" customHeight="1">
      <x:c r="A23" s="557" t="str">
        <x:v>B2-P6</x:v>
      </x:c>
      <x:c r="B23" s="557" t="str">
        <x:v>Pro+Max</x:v>
      </x:c>
      <x:c r="C23" s="561" t="n">
        <x:v>259900</x:v>
      </x:c>
      <x:c r="D23" s="562" t="n">
        <x:f>INDEX('103_N90版本树'!$B$14:$B$17,MATCH(B23,'103_N90版本树'!$A$14:$A$17,0))</x:f>
        <x:v>0.05</x:v>
      </x:c>
      <x:c r="E23" s="564" t="n">
        <x:v>0</x:v>
      </x:c>
      <x:c r="F23" s="562" t="n">
        <x:f>D23*E23</x:f>
        <x:v>0</x:v>
      </x:c>
      <x:c r="G23" s="561" t="str">
        <x:f>IF(OR(B23="Standard+Max",B23="Standard+Pro+Max"),IF(C23&gt;=289900,259900,249900),"")</x:f>
      </x:c>
      <x:c r="H23" s="561" t="n">
        <x:f>IF(B23="Pro+Max",IF(C23&gt;=289900,269900,259900),IF(B23="Standard+Pro+Max",IF(C23&gt;=289900,279900,IF(C23&gt;=269900,259900,249900)),""))</x:f>
        <x:v>259900</x:v>
      </x:c>
      <x:c r="I23" s="561" t="n">
        <x:f>C23</x:f>
        <x:v>259900</x:v>
      </x:c>
      <x:c r="J23" s="561" t="n">
        <x:f>299900-I23</x:f>
        <x:v>40000</x:v>
      </x:c>
      <x:c r="K23" s="561" t="n">
        <x:f>MAX(I23+20000,299900)</x:f>
        <x:v>299900</x:v>
      </x:c>
      <x:c r="L23" s="561" t="str">
        <x:f>IF(G23="","",I23-G23)</x:f>
      </x:c>
      <x:c r="M23" s="561" t="n">
        <x:f>IF(H23="","",I23-H23)</x:f>
        <x:v>0</x:v>
      </x:c>
      <x:c r="N23" s="557" t="n">
        <x:f>IF(G23="",0,1)</x:f>
        <x:v>0</x:v>
      </x:c>
      <x:c r="O23" s="557" t="n">
        <x:f>IF(H23="",0,1)</x:f>
        <x:v>1</x:v>
      </x:c>
      <x:c r="P23" s="557" t="n">
        <x:f>IF(OR(N23=1,O23=1),1,0)</x:f>
        <x:v>1</x:v>
      </x:c>
      <x:c r="Q23" s="562" t="n">
        <x:f>IF(B23="仅Max",F23,0)</x:f>
        <x:v>0</x:v>
      </x:c>
      <x:c r="R23" s="557" t="str">
        <x:v>Pro填补中间带，Max优先保持29.99</x:v>
      </x:c>
      <x:c r="S23" s="561" t="n">
        <x:f>I23*F23</x:f>
        <x:v>0</x:v>
      </x:c>
      <x:c r="T23" s="562" t="n">
        <x:f>IF(I23&lt;=279900,F23,0)</x:f>
        <x:v>0</x:v>
      </x:c>
    </x:row>
    <x:row r="24" ht="48" customHeight="1">
      <x:c r="A24" s="19" t="str">
        <x:v>B3-P1</x:v>
      </x:c>
      <x:c r="B24" s="19" t="str">
        <x:v>Standard+Pro+Max</x:v>
      </x:c>
      <x:c r="C24" s="414" t="n">
        <x:v>299900</x:v>
      </x:c>
      <x:c r="D24" s="23" t="n">
        <x:f>INDEX('103_N90版本树'!$B$14:$B$17,MATCH(B24,'103_N90版本树'!$A$14:$A$17,0))</x:f>
        <x:v>0.1</x:v>
      </x:c>
      <x:c r="E24" s="528" t="n">
        <x:v>0.55</x:v>
      </x:c>
      <x:c r="F24" s="23" t="n">
        <x:f>D24*E24</x:f>
        <x:v>0.05500000000000001</x:v>
      </x:c>
      <x:c r="G24" s="414" t="n">
        <x:f>IF(OR(B24="Standard+Max",B24="Standard+Pro+Max"),IF(C24&gt;=289900,259900,249900),"")</x:f>
        <x:v>259900</x:v>
      </x:c>
      <x:c r="H24" s="414" t="n">
        <x:f>IF(B24="Pro+Max",IF(C24&gt;=289900,269900,259900),IF(B24="Standard+Pro+Max",IF(C24&gt;=289900,279900,IF(C24&gt;=269900,259900,249900)),""))</x:f>
        <x:v>279900</x:v>
      </x:c>
      <x:c r="I24" s="414" t="n">
        <x:f>C24</x:f>
        <x:v>299900</x:v>
      </x:c>
      <x:c r="J24" s="414" t="n">
        <x:f>299900-I24</x:f>
        <x:v>0</x:v>
      </x:c>
      <x:c r="K24" s="414" t="n">
        <x:f>MAX(I24+20000,299900)</x:f>
        <x:v>319900</x:v>
      </x:c>
      <x:c r="L24" s="414" t="n">
        <x:f>IF(G24="","",I24-G24)</x:f>
        <x:v>40000</x:v>
      </x:c>
      <x:c r="M24" s="414" t="n">
        <x:f>IF(H24="","",I24-H24)</x:f>
        <x:v>20000</x:v>
      </x:c>
      <x:c r="N24" s="19" t="n">
        <x:f>IF(G24="",0,1)</x:f>
        <x:v>1</x:v>
      </x:c>
      <x:c r="O24" s="19" t="n">
        <x:f>IF(H24="",0,1)</x:f>
        <x:v>1</x:v>
      </x:c>
      <x:c r="P24" s="19" t="n">
        <x:f>IF(OR(N24=1,O24=1),1,0)</x:f>
        <x:v>1</x:v>
      </x:c>
      <x:c r="Q24" s="23" t="n">
        <x:f>IF(B24="仅Max",F24,0)</x:f>
        <x:v>0</x:v>
      </x:c>
      <x:c r="R24" s="19" t="str">
        <x:v>三档完整，Max高位锚定</x:v>
      </x:c>
      <x:c r="S24" s="414" t="n">
        <x:f>I24*F24</x:f>
        <x:v>16494.500000000004</x:v>
      </x:c>
      <x:c r="T24" s="23" t="n">
        <x:f>IF(I24&lt;=279900,F24,0)</x:f>
        <x:v>0</x:v>
      </x:c>
    </x:row>
    <x:row r="25" ht="48" customHeight="1">
      <x:c r="A25" s="557" t="str">
        <x:v>B3-P2</x:v>
      </x:c>
      <x:c r="B25" s="557" t="str">
        <x:v>Standard+Pro+Max</x:v>
      </x:c>
      <x:c r="C25" s="561" t="n">
        <x:v>293900</x:v>
      </x:c>
      <x:c r="D25" s="562" t="n">
        <x:f>INDEX('103_N90版本树'!$B$14:$B$17,MATCH(B25,'103_N90版本树'!$A$14:$A$17,0))</x:f>
        <x:v>0.1</x:v>
      </x:c>
      <x:c r="E25" s="564" t="n">
        <x:v>0.05</x:v>
      </x:c>
      <x:c r="F25" s="562" t="n">
        <x:f>D25*E25</x:f>
        <x:v>0.005000000000000001</x:v>
      </x:c>
      <x:c r="G25" s="561" t="n">
        <x:f>IF(OR(B25="Standard+Max",B25="Standard+Pro+Max"),IF(C25&gt;=289900,259900,249900),"")</x:f>
        <x:v>259900</x:v>
      </x:c>
      <x:c r="H25" s="561" t="n">
        <x:f>IF(B25="Pro+Max",IF(C25&gt;=289900,269900,259900),IF(B25="Standard+Pro+Max",IF(C25&gt;=289900,279900,IF(C25&gt;=269900,259900,249900)),""))</x:f>
        <x:v>279900</x:v>
      </x:c>
      <x:c r="I25" s="561" t="n">
        <x:f>C25</x:f>
        <x:v>293900</x:v>
      </x:c>
      <x:c r="J25" s="561" t="n">
        <x:f>299900-I25</x:f>
        <x:v>6000</x:v>
      </x:c>
      <x:c r="K25" s="561" t="n">
        <x:f>MAX(I25+20000,299900)</x:f>
        <x:v>313900</x:v>
      </x:c>
      <x:c r="L25" s="561" t="n">
        <x:f>IF(G25="","",I25-G25)</x:f>
        <x:v>34000</x:v>
      </x:c>
      <x:c r="M25" s="561" t="n">
        <x:f>IF(H25="","",I25-H25)</x:f>
        <x:v>14000</x:v>
      </x:c>
      <x:c r="N25" s="557" t="n">
        <x:f>IF(G25="",0,1)</x:f>
        <x:v>1</x:v>
      </x:c>
      <x:c r="O25" s="557" t="n">
        <x:f>IF(H25="",0,1)</x:f>
        <x:v>1</x:v>
      </x:c>
      <x:c r="P25" s="557" t="n">
        <x:f>IF(OR(N25=1,O25=1),1,0)</x:f>
        <x:v>1</x:v>
      </x:c>
      <x:c r="Q25" s="562" t="n">
        <x:f>IF(B25="仅Max",F25,0)</x:f>
        <x:v>0</x:v>
      </x:c>
      <x:c r="R25" s="557" t="str">
        <x:v>三档完整，Max高位锚定</x:v>
      </x:c>
      <x:c r="S25" s="561" t="n">
        <x:f>I25*F25</x:f>
        <x:v>1469.5000000000002</x:v>
      </x:c>
      <x:c r="T25" s="562" t="n">
        <x:f>IF(I25&lt;=279900,F25,0)</x:f>
        <x:v>0</x:v>
      </x:c>
    </x:row>
    <x:row r="26" ht="48" customHeight="1">
      <x:c r="A26" s="19" t="str">
        <x:v>B3-P3</x:v>
      </x:c>
      <x:c r="B26" s="19" t="str">
        <x:v>Standard+Pro+Max</x:v>
      </x:c>
      <x:c r="C26" s="414" t="n">
        <x:v>289900</x:v>
      </x:c>
      <x:c r="D26" s="23" t="n">
        <x:f>INDEX('103_N90版本树'!$B$14:$B$17,MATCH(B26,'103_N90版本树'!$A$14:$A$17,0))</x:f>
        <x:v>0.1</x:v>
      </x:c>
      <x:c r="E26" s="528" t="n">
        <x:v>0.3</x:v>
      </x:c>
      <x:c r="F26" s="23" t="n">
        <x:f>D26*E26</x:f>
        <x:v>0.03</x:v>
      </x:c>
      <x:c r="G26" s="414" t="n">
        <x:f>IF(OR(B26="Standard+Max",B26="Standard+Pro+Max"),IF(C26&gt;=289900,259900,249900),"")</x:f>
        <x:v>259900</x:v>
      </x:c>
      <x:c r="H26" s="414" t="n">
        <x:f>IF(B26="Pro+Max",IF(C26&gt;=289900,269900,259900),IF(B26="Standard+Pro+Max",IF(C26&gt;=289900,279900,IF(C26&gt;=269900,259900,249900)),""))</x:f>
        <x:v>279900</x:v>
      </x:c>
      <x:c r="I26" s="414" t="n">
        <x:f>C26</x:f>
        <x:v>289900</x:v>
      </x:c>
      <x:c r="J26" s="414" t="n">
        <x:f>299900-I26</x:f>
        <x:v>10000</x:v>
      </x:c>
      <x:c r="K26" s="414" t="n">
        <x:f>MAX(I26+20000,299900)</x:f>
        <x:v>309900</x:v>
      </x:c>
      <x:c r="L26" s="414" t="n">
        <x:f>IF(G26="","",I26-G26)</x:f>
        <x:v>30000</x:v>
      </x:c>
      <x:c r="M26" s="414" t="n">
        <x:f>IF(H26="","",I26-H26)</x:f>
        <x:v>10000</x:v>
      </x:c>
      <x:c r="N26" s="19" t="n">
        <x:f>IF(G26="",0,1)</x:f>
        <x:v>1</x:v>
      </x:c>
      <x:c r="O26" s="19" t="n">
        <x:f>IF(H26="",0,1)</x:f>
        <x:v>1</x:v>
      </x:c>
      <x:c r="P26" s="19" t="n">
        <x:f>IF(OR(N26=1,O26=1),1,0)</x:f>
        <x:v>1</x:v>
      </x:c>
      <x:c r="Q26" s="23" t="n">
        <x:f>IF(B26="仅Max",F26,0)</x:f>
        <x:v>0</x:v>
      </x:c>
      <x:c r="R26" s="19" t="str">
        <x:v>三档完整，Max高位锚定</x:v>
      </x:c>
      <x:c r="S26" s="414" t="n">
        <x:f>I26*F26</x:f>
        <x:v>8697</x:v>
      </x:c>
      <x:c r="T26" s="23" t="n">
        <x:f>IF(I26&lt;=279900,F26,0)</x:f>
        <x:v>0</x:v>
      </x:c>
    </x:row>
    <x:row r="27" ht="48" customHeight="1">
      <x:c r="A27" s="557" t="str">
        <x:v>B3-P4</x:v>
      </x:c>
      <x:c r="B27" s="557" t="str">
        <x:v>Standard+Pro+Max</x:v>
      </x:c>
      <x:c r="C27" s="561" t="n">
        <x:v>279900</x:v>
      </x:c>
      <x:c r="D27" s="562" t="n">
        <x:f>INDEX('103_N90版本树'!$B$14:$B$17,MATCH(B27,'103_N90版本树'!$A$14:$A$17,0))</x:f>
        <x:v>0.1</x:v>
      </x:c>
      <x:c r="E27" s="564" t="n">
        <x:v>0.08</x:v>
      </x:c>
      <x:c r="F27" s="562" t="n">
        <x:f>D27*E27</x:f>
        <x:v>0.008</x:v>
      </x:c>
      <x:c r="G27" s="561" t="n">
        <x:f>IF(OR(B27="Standard+Max",B27="Standard+Pro+Max"),IF(C27&gt;=289900,259900,249900),"")</x:f>
        <x:v>249900</x:v>
      </x:c>
      <x:c r="H27" s="561" t="n">
        <x:f>IF(B27="Pro+Max",IF(C27&gt;=289900,269900,259900),IF(B27="Standard+Pro+Max",IF(C27&gt;=289900,279900,IF(C27&gt;=269900,259900,249900)),""))</x:f>
        <x:v>259900</x:v>
      </x:c>
      <x:c r="I27" s="561" t="n">
        <x:f>C27</x:f>
        <x:v>279900</x:v>
      </x:c>
      <x:c r="J27" s="561" t="n">
        <x:f>299900-I27</x:f>
        <x:v>20000</x:v>
      </x:c>
      <x:c r="K27" s="561" t="n">
        <x:f>MAX(I27+20000,299900)</x:f>
        <x:v>299900</x:v>
      </x:c>
      <x:c r="L27" s="561" t="n">
        <x:f>IF(G27="","",I27-G27)</x:f>
        <x:v>30000</x:v>
      </x:c>
      <x:c r="M27" s="561" t="n">
        <x:f>IF(H27="","",I27-H27)</x:f>
        <x:v>20000</x:v>
      </x:c>
      <x:c r="N27" s="557" t="n">
        <x:f>IF(G27="",0,1)</x:f>
        <x:v>1</x:v>
      </x:c>
      <x:c r="O27" s="557" t="n">
        <x:f>IF(H27="",0,1)</x:f>
        <x:v>1</x:v>
      </x:c>
      <x:c r="P27" s="557" t="n">
        <x:f>IF(OR(N27=1,O27=1),1,0)</x:f>
        <x:v>1</x:v>
      </x:c>
      <x:c r="Q27" s="562" t="n">
        <x:f>IF(B27="仅Max",F27,0)</x:f>
        <x:v>0</x:v>
      </x:c>
      <x:c r="R27" s="557" t="str">
        <x:v>三档完整，Max高位锚定</x:v>
      </x:c>
      <x:c r="S27" s="561" t="n">
        <x:f>I27*F27</x:f>
        <x:v>2239.2000000000003</x:v>
      </x:c>
      <x:c r="T27" s="562" t="n">
        <x:f>IF(I27&lt;=279900,F27,0)</x:f>
        <x:v>0.008</x:v>
      </x:c>
    </x:row>
    <x:row r="28" ht="48" customHeight="1">
      <x:c r="A28" s="19" t="str">
        <x:v>B3-P5</x:v>
      </x:c>
      <x:c r="B28" s="19" t="str">
        <x:v>Standard+Pro+Max</x:v>
      </x:c>
      <x:c r="C28" s="414" t="n">
        <x:v>269900</x:v>
      </x:c>
      <x:c r="D28" s="23" t="n">
        <x:f>INDEX('103_N90版本树'!$B$14:$B$17,MATCH(B28,'103_N90版本树'!$A$14:$A$17,0))</x:f>
        <x:v>0.1</x:v>
      </x:c>
      <x:c r="E28" s="528" t="n">
        <x:v>0.02</x:v>
      </x:c>
      <x:c r="F28" s="23" t="n">
        <x:f>D28*E28</x:f>
        <x:v>0.002</x:v>
      </x:c>
      <x:c r="G28" s="414" t="n">
        <x:f>IF(OR(B28="Standard+Max",B28="Standard+Pro+Max"),IF(C28&gt;=289900,259900,249900),"")</x:f>
        <x:v>249900</x:v>
      </x:c>
      <x:c r="H28" s="414" t="n">
        <x:f>IF(B28="Pro+Max",IF(C28&gt;=289900,269900,259900),IF(B28="Standard+Pro+Max",IF(C28&gt;=289900,279900,IF(C28&gt;=269900,259900,249900)),""))</x:f>
        <x:v>259900</x:v>
      </x:c>
      <x:c r="I28" s="414" t="n">
        <x:f>C28</x:f>
        <x:v>269900</x:v>
      </x:c>
      <x:c r="J28" s="414" t="n">
        <x:f>299900-I28</x:f>
        <x:v>30000</x:v>
      </x:c>
      <x:c r="K28" s="414" t="n">
        <x:f>MAX(I28+20000,299900)</x:f>
        <x:v>299900</x:v>
      </x:c>
      <x:c r="L28" s="414" t="n">
        <x:f>IF(G28="","",I28-G28)</x:f>
        <x:v>20000</x:v>
      </x:c>
      <x:c r="M28" s="414" t="n">
        <x:f>IF(H28="","",I28-H28)</x:f>
        <x:v>10000</x:v>
      </x:c>
      <x:c r="N28" s="19" t="n">
        <x:f>IF(G28="",0,1)</x:f>
        <x:v>1</x:v>
      </x:c>
      <x:c r="O28" s="19" t="n">
        <x:f>IF(H28="",0,1)</x:f>
        <x:v>1</x:v>
      </x:c>
      <x:c r="P28" s="19" t="n">
        <x:f>IF(OR(N28=1,O28=1),1,0)</x:f>
        <x:v>1</x:v>
      </x:c>
      <x:c r="Q28" s="23" t="n">
        <x:f>IF(B28="仅Max",F28,0)</x:f>
        <x:v>0</x:v>
      </x:c>
      <x:c r="R28" s="19" t="str">
        <x:v>三档完整，Max高位锚定</x:v>
      </x:c>
      <x:c r="S28" s="414" t="n">
        <x:f>I28*F28</x:f>
        <x:v>539.8</x:v>
      </x:c>
      <x:c r="T28" s="23" t="n">
        <x:f>IF(I28&lt;=279900,F28,0)</x:f>
        <x:v>0.002</x:v>
      </x:c>
    </x:row>
    <x:row r="29" ht="48" customHeight="1">
      <x:c r="A29" s="557" t="str">
        <x:v>B3-P6</x:v>
      </x:c>
      <x:c r="B29" s="557" t="str">
        <x:v>Standard+Pro+Max</x:v>
      </x:c>
      <x:c r="C29" s="561" t="n">
        <x:v>259900</x:v>
      </x:c>
      <x:c r="D29" s="562" t="n">
        <x:f>INDEX('103_N90版本树'!$B$14:$B$17,MATCH(B29,'103_N90版本树'!$A$14:$A$17,0))</x:f>
        <x:v>0.1</x:v>
      </x:c>
      <x:c r="E29" s="564" t="n">
        <x:v>0</x:v>
      </x:c>
      <x:c r="F29" s="562" t="n">
        <x:f>D29*E29</x:f>
        <x:v>0</x:v>
      </x:c>
      <x:c r="G29" s="561" t="n">
        <x:f>IF(OR(B29="Standard+Max",B29="Standard+Pro+Max"),IF(C29&gt;=289900,259900,249900),"")</x:f>
        <x:v>249900</x:v>
      </x:c>
      <x:c r="H29" s="561" t="n">
        <x:f>IF(B29="Pro+Max",IF(C29&gt;=289900,269900,259900),IF(B29="Standard+Pro+Max",IF(C29&gt;=289900,279900,IF(C29&gt;=269900,259900,249900)),""))</x:f>
        <x:v>249900</x:v>
      </x:c>
      <x:c r="I29" s="561" t="n">
        <x:f>C29</x:f>
        <x:v>259900</x:v>
      </x:c>
      <x:c r="J29" s="561" t="n">
        <x:f>299900-I29</x:f>
        <x:v>40000</x:v>
      </x:c>
      <x:c r="K29" s="561" t="n">
        <x:f>MAX(I29+20000,299900)</x:f>
        <x:v>299900</x:v>
      </x:c>
      <x:c r="L29" s="561" t="n">
        <x:f>IF(G29="","",I29-G29)</x:f>
        <x:v>10000</x:v>
      </x:c>
      <x:c r="M29" s="561" t="n">
        <x:f>IF(H29="","",I29-H29)</x:f>
        <x:v>10000</x:v>
      </x:c>
      <x:c r="N29" s="557" t="n">
        <x:f>IF(G29="",0,1)</x:f>
        <x:v>1</x:v>
      </x:c>
      <x:c r="O29" s="557" t="n">
        <x:f>IF(H29="",0,1)</x:f>
        <x:v>1</x:v>
      </x:c>
      <x:c r="P29" s="557" t="n">
        <x:f>IF(OR(N29=1,O29=1),1,0)</x:f>
        <x:v>1</x:v>
      </x:c>
      <x:c r="Q29" s="562" t="n">
        <x:f>IF(B29="仅Max",F29,0)</x:f>
        <x:v>0</x:v>
      </x:c>
      <x:c r="R29" s="557" t="str">
        <x:v>三档完整，Max高位锚定</x:v>
      </x:c>
      <x:c r="S29" s="561" t="n">
        <x:f>I29*F29</x:f>
        <x:v>0</x:v>
      </x:c>
      <x:c r="T29" s="562" t="n">
        <x:f>IF(I29&lt;=279900,F29,0)</x:f>
        <x:v>0</x:v>
      </x:c>
    </x:row>
    <x:row r="32" ht="24" customHeight="1">
      <x:c r="A32" s="560" t="str">
        <x:v>阵容分支摘要（公式回算24个情景）</x:v>
      </x:c>
      <x:c r="B32" s="560"/>
      <x:c r="C32" s="560"/>
      <x:c r="D32" s="560"/>
      <x:c r="E32" s="560"/>
      <x:c r="F32" s="560"/>
      <x:c r="G32" s="560"/>
      <x:c r="H32" s="560"/>
      <x:c r="I32" s="560"/>
      <x:c r="J32" s="560"/>
      <x:c r="K32" s="560"/>
      <x:c r="L32" s="560"/>
      <x:c r="M32" s="560"/>
      <x:c r="N32" s="560"/>
      <x:c r="O32" s="560"/>
      <x:c r="P32" s="560"/>
      <x:c r="Q32" s="560"/>
      <x:c r="R32" s="560"/>
      <x:c r="S32" s="560"/>
      <x:c r="T32" s="560"/>
    </x:row>
    <x:row r="33" ht="54" customHeight="1">
      <x:c r="A33" s="556" t="str">
        <x:v>固定顶阵容</x:v>
      </x:c>
      <x:c r="B33" s="556" t="str">
        <x:v>情景数</x:v>
      </x:c>
      <x:c r="C33" s="556" t="str">
        <x:v>条件权重合计</x:v>
      </x:c>
      <x:c r="D33" s="556" t="str">
        <x:v>联合权重/存在概率</x:v>
      </x:c>
      <x:c r="E33" s="556" t="str">
        <x:v>条件期望Max</x:v>
      </x:c>
      <x:c r="F33" s="556" t="str">
        <x:v>条件Max众数</x:v>
      </x:c>
      <x:c r="G33" s="556" t="str">
        <x:v>代表标准版</x:v>
      </x:c>
      <x:c r="H33" s="556" t="str">
        <x:v>代表Pro</x:v>
      </x:c>
      <x:c r="I33" s="556" t="str">
        <x:v>代表Max</x:v>
      </x:c>
      <x:c r="J33" s="556" t="str">
        <x:v>P(Max≤27.99｜该阵容)</x:v>
      </x:c>
      <x:c r="K33" s="556" t="str">
        <x:v>商业解释</x:v>
      </x:c>
    </x:row>
    <x:row r="34" ht="58" customHeight="1">
      <x:c r="A34" s="19" t="str">
        <x:v>仅Max</x:v>
      </x:c>
      <x:c r="B34" s="19" t="n">
        <x:f>COUNTIF($B$6:$B$29,A34)</x:f>
        <x:v>6</x:v>
      </x:c>
      <x:c r="C34" s="23" t="n">
        <x:f>SUMIF($B$6:$B$29,A34,$E$6:$E$29)</x:f>
        <x:v>1</x:v>
      </x:c>
      <x:c r="D34" s="23" t="n">
        <x:f>SUMIF($B$6:$B$29,A34,$F$6:$F$29)</x:f>
        <x:v>0.6000000000000001</x:v>
      </x:c>
      <x:c r="E34" s="414" t="n">
        <x:f>SUMIF($B$6:$B$29,A34,$S$6:$S$29)/D34</x:f>
        <x:v>277579.99999999994</x:v>
      </x:c>
      <x:c r="F34" s="414" t="n">
        <x:v>279900</x:v>
      </x:c>
      <x:c r="G34" s="414" t="str"/>
      <x:c r="H34" s="414" t="str"/>
      <x:c r="I34" s="414" t="n">
        <x:v>279900</x:v>
      </x:c>
      <x:c r="J34" s="23" t="n">
        <x:f>SUMIF($B$6:$B$29,A34,$T$6:$T$29)/D34</x:f>
        <x:v>0.95</x:v>
      </x:c>
      <x:c r="K34" s="19" t="str">
        <x:v>Max承担低价任务；95%概率≤27.99</x:v>
      </x:c>
    </x:row>
    <x:row r="35" ht="58" customHeight="1">
      <x:c r="A35" s="557" t="str">
        <x:v>Standard+Max</x:v>
      </x:c>
      <x:c r="B35" s="557" t="n">
        <x:f>COUNTIF($B$6:$B$29,A35)</x:f>
        <x:v>6</x:v>
      </x:c>
      <x:c r="C35" s="562" t="n">
        <x:f>SUMIF($B$6:$B$29,A35,$E$6:$E$29)</x:f>
        <x:v>1</x:v>
      </x:c>
      <x:c r="D35" s="562" t="n">
        <x:f>SUMIF($B$6:$B$29,A35,$F$6:$F$29)</x:f>
        <x:v>0.25</x:v>
      </x:c>
      <x:c r="E35" s="561" t="n">
        <x:f>SUMIF($B$6:$B$29,A35,$S$6:$S$29)/D35</x:f>
        <x:v>288600</x:v>
      </x:c>
      <x:c r="F35" s="561" t="n">
        <x:v>289900</x:v>
      </x:c>
      <x:c r="G35" s="561" t="n">
        <x:v>259900</x:v>
      </x:c>
      <x:c r="H35" s="561" t="str"/>
      <x:c r="I35" s="561" t="n">
        <x:v>289900</x:v>
      </x:c>
      <x:c r="J35" s="562" t="n">
        <x:f>SUMIF($B$6:$B$29,A35,$T$6:$T$29)/D35</x:f>
        <x:v>0.25</x:v>
      </x:c>
      <x:c r="K35" s="557" t="str">
        <x:v>标准版25.99，Max回到28.99</x:v>
      </x:c>
    </x:row>
    <x:row r="36" ht="58" customHeight="1">
      <x:c r="A36" s="19" t="str">
        <x:v>Pro+Max</x:v>
      </x:c>
      <x:c r="B36" s="19" t="n">
        <x:f>COUNTIF($B$6:$B$29,A36)</x:f>
        <x:v>6</x:v>
      </x:c>
      <x:c r="C36" s="23" t="n">
        <x:f>SUMIF($B$6:$B$29,A36,$E$6:$E$29)</x:f>
        <x:v>1</x:v>
      </x:c>
      <x:c r="D36" s="23" t="n">
        <x:f>SUMIF($B$6:$B$29,A36,$F$6:$F$29)</x:f>
        <x:v>0.05</x:v>
      </x:c>
      <x:c r="E36" s="414" t="n">
        <x:f>SUMIF($B$6:$B$29,A36,$S$6:$S$29)/D36</x:f>
        <x:v>293300</x:v>
      </x:c>
      <x:c r="F36" s="414" t="n">
        <x:v>299900</x:v>
      </x:c>
      <x:c r="G36" s="414" t="str"/>
      <x:c r="H36" s="414" t="n">
        <x:v>269900</x:v>
      </x:c>
      <x:c r="I36" s="414" t="n">
        <x:v>299900</x:v>
      </x:c>
      <x:c r="J36" s="23" t="n">
        <x:f>SUMIF($B$6:$B$29,A36,$T$6:$T$29)/D36</x:f>
        <x:v>0.15</x:v>
      </x:c>
      <x:c r="K36" s="19" t="str">
        <x:v>Pro 26.99，Max优先29.99</x:v>
      </x:c>
    </x:row>
    <x:row r="37" ht="58" customHeight="1">
      <x:c r="A37" s="557" t="str">
        <x:v>Standard+Pro+Max</x:v>
      </x:c>
      <x:c r="B37" s="557" t="n">
        <x:f>COUNTIF($B$6:$B$29,A37)</x:f>
        <x:v>6</x:v>
      </x:c>
      <x:c r="C37" s="562" t="n">
        <x:f>SUMIF($B$6:$B$29,A37,$E$6:$E$29)</x:f>
        <x:v>1</x:v>
      </x:c>
      <x:c r="D37" s="562" t="n">
        <x:f>SUMIF($B$6:$B$29,A37,$F$6:$F$29)</x:f>
        <x:v>0.1</x:v>
      </x:c>
      <x:c r="E37" s="561" t="n">
        <x:f>SUMIF($B$6:$B$29,A37,$S$6:$S$29)/D37</x:f>
        <x:v>294400</x:v>
      </x:c>
      <x:c r="F37" s="561" t="n">
        <x:v>299900</x:v>
      </x:c>
      <x:c r="G37" s="561" t="n">
        <x:v>259900</x:v>
      </x:c>
      <x:c r="H37" s="561" t="n">
        <x:v>279900</x:v>
      </x:c>
      <x:c r="I37" s="561" t="n">
        <x:v>299900</x:v>
      </x:c>
      <x:c r="J37" s="562" t="n">
        <x:f>SUMIF($B$6:$B$29,A37,$T$6:$T$29)/D37</x:f>
        <x:v>0.09999999999999999</x:v>
      </x:c>
      <x:c r="K37" s="557" t="str">
        <x:v>完整三档25.99/27.99/29.99</x:v>
      </x:c>
    </x:row>
  </x:sheetData>
  <x:mergeCells>
    <x:mergeCell ref="A1:T1"/>
    <x:mergeCell ref="A2:T2"/>
    <x:mergeCell ref="A3:T3"/>
    <x:mergeCell ref="A32:T32"/>
  </x:mergeCells>
  <x:pageMargins left="0.7" right="0.7" top="0.75" bottom="0.75" header="0.3" footer="0.3"/>
</x:worksheet>
</file>

<file path=xl/worksheets/sheet10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22" hidden="0" customWidth="1"/>
    <x:col min="3" max="3" width="24" hidden="0" customWidth="1"/>
    <x:col min="4" max="4" width="28" hidden="0" customWidth="1"/>
    <x:col min="5" max="5" width="30" hidden="0" customWidth="1"/>
    <x:col min="6" max="6" width="42" hidden="0" customWidth="1"/>
    <x:col min="7" max="7" width="18" hidden="0" customWidth="1"/>
    <x:col min="8" max="8" width="4" hidden="0" customWidth="1"/>
    <x:col min="9" max="9" width="15" hidden="0" customWidth="1"/>
    <x:col min="10" max="10" width="15" hidden="0" customWidth="1"/>
    <x:col min="11" max="11" width="15" hidden="0" customWidth="1"/>
    <x:col min="12" max="12" width="15" hidden="0" customWidth="1"/>
    <x:col min="13" max="13" width="15" hidden="0" customWidth="1"/>
    <x:col min="14" max="14" width="15" hidden="0" customWidth="1"/>
  </x:cols>
  <x:sheetData>
    <x:row r="1" ht="30" customHeight="1">
      <x:c r="A1" s="544" t="str">
        <x:v>107｜N90价格边际：存在概率与存在条件下售价分开</x:v>
      </x:c>
      <x:c r="B1" s="544"/>
      <x:c r="C1" s="544"/>
      <x:c r="D1" s="544"/>
      <x:c r="E1" s="544"/>
      <x:c r="F1" s="544"/>
      <x:c r="G1" s="544"/>
      <x:c r="H1" s="544"/>
      <x:c r="I1" s="544"/>
      <x:c r="J1" s="544"/>
      <x:c r="K1" s="544"/>
      <x:c r="L1" s="544"/>
      <x:c r="M1" s="544"/>
      <x:c r="N1" s="544"/>
    </x:row>
    <x:row r="2" ht="22" customHeight="1">
      <x:c r="A2" s="547" t="str">
        <x:v>Max输出无条件与阵容条件分布｜标准版/Pro只在存在条件下计算售价</x:v>
      </x:c>
      <x:c r="B2" s="547"/>
      <x:c r="C2" s="547"/>
      <x:c r="D2" s="547"/>
      <x:c r="E2" s="547"/>
      <x:c r="F2" s="547"/>
      <x:c r="G2" s="547"/>
      <x:c r="H2" s="547"/>
      <x:c r="I2" s="547"/>
      <x:c r="J2" s="547"/>
      <x:c r="K2" s="547"/>
      <x:c r="L2" s="547"/>
      <x:c r="M2" s="547"/>
      <x:c r="N2" s="547"/>
    </x:row>
    <x:row r="3" ht="82" customHeight="1">
      <x:c r="A3" s="551" t="str">
        <x:v>这是本阶段最重要的防误读：标准版有35%的发布时存在概率，不代表其售价分布还要混入65%的“不存在”；Max则在所有阵容中存在。仅Max时Max众数27.99万元；有低价SKU时Max众数28.99万元；结构加权后Max无条件众数仍为27.99万元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  <x:c r="M3" s="551"/>
      <x:c r="N3" s="551"/>
    </x:row>
    <x:row r="5" ht="52" customHeight="1">
      <x:c r="A5" s="556" t="str">
        <x:v>N90 Max正式价</x:v>
      </x:c>
      <x:c r="B5" s="556" t="str">
        <x:v>无条件权重</x:v>
      </x:c>
      <x:c r="C5" s="556" t="str">
        <x:v>仅Max条件权重</x:v>
      </x:c>
      <x:c r="D5" s="556" t="str">
        <x:v>有低价SKU条件权重</x:v>
      </x:c>
      <x:c r="E5" s="556" t="str">
        <x:v>价格角色</x:v>
      </x:c>
      <x:c r="F5" s="556" t="str">
        <x:v>解释</x:v>
      </x:c>
      <x:c r="G5" s="556" t="str">
        <x:v>回链</x:v>
      </x:c>
    </x:row>
    <x:row r="6" ht="52" customHeight="1">
      <x:c r="A6" s="414" t="n">
        <x:v>299900</x:v>
      </x:c>
      <x:c r="B6" s="528" t="n">
        <x:f>SUMIF('106_N90联合定价'!$I$6:$I$29,A6,'106_N90联合定价'!$F$6:$F$29)</x:f>
        <x:v>0.12350000000000001</x:v>
      </x:c>
      <x:c r="C6" s="528" t="n">
        <x:f>SUMIF('106_N90联合定价'!$I$6:$I$29,A6,'106_N90联合定价'!$Q$6:$Q$29)/'103_N90版本树'!$B$26</x:f>
        <x:v>0.01</x:v>
      </x:c>
      <x:c r="D6" s="528" t="n">
        <x:f>(B6-SUMIF('106_N90联合定价'!$I$6:$I$29,A6,'106_N90联合定价'!$Q$6:$Q$29))/'103_N90版本树'!$B$25</x:f>
        <x:v>0.29375</x:v>
      </x:c>
      <x:c r="E6" s="19" t="str">
        <x:v>高位锚</x:v>
      </x:c>
      <x:c r="F6" s="19" t="str">
        <x:v>Pro/三档分支更常见</x:v>
      </x:c>
      <x:c r="G6" s="19" t="str">
        <x:v>106表</x:v>
      </x:c>
    </x:row>
    <x:row r="7" ht="52" customHeight="1">
      <x:c r="A7" s="561" t="n">
        <x:v>293900</x:v>
      </x:c>
      <x:c r="B7" s="564" t="n">
        <x:f>SUMIF('106_N90联合定价'!$I$6:$I$29,A7,'106_N90联合定价'!$F$6:$F$29)</x:f>
        <x:v>0.032</x:v>
      </x:c>
      <x:c r="C7" s="564" t="n">
        <x:f>SUMIF('106_N90联合定价'!$I$6:$I$29,A7,'106_N90联合定价'!$Q$6:$Q$29)/'103_N90版本树'!$B$26</x:f>
        <x:v>0.02</x:v>
      </x:c>
      <x:c r="D7" s="564" t="n">
        <x:f>(B7-SUMIF('106_N90联合定价'!$I$6:$I$29,A7,'106_N90联合定价'!$Q$6:$Q$29))/'103_N90版本树'!$B$25</x:f>
        <x:v>0.049999999999999996</x:v>
      </x:c>
      <x:c r="E7" s="557" t="str">
        <x:v>特殊围栏</x:v>
      </x:c>
      <x:c r="F7" s="557" t="str">
        <x:v>保留SU7式非x.99小概率</x:v>
      </x:c>
      <x:c r="G7" s="557" t="str">
        <x:v>106表</x:v>
      </x:c>
    </x:row>
    <x:row r="8" ht="52" customHeight="1">
      <x:c r="A8" s="414" t="n">
        <x:v>289900</x:v>
      </x:c>
      <x:c r="B8" s="528" t="n">
        <x:f>SUMIF('106_N90联合定价'!$I$6:$I$29,A8,'106_N90联合定价'!$F$6:$F$29)</x:f>
        <x:v>0.19450000000000003</x:v>
      </x:c>
      <x:c r="C8" s="528" t="n">
        <x:f>SUMIF('106_N90联合定价'!$I$6:$I$29,A8,'106_N90联合定价'!$Q$6:$Q$29)/'103_N90版本树'!$B$26</x:f>
        <x:v>0.02</x:v>
      </x:c>
      <x:c r="D8" s="528" t="n">
        <x:f>(B8-SUMIF('106_N90联合定价'!$I$6:$I$29,A8,'106_N90联合定价'!$Q$6:$Q$29))/'103_N90版本树'!$B$25</x:f>
        <x:v>0.45625000000000004</x:v>
      </x:c>
      <x:c r="E8" s="19" t="str">
        <x:v>低价SKU分支MODE</x:v>
      </x:c>
      <x:c r="F8" s="19" t="str">
        <x:v>标准版承担起售价后Max中枢</x:v>
      </x:c>
      <x:c r="G8" s="19" t="str">
        <x:v>106表</x:v>
      </x:c>
    </x:row>
    <x:row r="9" ht="52" customHeight="1">
      <x:c r="A9" s="561" t="n">
        <x:v>279900</x:v>
      </x:c>
      <x:c r="B9" s="564" t="n">
        <x:f>SUMIF('106_N90联合定价'!$I$6:$I$29,A9,'106_N90联合定价'!$F$6:$F$29)</x:f>
        <x:v>0.484</x:v>
      </x:c>
      <x:c r="C9" s="564" t="n">
        <x:f>SUMIF('106_N90联合定价'!$I$6:$I$29,A9,'106_N90联合定价'!$Q$6:$Q$29)/'103_N90版本树'!$B$26</x:f>
        <x:v>0.7</x:v>
      </x:c>
      <x:c r="D9" s="564" t="n">
        <x:f>(B9-SUMIF('106_N90联合定价'!$I$6:$I$29,A9,'106_N90联合定价'!$Q$6:$Q$29))/'103_N90版本树'!$B$25</x:f>
        <x:v>0.16</x:v>
      </x:c>
      <x:c r="E9" s="557" t="str">
        <x:v>仅Max分支MODE/无条件MODE</x:v>
      </x:c>
      <x:c r="F9" s="557" t="str">
        <x:v>Max自己承担竞争性降价</x:v>
      </x:c>
      <x:c r="G9" s="557" t="str">
        <x:v>106表</x:v>
      </x:c>
    </x:row>
    <x:row r="10" ht="52" customHeight="1">
      <x:c r="A10" s="414" t="n">
        <x:v>269900</x:v>
      </x:c>
      <x:c r="B10" s="528" t="n">
        <x:f>SUMIF('106_N90联合定价'!$I$6:$I$29,A10,'106_N90联合定价'!$F$6:$F$29)</x:f>
        <x:v>0.136</x:v>
      </x:c>
      <x:c r="C10" s="528" t="n">
        <x:f>SUMIF('106_N90联合定价'!$I$6:$I$29,A10,'106_N90联合定价'!$Q$6:$Q$29)/'103_N90版本树'!$B$26</x:f>
        <x:v>0.2</x:v>
      </x:c>
      <x:c r="D10" s="528" t="n">
        <x:f>(B10-SUMIF('106_N90联合定价'!$I$6:$I$29,A10,'106_N90联合定价'!$Q$6:$Q$29))/'103_N90版本树'!$B$25</x:f>
        <x:v>0.040000000000000036</x:v>
      </x:c>
      <x:c r="E10" s="19" t="str">
        <x:v>进攻尾部</x:v>
      </x:c>
      <x:c r="F10" s="19" t="str">
        <x:v>仅Max分支次要情景</x:v>
      </x:c>
      <x:c r="G10" s="19" t="str">
        <x:v>106表</x:v>
      </x:c>
    </x:row>
    <x:row r="11" ht="52" customHeight="1">
      <x:c r="A11" s="561" t="n">
        <x:v>259900</x:v>
      </x:c>
      <x:c r="B11" s="564" t="n">
        <x:f>SUMIF('106_N90联合定价'!$I$6:$I$29,A11,'106_N90联合定价'!$F$6:$F$29)</x:f>
        <x:v>0.03</x:v>
      </x:c>
      <x:c r="C11" s="564" t="n">
        <x:f>SUMIF('106_N90联合定价'!$I$6:$I$29,A11,'106_N90联合定价'!$Q$6:$Q$29)/'103_N90版本树'!$B$26</x:f>
        <x:v>0.05</x:v>
      </x:c>
      <x:c r="D11" s="564" t="n">
        <x:f>(B11-SUMIF('106_N90联合定价'!$I$6:$I$29,A11,'106_N90联合定价'!$Q$6:$Q$29))/'103_N90版本树'!$B$25</x:f>
        <x:v>0</x:v>
      </x:c>
      <x:c r="E11" s="557" t="str">
        <x:v>开放尾部</x:v>
      </x:c>
      <x:c r="F11" s="557" t="str">
        <x:v>结构重构压力情景</x:v>
      </x:c>
      <x:c r="G11" s="557" t="str">
        <x:v>106表</x:v>
      </x:c>
    </x:row>
    <x:row r="14" ht="24" customHeight="1">
      <x:c r="A14" s="560" t="str">
        <x:v>N90标准版：条件于该版本存在</x:v>
      </x:c>
      <x:c r="B14" s="560"/>
      <x:c r="C14" s="560"/>
      <x:c r="D14" s="560"/>
      <x:c r="E14" s="560"/>
      <x:c r="F14" s="560"/>
      <x:c r="G14" s="560"/>
    </x:row>
    <x:row r="15" ht="46" customHeight="1">
      <x:c r="A15" s="556" t="str">
        <x:v>正式价</x:v>
      </x:c>
      <x:c r="B15" s="556" t="str">
        <x:v>无条件联合质量</x:v>
      </x:c>
      <x:c r="C15" s="556" t="str">
        <x:v>存在条件下权重</x:v>
      </x:c>
      <x:c r="D15" s="556" t="str">
        <x:v>角色</x:v>
      </x:c>
      <x:c r="E15" s="556" t="str">
        <x:v>说明</x:v>
      </x:c>
    </x:row>
    <x:row r="16" ht="50" customHeight="1">
      <x:c r="A16" s="414" t="n">
        <x:v>249900</x:v>
      </x:c>
      <x:c r="B16" s="23" t="n">
        <x:f>SUMIF('106_N90联合定价'!$G$6:$G$29,A16,'106_N90联合定价'!$F$6:$F$29)</x:f>
        <x:v>0.07250000000000001</x:v>
      </x:c>
      <x:c r="C16" s="23" t="n">
        <x:f>B16/'103_N90版本树'!$B$22</x:f>
        <x:v>0.20714285714285718</x:v>
      </x:c>
      <x:c r="D16" s="19" t="str">
        <x:v>尾部/低价</x:v>
      </x:c>
      <x:c r="E16" s="19" t="str">
        <x:v>Max降到27.99或更低时触发</x:v>
      </x:c>
    </x:row>
    <x:row r="17" ht="50" customHeight="1">
      <x:c r="A17" s="561" t="n">
        <x:v>259900</x:v>
      </x:c>
      <x:c r="B17" s="562" t="n">
        <x:f>SUMIF('106_N90联合定价'!$G$6:$G$29,A17,'106_N90联合定价'!$F$6:$F$29)</x:f>
        <x:v>0.27749999999999997</x:v>
      </x:c>
      <x:c r="C17" s="562" t="n">
        <x:f>B17/'103_N90版本树'!$B$22</x:f>
        <x:v>0.7928571428571428</x:v>
      </x:c>
      <x:c r="D17" s="557" t="str">
        <x:v>MODE</x:v>
      </x:c>
      <x:c r="E17" s="557" t="str">
        <x:v>Standard+Max和三档分支的主要入口价</x:v>
      </x:c>
    </x:row>
    <x:row r="18" ht="50" customHeight="1">
      <x:c r="A18" s="414" t="n">
        <x:v>269900</x:v>
      </x:c>
      <x:c r="B18" s="23" t="n">
        <x:f>SUMIF('106_N90联合定价'!$G$6:$G$29,A18,'106_N90联合定价'!$F$6:$F$29)</x:f>
        <x:v>0</x:v>
      </x:c>
      <x:c r="C18" s="23" t="n">
        <x:f>B18/'103_N90版本树'!$B$22</x:f>
        <x:v>0</x:v>
      </x:c>
      <x:c r="D18" s="19" t="str">
        <x:v>高位围栏</x:v>
      </x:c>
      <x:c r="E18" s="19" t="str">
        <x:v>仅Max 29.99高位时的备选映射</x:v>
      </x:c>
    </x:row>
    <x:row r="21" ht="24" customHeight="1">
      <x:c r="A21" s="560" t="str">
        <x:v>N90 Pro：条件于该版本存在</x:v>
      </x:c>
      <x:c r="B21" s="560"/>
      <x:c r="C21" s="560"/>
      <x:c r="D21" s="560"/>
      <x:c r="E21" s="560"/>
      <x:c r="F21" s="560"/>
      <x:c r="G21" s="560"/>
    </x:row>
    <x:row r="22" ht="46" customHeight="1">
      <x:c r="A22" s="556" t="str">
        <x:v>正式价</x:v>
      </x:c>
      <x:c r="B22" s="556" t="str">
        <x:v>无条件联合质量</x:v>
      </x:c>
      <x:c r="C22" s="556" t="str">
        <x:v>存在条件下权重</x:v>
      </x:c>
      <x:c r="D22" s="556" t="str">
        <x:v>角色</x:v>
      </x:c>
      <x:c r="E22" s="556" t="str">
        <x:v>说明</x:v>
      </x:c>
    </x:row>
    <x:row r="23" ht="50" customHeight="1">
      <x:c r="A23" s="414" t="n">
        <x:v>259900</x:v>
      </x:c>
      <x:c r="B23" s="23" t="n">
        <x:f>SUMIF('106_N90联合定价'!$H$6:$H$29,A23,'106_N90联合定价'!$F$6:$F$29)</x:f>
        <x:v>0.0175</x:v>
      </x:c>
      <x:c r="C23" s="23" t="n">
        <x:f>B23/'103_N90版本树'!$B$23</x:f>
        <x:v>0.11666666666666665</x:v>
      </x:c>
      <x:c r="D23" s="19" t="str">
        <x:v>低位尾部</x:v>
      </x:c>
      <x:c r="E23" s="19" t="str">
        <x:v>Pro+Max强降价情景</x:v>
      </x:c>
    </x:row>
    <x:row r="24" ht="50" customHeight="1">
      <x:c r="A24" s="561" t="n">
        <x:v>269900</x:v>
      </x:c>
      <x:c r="B24" s="562" t="n">
        <x:f>SUMIF('106_N90联合定价'!$H$6:$H$29,A24,'106_N90联合定价'!$F$6:$F$29)</x:f>
        <x:v>0.0425</x:v>
      </x:c>
      <x:c r="C24" s="562" t="n">
        <x:f>B24/'103_N90版本树'!$B$23</x:f>
        <x:v>0.2833333333333333</x:v>
      </x:c>
      <x:c r="D24" s="557" t="str">
        <x:v>Pro+Max MODE</x:v>
      </x:c>
      <x:c r="E24" s="557" t="str">
        <x:v>两档结构代表价</x:v>
      </x:c>
    </x:row>
    <x:row r="25" ht="50" customHeight="1">
      <x:c r="A25" s="414" t="n">
        <x:v>279900</x:v>
      </x:c>
      <x:c r="B25" s="23" t="n">
        <x:f>SUMIF('106_N90联合定价'!$H$6:$H$29,A25,'106_N90联合定价'!$F$6:$F$29)</x:f>
        <x:v>0.09000000000000001</x:v>
      </x:c>
      <x:c r="C25" s="23" t="n">
        <x:f>B25/'103_N90版本树'!$B$23</x:f>
        <x:v>0.6</x:v>
      </x:c>
      <x:c r="D25" s="19" t="str">
        <x:v>三档 MODE/总MODE</x:v>
      </x:c>
      <x:c r="E25" s="19" t="str">
        <x:v>完整三档25.99/27.99/29.99</x:v>
      </x:c>
    </x:row>
    <x:row r="28" ht="24" customHeight="1">
      <x:c r="A28" s="560" t="str">
        <x:v>边际与条件分布摘要</x:v>
      </x:c>
      <x:c r="B28" s="560"/>
      <x:c r="C28" s="560"/>
      <x:c r="D28" s="560"/>
      <x:c r="E28" s="560"/>
      <x:c r="F28" s="560"/>
      <x:c r="G28" s="560"/>
    </x:row>
    <x:row r="29" ht="44" customHeight="1">
      <x:c r="A29" s="556" t="str">
        <x:v>指标</x:v>
      </x:c>
      <x:c r="B29" s="556" t="str">
        <x:v>结果</x:v>
      </x:c>
      <x:c r="C29" s="556" t="str">
        <x:v>解释</x:v>
      </x:c>
    </x:row>
    <x:row r="30" ht="44" customHeight="1">
      <x:c r="A30" s="19" t="str">
        <x:v>Max无条件权重合计</x:v>
      </x:c>
      <x:c r="B30" s="23" t="n">
        <x:f>SUM(B6:B11)</x:f>
        <x:v>1</x:v>
      </x:c>
      <x:c r="C30" s="19" t="str">
        <x:v>必须100%</x:v>
      </x:c>
    </x:row>
    <x:row r="31" ht="44" customHeight="1">
      <x:c r="A31" s="557" t="str">
        <x:v>Max无条件众数</x:v>
      </x:c>
      <x:c r="B31" s="561" t="n">
        <x:f>INDEX(A6:A11,MATCH(MAX(B6:B11),B6:B11,0))</x:f>
        <x:v>279900</x:v>
      </x:c>
      <x:c r="C31" s="557" t="str">
        <x:v>结构加权后仍为27.99万</x:v>
      </x:c>
    </x:row>
    <x:row r="32" ht="44" customHeight="1">
      <x:c r="A32" s="19" t="str">
        <x:v>Max无条件期望价</x:v>
      </x:c>
      <x:c r="B32" s="414" t="n">
        <x:f>SUMPRODUCT(A6:A11,B6:B11)</x:f>
        <x:v>282803.00000000006</x:v>
      </x:c>
      <x:c r="C32" s="19" t="str">
        <x:v>约28.28万</x:v>
      </x:c>
    </x:row>
    <x:row r="33" ht="44" customHeight="1">
      <x:c r="A33" s="557" t="str">
        <x:v>P(Max≤27.99)无条件</x:v>
      </x:c>
      <x:c r="B33" s="562" t="n">
        <x:f>SUM(B9:B11)</x:f>
        <x:v>0.65</x:v>
      </x:c>
      <x:c r="C33" s="557" t="str">
        <x:v>保持Phase3.3A的65%</x:v>
      </x:c>
    </x:row>
    <x:row r="34" ht="44" customHeight="1">
      <x:c r="A34" s="19" t="str">
        <x:v>仅Max条件权重合计</x:v>
      </x:c>
      <x:c r="B34" s="23" t="n">
        <x:f>SUM(C6:C11)</x:f>
        <x:v>1</x:v>
      </x:c>
      <x:c r="C34" s="19" t="str">
        <x:v>必须100%</x:v>
      </x:c>
    </x:row>
    <x:row r="35" ht="44" customHeight="1">
      <x:c r="A35" s="557" t="str">
        <x:v>仅Max条件众数</x:v>
      </x:c>
      <x:c r="B35" s="561" t="n">
        <x:f>INDEX(A6:A11,MATCH(MAX(C6:C11),C6:C11,0))</x:f>
        <x:v>279900</x:v>
      </x:c>
      <x:c r="C35" s="557" t="str">
        <x:v>27.99万</x:v>
      </x:c>
    </x:row>
    <x:row r="36" ht="44" customHeight="1">
      <x:c r="A36" s="19" t="str">
        <x:v>P(Max≤27.99｜仅Max)</x:v>
      </x:c>
      <x:c r="B36" s="23" t="n">
        <x:f>SUM(C9:C11)</x:f>
        <x:v>0.95</x:v>
      </x:c>
      <x:c r="C36" s="19" t="str">
        <x:v>95%</x:v>
      </x:c>
    </x:row>
    <x:row r="37" ht="44" customHeight="1">
      <x:c r="A37" s="557" t="str">
        <x:v>有低价SKU条件权重合计</x:v>
      </x:c>
      <x:c r="B37" s="562" t="n">
        <x:f>SUM(D6:D11)</x:f>
        <x:v>1</x:v>
      </x:c>
      <x:c r="C37" s="557" t="str">
        <x:v>必须100%</x:v>
      </x:c>
    </x:row>
    <x:row r="38" ht="44" customHeight="1">
      <x:c r="A38" s="19" t="str">
        <x:v>有低价SKU条件Max众数</x:v>
      </x:c>
      <x:c r="B38" s="414" t="n">
        <x:f>INDEX(A6:A11,MATCH(MAX(D6:D11),D6:D11,0))</x:f>
        <x:v>289900</x:v>
      </x:c>
      <x:c r="C38" s="19" t="str">
        <x:v>28.99万</x:v>
      </x:c>
    </x:row>
    <x:row r="39" ht="44" customHeight="1">
      <x:c r="A39" s="557" t="str">
        <x:v>P(Max≤27.99｜有低价SKU)</x:v>
      </x:c>
      <x:c r="B39" s="562" t="n">
        <x:f>SUM(D9:D11)</x:f>
        <x:v>0.20000000000000004</x:v>
      </x:c>
      <x:c r="C39" s="557" t="str">
        <x:v>20%；比仅Max下降75个百分点</x:v>
      </x:c>
    </x:row>
    <x:row r="40" ht="44" customHeight="1">
      <x:c r="A40" s="19" t="str">
        <x:v>标准版发布时存在概率</x:v>
      </x:c>
      <x:c r="B40" s="23" t="n">
        <x:f>'103_N90版本树'!B22</x:f>
        <x:v>0.35</x:v>
      </x:c>
      <x:c r="C40" s="19" t="str">
        <x:v>35%</x:v>
      </x:c>
    </x:row>
    <x:row r="41" ht="44" customHeight="1">
      <x:c r="A41" s="557" t="str">
        <x:v>标准版条件权重合计</x:v>
      </x:c>
      <x:c r="B41" s="562" t="n">
        <x:f>SUM(C16:C18)</x:f>
        <x:v>1</x:v>
      </x:c>
      <x:c r="C41" s="557" t="str">
        <x:v>必须100%</x:v>
      </x:c>
    </x:row>
    <x:row r="42" ht="44" customHeight="1">
      <x:c r="A42" s="19" t="str">
        <x:v>标准版条件众数</x:v>
      </x:c>
      <x:c r="B42" s="414" t="n">
        <x:f>INDEX(A16:A18,MATCH(MAX(C16:C18),C16:C18,0))</x:f>
        <x:v>259900</x:v>
      </x:c>
      <x:c r="C42" s="19" t="str">
        <x:v>25.99万</x:v>
      </x:c>
    </x:row>
    <x:row r="43" ht="44" customHeight="1">
      <x:c r="A43" s="557" t="str">
        <x:v>标准版条件期望价</x:v>
      </x:c>
      <x:c r="B43" s="561" t="n">
        <x:f>SUMPRODUCT(A16:A18,B16:B18)/'103_N90版本树'!B22</x:f>
        <x:v>257828.5714285714</x:v>
      </x:c>
      <x:c r="C43" s="557" t="str">
        <x:v>只对35%存在质量求均值</x:v>
      </x:c>
    </x:row>
    <x:row r="44" ht="44" customHeight="1">
      <x:c r="A44" s="19" t="str">
        <x:v>Pro发布时存在概率</x:v>
      </x:c>
      <x:c r="B44" s="23" t="n">
        <x:f>'103_N90版本树'!B23</x:f>
        <x:v>0.15000000000000002</x:v>
      </x:c>
      <x:c r="C44" s="19" t="str">
        <x:v>15%</x:v>
      </x:c>
    </x:row>
    <x:row r="45" ht="44" customHeight="1">
      <x:c r="A45" s="557" t="str">
        <x:v>Pro条件权重合计</x:v>
      </x:c>
      <x:c r="B45" s="562" t="n">
        <x:f>SUM(C23:C25)</x:f>
        <x:v>1</x:v>
      </x:c>
      <x:c r="C45" s="557" t="str">
        <x:v>必须100%</x:v>
      </x:c>
    </x:row>
    <x:row r="46" ht="44" customHeight="1">
      <x:c r="A46" s="19" t="str">
        <x:v>Pro条件众数</x:v>
      </x:c>
      <x:c r="B46" s="414" t="n">
        <x:f>INDEX(A23:A25,MATCH(MAX(C23:C25),C23:C25,0))</x:f>
        <x:v>279900</x:v>
      </x:c>
      <x:c r="C46" s="19" t="str">
        <x:v>27.99万</x:v>
      </x:c>
    </x:row>
    <x:row r="47" ht="44" customHeight="1">
      <x:c r="A47" s="557" t="str">
        <x:v>Pro条件期望价</x:v>
      </x:c>
      <x:c r="B47" s="561" t="n">
        <x:f>SUMPRODUCT(A23:A25,B23:B25)/'103_N90版本树'!B23</x:f>
        <x:v>274733.3333333333</x:v>
      </x:c>
      <x:c r="C47" s="557" t="str">
        <x:v>只对15%存在质量求均值</x:v>
      </x:c>
    </x:row>
  </x:sheetData>
  <x:mergeCells>
    <x:mergeCell ref="A1:N1"/>
    <x:mergeCell ref="A2:N2"/>
    <x:mergeCell ref="A3:N3"/>
    <x:mergeCell ref="A14:G14"/>
    <x:mergeCell ref="A21:G21"/>
    <x:mergeCell ref="A28:G28"/>
  </x:mergeCells>
  <x:conditionalFormatting sqref="E6:E11">
    <x:cfRule type="containsText" dxfId="2694" priority="1" operator="containsText" text="PASS"/>
    <x:cfRule type="containsText" dxfId="2695" priority="2" operator="containsText" text="READY"/>
    <x:cfRule type="containsText" dxfId="2696" priority="3" operator="containsText" text="CONFIRMED"/>
    <x:cfRule type="containsText" dxfId="2697" priority="4" operator="containsText" text="OFFICIAL"/>
    <x:cfRule type="containsText" dxfId="2698" priority="5" operator="containsText" text="MODE"/>
    <x:cfRule type="containsText" dxfId="2699" priority="6" operator="containsText" text="YES"/>
    <x:cfRule type="containsText" dxfId="2700" priority="7" operator="containsText" text="PREDICTED"/>
    <x:cfRule type="containsText" dxfId="2701" priority="8" operator="containsText" text="CONDITIONAL"/>
    <x:cfRule type="containsText" dxfId="2702" priority="9" operator="containsText" text="WATCHLIST"/>
    <x:cfRule type="containsText" dxfId="2703" priority="10" operator="containsText" text="MEDIUM"/>
    <x:cfRule type="containsText" dxfId="2704" priority="11" operator="containsText" text="LOW"/>
    <x:cfRule type="containsText" dxfId="2705" priority="12" operator="containsText" text="SEPARATE"/>
    <x:cfRule type="containsText" dxfId="2706" priority="13" operator="containsText" text="EXCLUDED"/>
    <x:cfRule type="containsText" dxfId="2707" priority="14" operator="containsText" text="NO"/>
    <x:cfRule type="containsText" dxfId="2708" priority="15" operator="containsText" text="BLOCKED"/>
    <x:cfRule type="containsText" dxfId="2709" priority="16" operator="containsText" text="FAIL"/>
    <x:cfRule type="containsText" dxfId="2710" priority="17" operator="containsText" text="SUPERSEDED"/>
  </x:conditionalFormatting>
  <x:conditionalFormatting sqref="D16:D18">
    <x:cfRule type="containsText" dxfId="2711" priority="18" operator="containsText" text="PASS"/>
    <x:cfRule type="containsText" dxfId="2712" priority="19" operator="containsText" text="READY"/>
    <x:cfRule type="containsText" dxfId="2713" priority="20" operator="containsText" text="CONFIRMED"/>
    <x:cfRule type="containsText" dxfId="2714" priority="21" operator="containsText" text="OFFICIAL"/>
    <x:cfRule type="containsText" dxfId="2715" priority="22" operator="containsText" text="MODE"/>
    <x:cfRule type="containsText" dxfId="2716" priority="23" operator="containsText" text="YES"/>
    <x:cfRule type="containsText" dxfId="2717" priority="24" operator="containsText" text="PREDICTED"/>
    <x:cfRule type="containsText" dxfId="2718" priority="25" operator="containsText" text="CONDITIONAL"/>
    <x:cfRule type="containsText" dxfId="2719" priority="26" operator="containsText" text="WATCHLIST"/>
    <x:cfRule type="containsText" dxfId="2720" priority="27" operator="containsText" text="MEDIUM"/>
    <x:cfRule type="containsText" dxfId="2721" priority="28" operator="containsText" text="LOW"/>
    <x:cfRule type="containsText" dxfId="2722" priority="29" operator="containsText" text="SEPARATE"/>
    <x:cfRule type="containsText" dxfId="2723" priority="30" operator="containsText" text="EXCLUDED"/>
    <x:cfRule type="containsText" dxfId="2724" priority="31" operator="containsText" text="NO"/>
    <x:cfRule type="containsText" dxfId="2725" priority="32" operator="containsText" text="BLOCKED"/>
    <x:cfRule type="containsText" dxfId="2726" priority="33" operator="containsText" text="FAIL"/>
    <x:cfRule type="containsText" dxfId="2727" priority="34" operator="containsText" text="SUPERSEDED"/>
  </x:conditionalFormatting>
  <x:conditionalFormatting sqref="D23:D25">
    <x:cfRule type="containsText" dxfId="2728" priority="35" operator="containsText" text="PASS"/>
    <x:cfRule type="containsText" dxfId="2729" priority="36" operator="containsText" text="READY"/>
    <x:cfRule type="containsText" dxfId="2730" priority="37" operator="containsText" text="CONFIRMED"/>
    <x:cfRule type="containsText" dxfId="2731" priority="38" operator="containsText" text="OFFICIAL"/>
    <x:cfRule type="containsText" dxfId="2732" priority="39" operator="containsText" text="MODE"/>
    <x:cfRule type="containsText" dxfId="2733" priority="40" operator="containsText" text="YES"/>
    <x:cfRule type="containsText" dxfId="2734" priority="41" operator="containsText" text="PREDICTED"/>
    <x:cfRule type="containsText" dxfId="2735" priority="42" operator="containsText" text="CONDITIONAL"/>
    <x:cfRule type="containsText" dxfId="2736" priority="43" operator="containsText" text="WATCHLIST"/>
    <x:cfRule type="containsText" dxfId="2737" priority="44" operator="containsText" text="MEDIUM"/>
    <x:cfRule type="containsText" dxfId="2738" priority="45" operator="containsText" text="LOW"/>
    <x:cfRule type="containsText" dxfId="2739" priority="46" operator="containsText" text="SEPARATE"/>
    <x:cfRule type="containsText" dxfId="2740" priority="47" operator="containsText" text="EXCLUDED"/>
    <x:cfRule type="containsText" dxfId="2741" priority="48" operator="containsText" text="NO"/>
    <x:cfRule type="containsText" dxfId="2742" priority="49" operator="containsText" text="BLOCKED"/>
    <x:cfRule type="containsText" dxfId="2743" priority="50" operator="containsText" text="FAIL"/>
    <x:cfRule type="containsText" dxfId="2744" priority="51" operator="containsText" text="SUPERSEDED"/>
  </x:conditionalFormatting>
  <x:pageMargins left="0.7" right="0.7" top="0.75" bottom="0.75" header="0.3" footer="0.3"/>
  <x:drawing xmlns:r="http://schemas.openxmlformats.org/officeDocument/2006/relationships" r:id="R18a7431a938a4f80"/>
</x:worksheet>
</file>

<file path=xl/worksheets/sheet10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6" hidden="0" customWidth="1"/>
    <x:col min="3" max="3" width="29" hidden="0" customWidth="1"/>
    <x:col min="4" max="4" width="21" hidden="0" customWidth="1"/>
    <x:col min="5" max="5" width="29" hidden="0" customWidth="1"/>
    <x:col min="6" max="6" width="22" hidden="0" customWidth="1"/>
    <x:col min="7" max="7" width="23" hidden="0" customWidth="1"/>
    <x:col min="8" max="8" width="28" hidden="0" customWidth="1"/>
    <x:col min="9" max="9" width="27" hidden="0" customWidth="1"/>
    <x:col min="10" max="10" width="29" hidden="0" customWidth="1"/>
    <x:col min="11" max="11" width="29" hidden="0" customWidth="1"/>
    <x:col min="12" max="12" width="39" hidden="0" customWidth="1"/>
    <x:col min="13" max="13" width="19" hidden="0" customWidth="1"/>
    <x:col min="14" max="14" width="43" hidden="0" customWidth="1"/>
  </x:cols>
  <x:sheetData>
    <x:row r="1" ht="36" customHeight="1">
      <x:c r="A1" s="626" t="str">
        <x:v>【历史阶段｜不得作为最终结论】108_全系修正结论</x:v>
      </x:c>
      <x:c r="B1" s="626"/>
      <x:c r="C1" s="626"/>
      <x:c r="D1" s="626"/>
      <x:c r="E1" s="626"/>
      <x:c r="F1" s="626"/>
      <x:c r="G1" s="626"/>
      <x:c r="H1" s="626"/>
      <x:c r="I1" s="626"/>
      <x:c r="J1" s="626"/>
      <x:c r="K1" s="626"/>
      <x:c r="L1" s="626"/>
      <x:c r="M1" s="626"/>
      <x:c r="N1" s="626"/>
      <x:c r="O1" s="626"/>
      <x:c r="P1" s="626"/>
      <x:c r="Q1" s="626"/>
      <x:c r="R1" s="626"/>
      <x:c r="S1" s="626"/>
      <x:c r="T1" s="626"/>
      <x:c r="U1" s="626"/>
      <x:c r="V1" s="626"/>
      <x:c r="W1" s="626"/>
      <x:c r="X1" s="626"/>
      <x:c r="Y1" s="626"/>
      <x:c r="Z1" s="626"/>
    </x:row>
    <x:row r="2" ht="30" customHeight="1">
      <x:c r="A2" s="626" t="str">
        <x:v>本表保留用于审计追溯；最终结论以142_最终反证审计与134_全系结论为准。</x:v>
      </x:c>
      <x:c r="B2" s="626"/>
      <x:c r="C2" s="626"/>
      <x:c r="D2" s="626"/>
      <x:c r="E2" s="626"/>
      <x:c r="F2" s="626"/>
      <x:c r="G2" s="626"/>
      <x:c r="H2" s="626"/>
      <x:c r="I2" s="626"/>
      <x:c r="J2" s="626"/>
      <x:c r="K2" s="626"/>
      <x:c r="L2" s="626"/>
      <x:c r="M2" s="626"/>
      <x:c r="N2" s="626"/>
      <x:c r="O2" s="626"/>
      <x:c r="P2" s="626"/>
      <x:c r="Q2" s="626"/>
      <x:c r="R2" s="626"/>
      <x:c r="S2" s="626"/>
      <x:c r="T2" s="626"/>
      <x:c r="U2" s="626"/>
      <x:c r="V2" s="626"/>
      <x:c r="W2" s="626"/>
      <x:c r="X2" s="626"/>
      <x:c r="Y2" s="626"/>
      <x:c r="Z2" s="626"/>
    </x:row>
    <x:row r="3" ht="82" customHeight="1">
      <x:c r="A3" s="551" t="str">
        <x:v>最简结论：N70当前仍按标准版（预测）+Max理解；N90发布时最可能只上Max，但生命周期出现标准版的概率约72%。N90标准版若首发，中心价25.99万元；N90 Max在仅Max分支为27.99万元，在出现低价SKU时为28.99—29.99万元。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  <x:c r="M3" s="551"/>
      <x:c r="N3" s="551"/>
    </x:row>
    <x:row r="5" ht="60" customHeight="1">
      <x:c r="A5" s="556" t="str">
        <x:v>车系</x:v>
      </x:c>
      <x:c r="B5" s="556" t="str">
        <x:v>版本名称</x:v>
      </x:c>
      <x:c r="C5" s="556" t="str">
        <x:v>商业状态</x:v>
      </x:c>
      <x:c r="D5" s="556" t="str">
        <x:v>官方预售</x:v>
      </x:c>
      <x:c r="E5" s="556" t="str">
        <x:v>预测正式价/条件众数</x:v>
      </x:c>
      <x:c r="F5" s="556" t="str">
        <x:v>发布时存在概率</x:v>
      </x:c>
      <x:c r="G5" s="556" t="str">
        <x:v>生命周期存在概率</x:v>
      </x:c>
      <x:c r="H5" s="556" t="str">
        <x:v>座位</x:v>
      </x:c>
      <x:c r="I5" s="556" t="str">
        <x:v>动力</x:v>
      </x:c>
      <x:c r="J5" s="556" t="str">
        <x:v>电池</x:v>
      </x:c>
      <x:c r="K5" s="556" t="str">
        <x:v>悬架中心</x:v>
      </x:c>
      <x:c r="L5" s="556" t="str">
        <x:v>主要舒适配置</x:v>
      </x:c>
      <x:c r="M5" s="556" t="str">
        <x:v>置信</x:v>
      </x:c>
      <x:c r="N5" s="556" t="str">
        <x:v>一句话差异</x:v>
      </x:c>
    </x:row>
    <x:row r="6" ht="72" customHeight="1">
      <x:c r="A6" s="19" t="str">
        <x:v>N70</x:v>
      </x:c>
      <x:c r="B6" s="19" t="str">
        <x:v>标准版（预测）</x:v>
      </x:c>
      <x:c r="C6" s="19" t="str">
        <x:v>未官宣/准入候选</x:v>
      </x:c>
      <x:c r="D6" s="414" t="str"/>
      <x:c r="E6" s="414" t="n">
        <x:v>209900</x:v>
      </x:c>
      <x:c r="F6" s="23" t="str"/>
      <x:c r="G6" s="23" t="str"/>
      <x:c r="H6" s="19" t="str">
        <x:v>5座</x:v>
      </x:c>
      <x:c r="I6" s="19" t="str">
        <x:v>单电机后驱210kW</x:v>
      </x:c>
      <x:c r="J6" s="19" t="str">
        <x:v>52kWh磷酸铁锂/欣旺达</x:v>
      </x:c>
      <x:c r="K6" s="19" t="str">
        <x:v>待确认</x:v>
      </x:c>
      <x:c r="L6" s="19" t="str">
        <x:v>基础配置待商品卡</x:v>
      </x:c>
      <x:c r="M6" s="19" t="str">
        <x:v>LOW</x:v>
      </x:c>
      <x:c r="N6" s="19" t="str">
        <x:v>主打最低起售价；不是已官宣名称</x:v>
      </x:c>
    </x:row>
    <x:row r="7" ht="72" customHeight="1">
      <x:c r="A7" s="557" t="str">
        <x:v>N70</x:v>
      </x:c>
      <x:c r="B7" s="557" t="str">
        <x:v>Max</x:v>
      </x:c>
      <x:c r="C7" s="557" t="str">
        <x:v>官方预售</x:v>
      </x:c>
      <x:c r="D7" s="561" t="n">
        <x:v>259900</x:v>
      </x:c>
      <x:c r="E7" s="561" t="n">
        <x:v>249900</x:v>
      </x:c>
      <x:c r="F7" s="562" t="n">
        <x:v>1</x:v>
      </x:c>
      <x:c r="G7" s="562" t="n">
        <x:v>1</x:v>
      </x:c>
      <x:c r="H7" s="557" t="str">
        <x:v>5座</x:v>
      </x:c>
      <x:c r="I7" s="557" t="str">
        <x:v>双电机四驱310kW</x:v>
      </x:c>
      <x:c r="J7" s="557" t="str">
        <x:v>76kWh三元锂/中创新航</x:v>
      </x:c>
      <x:c r="K7" s="557" t="str">
        <x:v>空气悬架+CDC</x:v>
      </x:c>
      <x:c r="L7" s="557" t="str">
        <x:v>Max工程配置</x:v>
      </x:c>
      <x:c r="M7" s="557" t="str">
        <x:v>MEDIUM</x:v>
      </x:c>
      <x:c r="N7" s="557" t="str">
        <x:v>已公布预售价，正式价仍未公布</x:v>
      </x:c>
    </x:row>
    <x:row r="8" ht="72" customHeight="1">
      <x:c r="A8" s="19" t="str">
        <x:v>N90</x:v>
      </x:c>
      <x:c r="B8" s="19" t="str">
        <x:v>标准版（预测）</x:v>
      </x:c>
      <x:c r="C8" s="19" t="str">
        <x:v>未官宣</x:v>
      </x:c>
      <x:c r="D8" s="414" t="str"/>
      <x:c r="E8" s="414" t="n">
        <x:f>'107_N90价格边际'!B42</x:f>
        <x:v>259900</x:v>
      </x:c>
      <x:c r="F8" s="23" t="n">
        <x:f>'103_N90版本树'!B22</x:f>
        <x:v>0.35</x:v>
      </x:c>
      <x:c r="G8" s="23" t="n">
        <x:f>'103_N90版本树'!C22</x:f>
        <x:v>0.72</x:v>
      </x:c>
      <x:c r="H8" s="19" t="str">
        <x:v>7座主情景；5座备选</x:v>
      </x:c>
      <x:c r="I8" s="19" t="str">
        <x:v>双电机四驱310kW</x:v>
      </x:c>
      <x:c r="J8" s="19" t="str">
        <x:v>76kWh三元锂/中创新航</x:v>
      </x:c>
      <x:c r="K8" s="19" t="str">
        <x:v>螺簧/基础减振主情景</x:v>
      </x:c>
      <x:c r="L8" s="19" t="str">
        <x:v>冰箱/音响/按摩等下调</x:v>
      </x:c>
      <x:c r="M8" s="19" t="str">
        <x:v>MEDIUM_LOW</x:v>
      </x:c>
      <x:c r="N8" s="19" t="str">
        <x:v>动力电池不变，靠座位/底盘/舒适形成梯度</x:v>
      </x:c>
    </x:row>
    <x:row r="9" ht="72" customHeight="1">
      <x:c r="A9" s="557" t="str">
        <x:v>N90</x:v>
      </x:c>
      <x:c r="B9" s="557" t="str">
        <x:v>Pro（预测）</x:v>
      </x:c>
      <x:c r="C9" s="557" t="str">
        <x:v>未官宣/观察项</x:v>
      </x:c>
      <x:c r="D9" s="561" t="str"/>
      <x:c r="E9" s="561" t="n">
        <x:f>'107_N90价格边际'!B46</x:f>
        <x:v>279900</x:v>
      </x:c>
      <x:c r="F9" s="562" t="n">
        <x:f>'103_N90版本树'!B23</x:f>
        <x:v>0.15000000000000002</x:v>
      </x:c>
      <x:c r="G9" s="562" t="n">
        <x:f>'103_N90版本树'!C23</x:f>
        <x:v>0.38</x:v>
      </x:c>
      <x:c r="H9" s="557" t="str">
        <x:v>7座优先</x:v>
      </x:c>
      <x:c r="I9" s="557" t="str">
        <x:v>双电机四驱310kW</x:v>
      </x:c>
      <x:c r="J9" s="557" t="str">
        <x:v>76kWh三元锂/中创新航</x:v>
      </x:c>
      <x:c r="K9" s="557" t="str">
        <x:v>介于标准与Max</x:v>
      </x:c>
      <x:c r="L9" s="557" t="str">
        <x:v>舒适配置居中</x:v>
      </x:c>
      <x:c r="M9" s="557" t="str">
        <x:v>LOW</x:v>
      </x:c>
      <x:c r="N9" s="557" t="str">
        <x:v>只在15%发布分支中出现；生命周期约38%</x:v>
      </x:c>
    </x:row>
    <x:row r="10" ht="72" customHeight="1">
      <x:c r="A10" s="19" t="str">
        <x:v>N90</x:v>
      </x:c>
      <x:c r="B10" s="19" t="str">
        <x:v>Max</x:v>
      </x:c>
      <x:c r="C10" s="19" t="str">
        <x:v>官方预售</x:v>
      </x:c>
      <x:c r="D10" s="414" t="n">
        <x:v>299900</x:v>
      </x:c>
      <x:c r="E10" s="414" t="n">
        <x:f>'107_N90价格边际'!B31</x:f>
        <x:v>279900</x:v>
      </x:c>
      <x:c r="F10" s="23" t="n">
        <x:v>1</x:v>
      </x:c>
      <x:c r="G10" s="23" t="n">
        <x:v>1</x:v>
      </x:c>
      <x:c r="H10" s="19" t="str">
        <x:v>7座</x:v>
      </x:c>
      <x:c r="I10" s="19" t="str">
        <x:v>双电机四驱310kW</x:v>
      </x:c>
      <x:c r="J10" s="19" t="str">
        <x:v>76kWh三元锂/中创新航</x:v>
      </x:c>
      <x:c r="K10" s="19" t="str">
        <x:v>空气悬架+CDC</x:v>
      </x:c>
      <x:c r="L10" s="19" t="str">
        <x:v>9L冰箱/25扬声器/丰富座椅舒适</x:v>
      </x:c>
      <x:c r="M10" s="19" t="str">
        <x:v>MEDIUM</x:v>
      </x:c>
      <x:c r="N10" s="19" t="str">
        <x:v>仅Max时27.99；有低价SKU时28.99—29.99</x:v>
      </x:c>
    </x:row>
    <x:row r="11" ht="72" customHeight="1">
      <x:c r="A11" s="557" t="str">
        <x:v>N90</x:v>
      </x:c>
      <x:c r="B11" s="557" t="str">
        <x:v>升顶特殊版（预测）</x:v>
      </x:c>
      <x:c r="C11" s="557" t="str">
        <x:v>独立申报未商品化</x:v>
      </x:c>
      <x:c r="D11" s="561" t="str"/>
      <x:c r="E11" s="561" t="n">
        <x:f>MAX('107_N90价格边际'!B35+20000,299900)</x:f>
        <x:v>299900</x:v>
      </x:c>
      <x:c r="F11" s="562" t="str"/>
      <x:c r="G11" s="562" t="str"/>
      <x:c r="H11" s="557" t="str">
        <x:v>5座</x:v>
      </x:c>
      <x:c r="I11" s="557" t="str">
        <x:v>双电机四驱310kW</x:v>
      </x:c>
      <x:c r="J11" s="557" t="str">
        <x:v>76kWh三元锂/中创新航</x:v>
      </x:c>
      <x:c r="K11" s="557" t="str">
        <x:v>待确认</x:v>
      </x:c>
      <x:c r="L11" s="557" t="str">
        <x:v>取消玻璃天幕；机械升顶供车内站立</x:v>
      </x:c>
      <x:c r="M11" s="557" t="str">
        <x:v>LOW</x:v>
      </x:c>
      <x:c r="N11" s="557" t="str">
        <x:v>不能在车顶睡；与固定顶标准/Pro/Max树分开</x:v>
      </x:c>
    </x:row>
    <x:row r="14" ht="24" customHeight="1">
      <x:c r="A14" s="560" t="str">
        <x:v>四个自洽的发布阵容与代表价格（万元）</x:v>
      </x:c>
      <x:c r="B14" s="560"/>
      <x:c r="C14" s="560"/>
      <x:c r="D14" s="560"/>
      <x:c r="E14" s="560"/>
      <x:c r="F14" s="560"/>
      <x:c r="G14" s="560"/>
      <x:c r="H14" s="560"/>
      <x:c r="I14" s="560"/>
      <x:c r="J14" s="560"/>
      <x:c r="K14" s="560"/>
      <x:c r="L14" s="560"/>
      <x:c r="M14" s="560"/>
      <x:c r="N14" s="560"/>
    </x:row>
    <x:row r="15" ht="52" customHeight="1">
      <x:c r="A15" s="556" t="str">
        <x:v>固定顶阵容</x:v>
      </x:c>
      <x:c r="B15" s="556" t="str">
        <x:v>发布时权重</x:v>
      </x:c>
      <x:c r="C15" s="556" t="str">
        <x:v>N70标准版</x:v>
      </x:c>
      <x:c r="D15" s="556" t="str">
        <x:v>N70 Max</x:v>
      </x:c>
      <x:c r="E15" s="556" t="str">
        <x:v>N90标准版</x:v>
      </x:c>
      <x:c r="F15" s="556" t="str">
        <x:v>N90 Pro</x:v>
      </x:c>
      <x:c r="G15" s="556" t="str">
        <x:v>N90 Max</x:v>
      </x:c>
      <x:c r="H15" s="556" t="str">
        <x:v>升顶若商品化</x:v>
      </x:c>
      <x:c r="I15" s="556" t="str">
        <x:v>应怎样理解</x:v>
      </x:c>
      <x:c r="J15" s="556" t="str">
        <x:v>地位</x:v>
      </x:c>
    </x:row>
    <x:row r="16" ht="58" customHeight="1">
      <x:c r="A16" s="19" t="str">
        <x:v>仅Max</x:v>
      </x:c>
      <x:c r="B16" s="23" t="n">
        <x:f>'103_N90版本树'!B14</x:f>
        <x:v>0.6</x:v>
      </x:c>
      <x:c r="C16" s="414" t="n">
        <x:v>209900</x:v>
      </x:c>
      <x:c r="D16" s="414" t="n">
        <x:v>249900</x:v>
      </x:c>
      <x:c r="E16" s="414" t="str"/>
      <x:c r="F16" s="414" t="str"/>
      <x:c r="G16" s="414" t="n">
        <x:v>279900</x:v>
      </x:c>
      <x:c r="H16" s="414" t="n">
        <x:v>299900</x:v>
      </x:c>
      <x:c r="I16" s="19" t="str">
        <x:v>Max自己降2万；当前第一分支</x:v>
      </x:c>
      <x:c r="J16" s="19" t="str">
        <x:v>MODE_BRANCH</x:v>
      </x:c>
    </x:row>
    <x:row r="17" ht="58" customHeight="1">
      <x:c r="A17" s="557" t="str">
        <x:v>Standard+Max</x:v>
      </x:c>
      <x:c r="B17" s="562" t="n">
        <x:f>'103_N90版本树'!B15</x:f>
        <x:v>0.25</x:v>
      </x:c>
      <x:c r="C17" s="561" t="n">
        <x:v>209900</x:v>
      </x:c>
      <x:c r="D17" s="561" t="n">
        <x:v>249900</x:v>
      </x:c>
      <x:c r="E17" s="561" t="n">
        <x:v>259900</x:v>
      </x:c>
      <x:c r="F17" s="561" t="str"/>
      <x:c r="G17" s="561" t="n">
        <x:v>289900</x:v>
      </x:c>
      <x:c r="H17" s="561" t="n">
        <x:v>309900</x:v>
      </x:c>
      <x:c r="I17" s="557" t="str">
        <x:v>标准版负责起售价，Max只降1万</x:v>
      </x:c>
      <x:c r="J17" s="557" t="str">
        <x:v>MULTI_TRIM_MODE</x:v>
      </x:c>
    </x:row>
    <x:row r="18" ht="58" customHeight="1">
      <x:c r="A18" s="19" t="str">
        <x:v>Pro+Max</x:v>
      </x:c>
      <x:c r="B18" s="23" t="n">
        <x:f>'103_N90版本树'!B16</x:f>
        <x:v>0.05</x:v>
      </x:c>
      <x:c r="C18" s="414" t="n">
        <x:v>209900</x:v>
      </x:c>
      <x:c r="D18" s="414" t="n">
        <x:v>249900</x:v>
      </x:c>
      <x:c r="E18" s="414" t="str"/>
      <x:c r="F18" s="414" t="n">
        <x:v>269900</x:v>
      </x:c>
      <x:c r="G18" s="414" t="n">
        <x:v>299900</x:v>
      </x:c>
      <x:c r="H18" s="414" t="n">
        <x:v>319900</x:v>
      </x:c>
      <x:c r="I18" s="19" t="str">
        <x:v>Pro承担价格入口，Max保持预售锚</x:v>
      </x:c>
      <x:c r="J18" s="19" t="str">
        <x:v>WATCHLIST</x:v>
      </x:c>
    </x:row>
    <x:row r="19" ht="58" customHeight="1">
      <x:c r="A19" s="557" t="str">
        <x:v>Standard+Pro+Max</x:v>
      </x:c>
      <x:c r="B19" s="562" t="n">
        <x:f>'103_N90版本树'!B17</x:f>
        <x:v>0.1</x:v>
      </x:c>
      <x:c r="C19" s="561" t="n">
        <x:v>209900</x:v>
      </x:c>
      <x:c r="D19" s="561" t="n">
        <x:v>249900</x:v>
      </x:c>
      <x:c r="E19" s="561" t="n">
        <x:v>259900</x:v>
      </x:c>
      <x:c r="F19" s="561" t="n">
        <x:v>279900</x:v>
      </x:c>
      <x:c r="G19" s="561" t="n">
        <x:v>299900</x:v>
      </x:c>
      <x:c r="H19" s="561" t="n">
        <x:v>319900</x:v>
      </x:c>
      <x:c r="I19" s="557" t="str">
        <x:v>完整三档，2万/2万梯度</x:v>
      </x:c>
      <x:c r="J19" s="557" t="str">
        <x:v>FULL_TREE_TAIL</x:v>
      </x:c>
    </x:row>
    <x:row r="22" ht="24" customHeight="1">
      <x:c r="A22" s="560" t="str">
        <x:v>主要配置差：暂时只保留会改变选购判断的内容</x:v>
      </x:c>
      <x:c r="B22" s="560"/>
      <x:c r="C22" s="560"/>
      <x:c r="D22" s="560"/>
      <x:c r="E22" s="560"/>
      <x:c r="F22" s="560"/>
      <x:c r="G22" s="560"/>
      <x:c r="H22" s="560"/>
      <x:c r="I22" s="560"/>
      <x:c r="J22" s="560"/>
      <x:c r="K22" s="560"/>
      <x:c r="L22" s="560"/>
      <x:c r="M22" s="560"/>
      <x:c r="N22" s="560"/>
    </x:row>
    <x:row r="23" ht="48" customHeight="1">
      <x:c r="A23" s="556" t="str">
        <x:v>比较</x:v>
      </x:c>
      <x:c r="B23" s="556" t="str">
        <x:v>主要不变</x:v>
      </x:c>
      <x:c r="C23" s="556" t="str">
        <x:v>主要变化</x:v>
      </x:c>
      <x:c r="D23" s="556" t="str">
        <x:v>成本中值</x:v>
      </x:c>
      <x:c r="E23" s="556" t="str">
        <x:v>价格梯度中心</x:v>
      </x:c>
      <x:c r="F23" s="556" t="str">
        <x:v>置信/备注</x:v>
      </x:c>
    </x:row>
    <x:row r="24" ht="66" customHeight="1">
      <x:c r="A24" s="19" t="str">
        <x:v>N70标准版→N70 Max</x:v>
      </x:c>
      <x:c r="B24" s="19" t="str">
        <x:v>车身/五座定位</x:v>
      </x:c>
      <x:c r="C24" s="19" t="str">
        <x:v>52LFP单电机→76NCM双电机；空悬+CDC</x:v>
      </x:c>
      <x:c r="D24" s="414" t="str">
        <x:v>沿用既有桥</x:v>
      </x:c>
      <x:c r="E24" s="414" t="str">
        <x:v>约4万元</x:v>
      </x:c>
      <x:c r="F24" s="19" t="str">
        <x:v>标准版仍未官宣</x:v>
      </x:c>
    </x:row>
    <x:row r="25" ht="66" customHeight="1">
      <x:c r="A25" s="557" t="str">
        <x:v>N70 Max→N90标准版</x:v>
      </x:c>
      <x:c r="B25" s="557" t="str">
        <x:v>310kW+76NCM工程底座</x:v>
      </x:c>
      <x:c r="C25" s="557" t="str">
        <x:v>车身加长、座位/舱内空间增加；舒适规格视版本</x:v>
      </x:c>
      <x:c r="D25" s="561" t="str">
        <x:v>跨车身桥另算</x:v>
      </x:c>
      <x:c r="E25" s="561" t="str">
        <x:v>约1—2万元</x:v>
      </x:c>
      <x:c r="F25" s="557" t="str">
        <x:v>跨车系价差不是常数</x:v>
      </x:c>
    </x:row>
    <x:row r="26" ht="66" customHeight="1">
      <x:c r="A26" s="19" t="str">
        <x:v>N90标准版→N90 Max</x:v>
      </x:c>
      <x:c r="B26" s="19" t="str">
        <x:v>固定顶车身、310kW、76NCM、核心安全智驾</x:v>
      </x:c>
      <x:c r="C26" s="19" t="str">
        <x:v>空悬/CDC、冰箱、音响、座椅舒适；5座形态另有第三排差</x:v>
      </x:c>
      <x:c r="D26" s="414" t="n">
        <x:f>'105_N90标准版成本差'!G22</x:f>
        <x:v>9056.25</x:v>
      </x:c>
      <x:c r="E26" s="414" t="str">
        <x:v>约3万元（两档）</x:v>
      </x:c>
      <x:c r="F26" s="19" t="str">
        <x:v>工程成本主情景约0.91万元</x:v>
      </x:c>
    </x:row>
    <x:row r="27" ht="66" customHeight="1">
      <x:c r="A27" s="557" t="str">
        <x:v>N90 Max→升顶特殊版</x:v>
      </x:c>
      <x:c r="B27" s="557" t="str">
        <x:v>动力电池工程底座</x:v>
      </x:c>
      <x:c r="C27" s="557" t="str">
        <x:v>玻璃天幕取消，增加机械升顶；5座</x:v>
      </x:c>
      <x:c r="D27" s="561" t="str">
        <x:v>待机构报价</x:v>
      </x:c>
      <x:c r="E27" s="561" t="str">
        <x:v>约+2万元并设29.99下沿</x:v>
      </x:c>
      <x:c r="F27" s="557" t="str">
        <x:v>不能在车顶睡，独立商品节点</x:v>
      </x:c>
    </x:row>
  </x:sheetData>
  <x:mergeCells>
    <x:mergeCell ref="A1:N1"/>
    <x:mergeCell ref="A2:N2"/>
    <x:mergeCell ref="A3:N3"/>
    <x:mergeCell ref="A14:N14"/>
    <x:mergeCell ref="A22:N22"/>
  </x:mergeCells>
  <x:conditionalFormatting sqref="C6:C11">
    <x:cfRule type="containsText" dxfId="2745" priority="1" operator="containsText" text="PASS"/>
    <x:cfRule type="containsText" dxfId="2746" priority="2" operator="containsText" text="READY"/>
    <x:cfRule type="containsText" dxfId="2747" priority="3" operator="containsText" text="CONFIRMED"/>
    <x:cfRule type="containsText" dxfId="2748" priority="4" operator="containsText" text="OFFICIAL"/>
    <x:cfRule type="containsText" dxfId="2749" priority="5" operator="containsText" text="MODE"/>
    <x:cfRule type="containsText" dxfId="2750" priority="6" operator="containsText" text="YES"/>
    <x:cfRule type="containsText" dxfId="2751" priority="7" operator="containsText" text="PREDICTED"/>
    <x:cfRule type="containsText" dxfId="2752" priority="8" operator="containsText" text="CONDITIONAL"/>
    <x:cfRule type="containsText" dxfId="2753" priority="9" operator="containsText" text="WATCHLIST"/>
    <x:cfRule type="containsText" dxfId="2754" priority="10" operator="containsText" text="MEDIUM"/>
    <x:cfRule type="containsText" dxfId="2755" priority="11" operator="containsText" text="LOW"/>
    <x:cfRule type="containsText" dxfId="2756" priority="12" operator="containsText" text="SEPARATE"/>
    <x:cfRule type="containsText" dxfId="2757" priority="13" operator="containsText" text="EXCLUDED"/>
    <x:cfRule type="containsText" dxfId="2758" priority="14" operator="containsText" text="NO"/>
    <x:cfRule type="containsText" dxfId="2759" priority="15" operator="containsText" text="BLOCKED"/>
    <x:cfRule type="containsText" dxfId="2760" priority="16" operator="containsText" text="FAIL"/>
    <x:cfRule type="containsText" dxfId="2761" priority="17" operator="containsText" text="SUPERSEDED"/>
  </x:conditionalFormatting>
  <x:conditionalFormatting sqref="M6:M11">
    <x:cfRule type="containsText" dxfId="2762" priority="18" operator="containsText" text="PASS"/>
    <x:cfRule type="containsText" dxfId="2763" priority="19" operator="containsText" text="READY"/>
    <x:cfRule type="containsText" dxfId="2764" priority="20" operator="containsText" text="CONFIRMED"/>
    <x:cfRule type="containsText" dxfId="2765" priority="21" operator="containsText" text="OFFICIAL"/>
    <x:cfRule type="containsText" dxfId="2766" priority="22" operator="containsText" text="MODE"/>
    <x:cfRule type="containsText" dxfId="2767" priority="23" operator="containsText" text="YES"/>
    <x:cfRule type="containsText" dxfId="2768" priority="24" operator="containsText" text="PREDICTED"/>
    <x:cfRule type="containsText" dxfId="2769" priority="25" operator="containsText" text="CONDITIONAL"/>
    <x:cfRule type="containsText" dxfId="2770" priority="26" operator="containsText" text="WATCHLIST"/>
    <x:cfRule type="containsText" dxfId="2771" priority="27" operator="containsText" text="MEDIUM"/>
    <x:cfRule type="containsText" dxfId="2772" priority="28" operator="containsText" text="LOW"/>
    <x:cfRule type="containsText" dxfId="2773" priority="29" operator="containsText" text="SEPARATE"/>
    <x:cfRule type="containsText" dxfId="2774" priority="30" operator="containsText" text="EXCLUDED"/>
    <x:cfRule type="containsText" dxfId="2775" priority="31" operator="containsText" text="NO"/>
    <x:cfRule type="containsText" dxfId="2776" priority="32" operator="containsText" text="BLOCKED"/>
    <x:cfRule type="containsText" dxfId="2777" priority="33" operator="containsText" text="FAIL"/>
    <x:cfRule type="containsText" dxfId="2778" priority="34" operator="containsText" text="SUPERSEDED"/>
  </x:conditionalFormatting>
  <x:conditionalFormatting sqref="J16:J19">
    <x:cfRule type="containsText" dxfId="2779" priority="35" operator="containsText" text="PASS"/>
    <x:cfRule type="containsText" dxfId="2780" priority="36" operator="containsText" text="READY"/>
    <x:cfRule type="containsText" dxfId="2781" priority="37" operator="containsText" text="CONFIRMED"/>
    <x:cfRule type="containsText" dxfId="2782" priority="38" operator="containsText" text="OFFICIAL"/>
    <x:cfRule type="containsText" dxfId="2783" priority="39" operator="containsText" text="MODE"/>
    <x:cfRule type="containsText" dxfId="2784" priority="40" operator="containsText" text="YES"/>
    <x:cfRule type="containsText" dxfId="2785" priority="41" operator="containsText" text="PREDICTED"/>
    <x:cfRule type="containsText" dxfId="2786" priority="42" operator="containsText" text="CONDITIONAL"/>
    <x:cfRule type="containsText" dxfId="2787" priority="43" operator="containsText" text="WATCHLIST"/>
    <x:cfRule type="containsText" dxfId="2788" priority="44" operator="containsText" text="MEDIUM"/>
    <x:cfRule type="containsText" dxfId="2789" priority="45" operator="containsText" text="LOW"/>
    <x:cfRule type="containsText" dxfId="2790" priority="46" operator="containsText" text="SEPARATE"/>
    <x:cfRule type="containsText" dxfId="2791" priority="47" operator="containsText" text="EXCLUDED"/>
    <x:cfRule type="containsText" dxfId="2792" priority="48" operator="containsText" text="NO"/>
    <x:cfRule type="containsText" dxfId="2793" priority="49" operator="containsText" text="BLOCKED"/>
    <x:cfRule type="containsText" dxfId="2794" priority="50" operator="containsText" text="FAIL"/>
    <x:cfRule type="containsText" dxfId="2795" priority="51" operator="containsText" text="SUPERSEDED"/>
  </x:conditionalFormatting>
  <x:pageMargins left="0.7" right="0.7" top="0.75" bottom="0.75" header="0.3" footer="0.3"/>
</x:worksheet>
</file>

<file path=xl/worksheets/sheet11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24" hidden="0" customWidth="1"/>
    <x:col min="3" max="3" width="36" hidden="0" customWidth="1"/>
    <x:col min="4" max="4" width="38" hidden="0" customWidth="1"/>
    <x:col min="5" max="5" width="34" hidden="0" customWidth="1"/>
    <x:col min="6" max="6" width="35" hidden="0" customWidth="1"/>
    <x:col min="7" max="7" width="28" hidden="0" customWidth="1"/>
    <x:col min="8" max="8" width="18" hidden="0" customWidth="1"/>
    <x:col min="9" max="9" width="34" hidden="0" customWidth="1"/>
    <x:col min="10" max="10" width="34" hidden="0" customWidth="1"/>
    <x:col min="11" max="11" width="31" hidden="0" customWidth="1"/>
    <x:col min="12" max="12" width="31" hidden="0" customWidth="1"/>
    <x:col min="13" max="13" width="40" hidden="0" customWidth="1"/>
    <x:col min="14" max="14" width="18" hidden="0" customWidth="1"/>
  </x:cols>
  <x:sheetData>
    <x:row r="1" ht="30" customHeight="1">
      <x:c r="A1" s="544" t="str">
        <x:v>109｜Phase 3.3B签核：N90标准版已进入模型，但仍未冒充官宣</x:v>
      </x:c>
      <x:c r="B1" s="544"/>
      <x:c r="C1" s="544"/>
      <x:c r="D1" s="544"/>
      <x:c r="E1" s="544"/>
      <x:c r="F1" s="544"/>
      <x:c r="G1" s="544"/>
      <x:c r="H1" s="544"/>
      <x:c r="I1" s="544"/>
      <x:c r="J1" s="544"/>
      <x:c r="K1" s="544"/>
      <x:c r="L1" s="544"/>
      <x:c r="M1" s="544"/>
      <x:c r="N1" s="544"/>
    </x:row>
    <x:row r="2" ht="22" customHeight="1">
      <x:c r="A2" s="547" t="str">
        <x:v>版本树、配置差、成本差与联合价格已联动｜旧3.3A单一四节点向量降级为条件结论</x:v>
      </x:c>
      <x:c r="B2" s="547"/>
      <x:c r="C2" s="547"/>
      <x:c r="D2" s="547"/>
      <x:c r="E2" s="547"/>
      <x:c r="F2" s="547"/>
      <x:c r="G2" s="547"/>
      <x:c r="H2" s="547"/>
      <x:c r="I2" s="547"/>
      <x:c r="J2" s="547"/>
      <x:c r="K2" s="547"/>
      <x:c r="L2" s="547"/>
      <x:c r="M2" s="547"/>
      <x:c r="N2" s="547"/>
    </x:row>
    <x:row r="3" ht="82" customHeight="1">
      <x:c r="A3" s="551" t="str">
        <x:v>本阶段修正了一个结构性错误：如果正式发布新增标准版/Pro，车系起售价可以下降，而Max无需同幅深降。因此不能在不知道版本树的情况下只报一个Max价格。正式商品卡出来后，先选择103表阵容分支，再读取107表对应的条件价格。</x:v>
      </x:c>
      <x:c r="B3" s="551"/>
      <x:c r="C3" s="551"/>
      <x:c r="D3" s="551"/>
      <x:c r="E3" s="551"/>
      <x:c r="F3" s="551"/>
      <x:c r="G3" s="551"/>
      <x:c r="H3" s="551"/>
      <x:c r="I3" s="551"/>
      <x:c r="J3" s="551"/>
      <x:c r="K3" s="551"/>
      <x:c r="L3" s="551"/>
      <x:c r="M3" s="551"/>
      <x:c r="N3" s="551"/>
    </x:row>
    <x:row r="5" ht="60" customHeight="1">
      <x:c r="A5" s="556" t="str">
        <x:v>结论ID</x:v>
      </x:c>
      <x:c r="B5" s="556" t="str">
        <x:v>对象</x:v>
      </x:c>
      <x:c r="C5" s="556" t="str">
        <x:v>Phase 3.3A/旧说法</x:v>
      </x:c>
      <x:c r="D5" s="556" t="str">
        <x:v>Phase 3.3B结论</x:v>
      </x:c>
      <x:c r="E5" s="556" t="str">
        <x:v>概率/价格</x:v>
      </x:c>
      <x:c r="F5" s="556" t="str">
        <x:v>成本/配置依据</x:v>
      </x:c>
      <x:c r="G5" s="556" t="str">
        <x:v>状态</x:v>
      </x:c>
      <x:c r="H5" s="556" t="str">
        <x:v>置信</x:v>
      </x:c>
      <x:c r="I5" s="556" t="str">
        <x:v>成立条件</x:v>
      </x:c>
      <x:c r="J5" s="556" t="str">
        <x:v>推翻条件</x:v>
      </x:c>
      <x:c r="K5" s="556" t="str">
        <x:v>发布时解释</x:v>
      </x:c>
      <x:c r="L5" s="556" t="str">
        <x:v>生命周期解释</x:v>
      </x:c>
      <x:c r="M5" s="556" t="str">
        <x:v>禁止表述</x:v>
      </x:c>
      <x:c r="N5" s="556" t="str">
        <x:v>回链</x:v>
      </x:c>
    </x:row>
    <x:row r="6" ht="70" customHeight="1">
      <x:c r="A6" s="19" t="str">
        <x:v>S-33B-01</x:v>
      </x:c>
      <x:c r="B6" s="19" t="str">
        <x:v>N90标准版</x:v>
      </x:c>
      <x:c r="C6" s="19" t="str">
        <x:v>未纳入/曾被误读为没有</x:v>
      </x:c>
      <x:c r="D6" s="19" t="str">
        <x:v>N90标准版（预测）进入版本树</x:v>
      </x:c>
      <x:c r="E6" s="19" t="str">
        <x:v>发布35%；生命周期72%；条件众数25.99万</x:v>
      </x:c>
      <x:c r="F6" s="19" t="str">
        <x:v>同型5/7座+标准/Max梯度</x:v>
      </x:c>
      <x:c r="G6" s="19" t="str">
        <x:v>READY_PREDICTION</x:v>
      </x:c>
      <x:c r="H6" s="19" t="str">
        <x:v>MEDIUM_LOW</x:v>
      </x:c>
      <x:c r="I6" s="19" t="str">
        <x:v>固定顶同型可商业分层</x:v>
      </x:c>
      <x:c r="J6" s="19" t="str">
        <x:v>官方明确无此版本或生命周期结束</x:v>
      </x:c>
      <x:c r="K6" s="19" t="str">
        <x:v>首发未必出现</x:v>
      </x:c>
      <x:c r="L6" s="19" t="str">
        <x:v>高概率后续出现</x:v>
      </x:c>
      <x:c r="M6" s="19" t="str">
        <x:v>标准版已官宣</x:v>
      </x:c>
      <x:c r="N6" s="19" t="str">
        <x:v>103/107</x:v>
      </x:c>
    </x:row>
    <x:row r="7" ht="70" customHeight="1">
      <x:c r="A7" s="557" t="str">
        <x:v>S-33B-02</x:v>
      </x:c>
      <x:c r="B7" s="557" t="str">
        <x:v>N90 Pro</x:v>
      </x:c>
      <x:c r="C7" s="557" t="str">
        <x:v>未纳入</x:v>
      </x:c>
      <x:c r="D7" s="557" t="str">
        <x:v>观察候选，不作中心</x:v>
      </x:c>
      <x:c r="E7" s="557" t="str">
        <x:v>发布15%；生命周期38%；条件众数27.99万</x:v>
      </x:c>
      <x:c r="F7" s="557" t="str">
        <x:v>中间价格围栏</x:v>
      </x:c>
      <x:c r="G7" s="557" t="str">
        <x:v>WATCHLIST</x:v>
      </x:c>
      <x:c r="H7" s="557" t="str">
        <x:v>LOW</x:v>
      </x:c>
      <x:c r="I7" s="557" t="str">
        <x:v>正式商品卡出现</x:v>
      </x:c>
      <x:c r="J7" s="557" t="str">
        <x:v>无中间版本</x:v>
      </x:c>
      <x:c r="K7" s="557" t="str">
        <x:v>低概率</x:v>
      </x:c>
      <x:c r="L7" s="557" t="str">
        <x:v>可能补齐三档</x:v>
      </x:c>
      <x:c r="M7" s="557" t="str">
        <x:v>Pro已存在</x:v>
      </x:c>
      <x:c r="N7" s="557" t="str">
        <x:v>103/107</x:v>
      </x:c>
    </x:row>
    <x:row r="8" ht="70" customHeight="1">
      <x:c r="A8" s="19" t="str">
        <x:v>S-33B-03</x:v>
      </x:c>
      <x:c r="B8" s="19" t="str">
        <x:v>N90 Max商业身份</x:v>
      </x:c>
      <x:c r="C8" s="19" t="str">
        <x:v>唯一N90固定顶商业节点</x:v>
      </x:c>
      <x:c r="D8" s="19" t="str">
        <x:v>仍是唯一已确认商业节点</x:v>
      </x:c>
      <x:c r="E8" s="19" t="str">
        <x:v>存在概率100%</x:v>
      </x:c>
      <x:c r="F8" s="19" t="str">
        <x:v>官网预售29.99万</x:v>
      </x:c>
      <x:c r="G8" s="19" t="str">
        <x:v>OFFICIAL_PRESALE</x:v>
      </x:c>
      <x:c r="H8" s="19" t="str">
        <x:v>HIGH</x:v>
      </x:c>
      <x:c r="I8" s="19" t="str">
        <x:v>当前官网状态</x:v>
      </x:c>
      <x:c r="J8" s="19" t="str">
        <x:v>正式发布新增节点不改变其官方身份</x:v>
      </x:c>
      <x:c r="K8" s="19" t="str">
        <x:v>所有分支存在</x:v>
      </x:c>
      <x:c r="L8" s="19" t="str">
        <x:v>持续存在</x:v>
      </x:c>
      <x:c r="M8" s="19" t="str">
        <x:v>只有Max是唯一可能版本</x:v>
      </x:c>
      <x:c r="N8" s="19" t="str">
        <x:v>103</x:v>
      </x:c>
    </x:row>
    <x:row r="9" ht="70" customHeight="1">
      <x:c r="A9" s="557" t="str">
        <x:v>S-33B-04</x:v>
      </x:c>
      <x:c r="B9" s="557" t="str">
        <x:v>N90 Max正式价</x:v>
      </x:c>
      <x:c r="C9" s="557" t="str">
        <x:v>无条件众数27.99万</x:v>
      </x:c>
      <x:c r="D9" s="557" t="str">
        <x:v>无条件仍27.99万；条件价格因版本树变化</x:v>
      </x:c>
      <x:c r="E9" s="557" t="str">
        <x:v>仅Max27.99；有低价SKU 28.99 MODE</x:v>
      </x:c>
      <x:c r="F9" s="557" t="str">
        <x:v>联合条件分布</x:v>
      </x:c>
      <x:c r="G9" s="557" t="str">
        <x:v>READY_SCENARIO</x:v>
      </x:c>
      <x:c r="H9" s="557" t="str">
        <x:v>MEDIUM</x:v>
      </x:c>
      <x:c r="I9" s="557" t="str">
        <x:v>阵容权重有效</x:v>
      </x:c>
      <x:c r="J9" s="557" t="str">
        <x:v>订单/竞品/正式商品卡反证</x:v>
      </x:c>
      <x:c r="K9" s="557" t="str">
        <x:v>先看阵容再看价格</x:v>
      </x:c>
      <x:c r="L9" s="557" t="str">
        <x:v>版本扩张后Max上移</x:v>
      </x:c>
      <x:c r="M9" s="557" t="str">
        <x:v>Max无论阵容都27.99</x:v>
      </x:c>
      <x:c r="N9" s="557" t="str">
        <x:v>106/107</x:v>
      </x:c>
    </x:row>
    <x:row r="10" ht="70" customHeight="1">
      <x:c r="A10" s="19" t="str">
        <x:v>S-33B-05</x:v>
      </x:c>
      <x:c r="B10" s="19" t="str">
        <x:v>低价SKU替代Max深降</x:v>
      </x:c>
      <x:c r="C10" s="19" t="str">
        <x:v>未显式建模</x:v>
      </x:c>
      <x:c r="D10" s="19" t="str">
        <x:v>有低价SKU时P(Max≤27.99)由95%降至20%</x:v>
      </x:c>
      <x:c r="E10" s="19" t="str">
        <x:v>下降75个百分点</x:v>
      </x:c>
      <x:c r="F10" s="19" t="str">
        <x:v>四分支条件概率</x:v>
      </x:c>
      <x:c r="G10" s="19" t="str">
        <x:v>READY_MODEL</x:v>
      </x:c>
      <x:c r="H10" s="19" t="str">
        <x:v>MEDIUM</x:v>
      </x:c>
      <x:c r="I10" s="19" t="str">
        <x:v>标准/Pro承担起售价</x:v>
      </x:c>
      <x:c r="J10" s="19" t="str">
        <x:v>低价SKU配置过高或定价失效</x:v>
      </x:c>
      <x:c r="K10" s="19" t="str">
        <x:v>改变发布价格围栏</x:v>
      </x:c>
      <x:c r="L10" s="19" t="str">
        <x:v>形成稳定梯度</x:v>
      </x:c>
      <x:c r="M10" s="19" t="str">
        <x:v>车系起售价下降=Max同版降价</x:v>
      </x:c>
      <x:c r="N10" s="19" t="str">
        <x:v>106/107</x:v>
      </x:c>
    </x:row>
    <x:row r="11" ht="70" customHeight="1">
      <x:c r="A11" s="557" t="str">
        <x:v>S-33B-06</x:v>
      </x:c>
      <x:c r="B11" s="557" t="str">
        <x:v>标准版配置</x:v>
      </x:c>
      <x:c r="C11" s="557" t="str">
        <x:v>无结论</x:v>
      </x:c>
      <x:c r="D11" s="557" t="str">
        <x:v>主情景7座+简化悬架；5座为重要备选</x:v>
      </x:c>
      <x:c r="E11" s="557" t="str">
        <x:v>310kW+76kWh中心保持</x:v>
      </x:c>
      <x:c r="F11" s="557" t="str">
        <x:v>工信部同型+配置成本</x:v>
      </x:c>
      <x:c r="G11" s="557" t="str">
        <x:v>ENGINEERING_SCENARIO</x:v>
      </x:c>
      <x:c r="H11" s="557" t="str">
        <x:v>MEDIUM_LOW</x:v>
      </x:c>
      <x:c r="I11" s="557" t="str">
        <x:v>未出现新动力电池申报</x:v>
      </x:c>
      <x:c r="J11" s="557" t="str">
        <x:v>新型号/完整参数表</x:v>
      </x:c>
      <x:c r="K11" s="557" t="str">
        <x:v>用于成本边界</x:v>
      </x:c>
      <x:c r="L11" s="557" t="str">
        <x:v>随商品化锁定</x:v>
      </x:c>
      <x:c r="M11" s="557" t="str">
        <x:v>工信部5座=标准版事实</x:v>
      </x:c>
      <x:c r="N11" s="557" t="str">
        <x:v>104/105</x:v>
      </x:c>
    </x:row>
    <x:row r="12" ht="70" customHeight="1">
      <x:c r="A12" s="19" t="str">
        <x:v>S-33B-07</x:v>
      </x:c>
      <x:c r="B12" s="19" t="str">
        <x:v>标准版→Max成本差</x:v>
      </x:c>
      <x:c r="C12" s="19" t="str">
        <x:v>未测算</x:v>
      </x:c>
      <x:c r="D12" s="19" t="str">
        <x:v>主情景中值0.91万元未税含覆盖</x:v>
      </x:c>
      <x:c r="E12" s="19" t="str">
        <x:v>含税价格传导约1.09万元</x:v>
      </x:c>
      <x:c r="F12" s="19" t="str">
        <x:v>底盘+冰箱+音响；不倒推售价</x:v>
      </x:c>
      <x:c r="G12" s="19" t="str">
        <x:v>READY_ENGINEERING</x:v>
      </x:c>
      <x:c r="H12" s="19" t="str">
        <x:v>MEDIUM_LOW</x:v>
      </x:c>
      <x:c r="I12" s="19" t="str">
        <x:v>七座+简化悬架</x:v>
      </x:c>
      <x:c r="J12" s="19" t="str">
        <x:v>保留空悬/更多配置差</x:v>
      </x:c>
      <x:c r="K12" s="19" t="str">
        <x:v>解释2—3万梯度量级</x:v>
      </x:c>
      <x:c r="L12" s="19" t="str">
        <x:v>供应商报价后更新</x:v>
      </x:c>
      <x:c r="M12" s="19" t="str">
        <x:v>成本差等于零售价差</x:v>
      </x:c>
      <x:c r="N12" s="19" t="str">
        <x:v>105</x:v>
      </x:c>
    </x:row>
    <x:row r="13" ht="70" customHeight="1">
      <x:c r="A13" s="557" t="str">
        <x:v>S-33B-08</x:v>
      </x:c>
      <x:c r="B13" s="557" t="str">
        <x:v>升顶特殊版</x:v>
      </x:c>
      <x:c r="C13" s="557" t="str">
        <x:v>旧中心29.99万</x:v>
      </x:c>
      <x:c r="D13" s="557" t="str">
        <x:v>继续独立条件节点</x:v>
      </x:c>
      <x:c r="E13" s="557" t="str">
        <x:v>仅Max结构29.99；多版本结构30.99—31.99</x:v>
      </x:c>
      <x:c r="F13" s="557" t="str">
        <x:v>机械升顶约+2万价格围栏</x:v>
      </x:c>
      <x:c r="G13" s="557" t="str">
        <x:v>SEPARATE_CANDIDATE</x:v>
      </x:c>
      <x:c r="H13" s="557" t="str">
        <x:v>LOW</x:v>
      </x:c>
      <x:c r="I13" s="557" t="str">
        <x:v>独立商品化</x:v>
      </x:c>
      <x:c r="J13" s="557" t="str">
        <x:v>不上市/机构规格变化</x:v>
      </x:c>
      <x:c r="K13" s="557" t="str">
        <x:v>不参与固定顶阵容权重</x:v>
      </x:c>
      <x:c r="L13" s="557" t="str">
        <x:v>特殊用途节点</x:v>
      </x:c>
      <x:c r="M13" s="557" t="str">
        <x:v>车顶可睡/固定加5万</x:v>
      </x:c>
      <x:c r="N13" s="557" t="str">
        <x:v>103/106/108</x:v>
      </x:c>
    </x:row>
    <x:row r="14" ht="70" customHeight="1">
      <x:c r="A14" s="19" t="str">
        <x:v>S-33B-09</x:v>
      </x:c>
      <x:c r="B14" s="19" t="str">
        <x:v>正式官方售价</x:v>
      </x:c>
      <x:c r="C14" s="19" t="str">
        <x:v>0个</x:v>
      </x:c>
      <x:c r="D14" s="19" t="str">
        <x:v>仍为0个</x:v>
      </x:c>
      <x:c r="E14" s="19" t="str">
        <x:v>等待正式发布</x:v>
      </x:c>
      <x:c r="F14" s="19" t="str">
        <x:v>无正式价格卡</x:v>
      </x:c>
      <x:c r="G14" s="19" t="str">
        <x:v>BLOCKED_OFFICIAL_PRICE</x:v>
      </x:c>
      <x:c r="H14" s="19" t="str">
        <x:v>HIGH</x:v>
      </x:c>
      <x:c r="I14" s="19" t="str">
        <x:v>正式指导价公布</x:v>
      </x:c>
      <x:c r="J14" s="19" t="str">
        <x:v>当前尚未公布</x:v>
      </x:c>
      <x:c r="K14" s="19" t="str">
        <x:v>所有价格均预测</x:v>
      </x:c>
      <x:c r="L14" s="19" t="str">
        <x:v>正式发布后替换</x:v>
      </x:c>
      <x:c r="M14" s="19" t="str">
        <x:v>把预售价写成正式价</x:v>
      </x:c>
      <x:c r="N14" s="19" t="str">
        <x:v>41/107</x:v>
      </x:c>
    </x:row>
    <x:row r="17" ht="24" customHeight="1">
      <x:c r="A17" s="560" t="str">
        <x:v>最终可对外表述（简版）</x:v>
      </x:c>
      <x:c r="B17" s="560"/>
      <x:c r="C17" s="560"/>
      <x:c r="D17" s="560"/>
      <x:c r="E17" s="560"/>
      <x:c r="F17" s="560"/>
      <x:c r="G17" s="560"/>
      <x:c r="H17" s="560"/>
      <x:c r="I17" s="560"/>
      <x:c r="J17" s="560"/>
      <x:c r="K17" s="560"/>
      <x:c r="L17" s="560"/>
      <x:c r="M17" s="560"/>
      <x:c r="N17" s="560"/>
    </x:row>
    <x:row r="18" ht="60" customHeight="1">
      <x:c r="A18" s="19" t="str">
        <x:v>1</x:v>
      </x:c>
      <x:c r="B18" s="19" t="str">
        <x:v>版本树</x:v>
      </x:c>
      <x:c r="C18" s="19" t="str">
        <x:v>目前官方只公布N90 Max；发布日仅Max仍是第一分支（60%），但生命周期出现N90标准版的工作权重约72%</x:v>
      </x:c>
      <x:c r="D18" s="19" t="str"/>
      <x:c r="E18" s="19" t="str"/>
      <x:c r="F18" s="19" t="str"/>
      <x:c r="G18" s="19" t="str">
        <x:v>SIGNED</x:v>
      </x:c>
      <x:c r="H18" s="19" t="str">
        <x:v>MEDIUM</x:v>
      </x:c>
      <x:c r="I18" s="19" t="str"/>
      <x:c r="J18" s="19" t="str"/>
      <x:c r="K18" s="19" t="str"/>
      <x:c r="L18" s="19" t="str"/>
      <x:c r="M18" s="19" t="str"/>
      <x:c r="N18" s="19" t="str">
        <x:v>103</x:v>
      </x:c>
    </x:row>
    <x:row r="19" ht="60" customHeight="1">
      <x:c r="A19" s="557" t="str">
        <x:v>2</x:v>
      </x:c>
      <x:c r="B19" s="557" t="str">
        <x:v>标准版</x:v>
      </x:c>
      <x:c r="C19" s="557" t="str">
        <x:v>如果首发，中心判断是25.99万元；动力电池继续310kW四驱+76kWh，主要从悬架和舒适配置分层</x:v>
      </x:c>
      <x:c r="D19" s="557" t="str"/>
      <x:c r="E19" s="557" t="str"/>
      <x:c r="F19" s="557" t="str"/>
      <x:c r="G19" s="557" t="str">
        <x:v>SIGNED</x:v>
      </x:c>
      <x:c r="H19" s="557" t="str">
        <x:v>MEDIUM_LOW</x:v>
      </x:c>
      <x:c r="I19" s="557" t="str"/>
      <x:c r="J19" s="557" t="str"/>
      <x:c r="K19" s="557" t="str"/>
      <x:c r="L19" s="557" t="str"/>
      <x:c r="M19" s="557" t="str"/>
      <x:c r="N19" s="557" t="str">
        <x:v>104—107</x:v>
      </x:c>
    </x:row>
    <x:row r="20" ht="60" customHeight="1">
      <x:c r="A20" s="19" t="str">
        <x:v>3</x:v>
      </x:c>
      <x:c r="B20" s="19" t="str">
        <x:v>Max</x:v>
      </x:c>
      <x:c r="C20" s="19" t="str">
        <x:v>仅Max时27.99万元；若出现标准版/Pro，Max中枢上移至28.99—29.99万元</x:v>
      </x:c>
      <x:c r="D20" s="19" t="str"/>
      <x:c r="E20" s="19" t="str"/>
      <x:c r="F20" s="19" t="str"/>
      <x:c r="G20" s="19" t="str">
        <x:v>SIGNED</x:v>
      </x:c>
      <x:c r="H20" s="19" t="str">
        <x:v>MEDIUM</x:v>
      </x:c>
      <x:c r="I20" s="19" t="str"/>
      <x:c r="J20" s="19" t="str"/>
      <x:c r="K20" s="19" t="str"/>
      <x:c r="L20" s="19" t="str"/>
      <x:c r="M20" s="19" t="str"/>
      <x:c r="N20" s="19" t="str">
        <x:v>106/107</x:v>
      </x:c>
    </x:row>
    <x:row r="21" ht="60" customHeight="1">
      <x:c r="A21" s="557" t="str">
        <x:v>4</x:v>
      </x:c>
      <x:c r="B21" s="557" t="str">
        <x:v>Pro</x:v>
      </x:c>
      <x:c r="C21" s="557" t="str">
        <x:v>当前只是观察候选；若三档齐发，代表价格为25.99/27.99/29.99万元</x:v>
      </x:c>
      <x:c r="D21" s="557" t="str"/>
      <x:c r="E21" s="557" t="str"/>
      <x:c r="F21" s="557" t="str"/>
      <x:c r="G21" s="557" t="str">
        <x:v>SIGNED</x:v>
      </x:c>
      <x:c r="H21" s="557" t="str">
        <x:v>LOW</x:v>
      </x:c>
      <x:c r="I21" s="557" t="str"/>
      <x:c r="J21" s="557" t="str"/>
      <x:c r="K21" s="557" t="str"/>
      <x:c r="L21" s="557" t="str"/>
      <x:c r="M21" s="557" t="str"/>
      <x:c r="N21" s="557" t="str">
        <x:v>103/108</x:v>
      </x:c>
    </x:row>
    <x:row r="22" ht="60" customHeight="1">
      <x:c r="A22" s="19" t="str">
        <x:v>5</x:v>
      </x:c>
      <x:c r="B22" s="19" t="str">
        <x:v>升顶</x:v>
      </x:c>
      <x:c r="C22" s="19" t="str">
        <x:v>只有独立升顶申报型号；机械升顶供车内站立、不能在车顶睡，条件价格约29.99—31.99万元</x:v>
      </x:c>
      <x:c r="D22" s="19" t="str"/>
      <x:c r="E22" s="19" t="str"/>
      <x:c r="F22" s="19" t="str"/>
      <x:c r="G22" s="19" t="str">
        <x:v>SIGNED</x:v>
      </x:c>
      <x:c r="H22" s="19" t="str">
        <x:v>LOW</x:v>
      </x:c>
      <x:c r="I22" s="19" t="str"/>
      <x:c r="J22" s="19" t="str"/>
      <x:c r="K22" s="19" t="str"/>
      <x:c r="L22" s="19" t="str"/>
      <x:c r="M22" s="19" t="str"/>
      <x:c r="N22" s="19" t="str">
        <x:v>103/108</x:v>
      </x:c>
    </x:row>
  </x:sheetData>
  <x:mergeCells>
    <x:mergeCell ref="A1:N1"/>
    <x:mergeCell ref="A2:N2"/>
    <x:mergeCell ref="A3:N3"/>
    <x:mergeCell ref="A17:N17"/>
  </x:mergeCells>
  <x:conditionalFormatting sqref="G6:H14">
    <x:cfRule type="containsText" dxfId="2796" priority="1" operator="containsText" text="PASS"/>
    <x:cfRule type="containsText" dxfId="2797" priority="2" operator="containsText" text="READY"/>
    <x:cfRule type="containsText" dxfId="2798" priority="3" operator="containsText" text="CONFIRMED"/>
    <x:cfRule type="containsText" dxfId="2799" priority="4" operator="containsText" text="OFFICIAL"/>
    <x:cfRule type="containsText" dxfId="2800" priority="5" operator="containsText" text="MODE"/>
    <x:cfRule type="containsText" dxfId="2801" priority="6" operator="containsText" text="YES"/>
    <x:cfRule type="containsText" dxfId="2802" priority="7" operator="containsText" text="PREDICTED"/>
    <x:cfRule type="containsText" dxfId="2803" priority="8" operator="containsText" text="CONDITIONAL"/>
    <x:cfRule type="containsText" dxfId="2804" priority="9" operator="containsText" text="WATCHLIST"/>
    <x:cfRule type="containsText" dxfId="2805" priority="10" operator="containsText" text="MEDIUM"/>
    <x:cfRule type="containsText" dxfId="2806" priority="11" operator="containsText" text="LOW"/>
    <x:cfRule type="containsText" dxfId="2807" priority="12" operator="containsText" text="SEPARATE"/>
    <x:cfRule type="containsText" dxfId="2808" priority="13" operator="containsText" text="EXCLUDED"/>
    <x:cfRule type="containsText" dxfId="2809" priority="14" operator="containsText" text="NO"/>
    <x:cfRule type="containsText" dxfId="2810" priority="15" operator="containsText" text="BLOCKED"/>
    <x:cfRule type="containsText" dxfId="2811" priority="16" operator="containsText" text="FAIL"/>
    <x:cfRule type="containsText" dxfId="2812" priority="17" operator="containsText" text="SUPERSEDED"/>
  </x:conditionalFormatting>
  <x:conditionalFormatting sqref="G18:H22">
    <x:cfRule type="containsText" dxfId="2813" priority="18" operator="containsText" text="PASS"/>
    <x:cfRule type="containsText" dxfId="2814" priority="19" operator="containsText" text="READY"/>
    <x:cfRule type="containsText" dxfId="2815" priority="20" operator="containsText" text="CONFIRMED"/>
    <x:cfRule type="containsText" dxfId="2816" priority="21" operator="containsText" text="OFFICIAL"/>
    <x:cfRule type="containsText" dxfId="2817" priority="22" operator="containsText" text="MODE"/>
    <x:cfRule type="containsText" dxfId="2818" priority="23" operator="containsText" text="YES"/>
    <x:cfRule type="containsText" dxfId="2819" priority="24" operator="containsText" text="PREDICTED"/>
    <x:cfRule type="containsText" dxfId="2820" priority="25" operator="containsText" text="CONDITIONAL"/>
    <x:cfRule type="containsText" dxfId="2821" priority="26" operator="containsText" text="WATCHLIST"/>
    <x:cfRule type="containsText" dxfId="2822" priority="27" operator="containsText" text="MEDIUM"/>
    <x:cfRule type="containsText" dxfId="2823" priority="28" operator="containsText" text="LOW"/>
    <x:cfRule type="containsText" dxfId="2824" priority="29" operator="containsText" text="SEPARATE"/>
    <x:cfRule type="containsText" dxfId="2825" priority="30" operator="containsText" text="EXCLUDED"/>
    <x:cfRule type="containsText" dxfId="2826" priority="31" operator="containsText" text="NO"/>
    <x:cfRule type="containsText" dxfId="2827" priority="32" operator="containsText" text="BLOCKED"/>
    <x:cfRule type="containsText" dxfId="2828" priority="33" operator="containsText" text="FAIL"/>
    <x:cfRule type="containsText" dxfId="2829" priority="34" operator="containsText" text="SUPERSEDED"/>
  </x:conditionalFormatting>
  <x:pageMargins left="0.7" right="0.7" top="0.75" bottom="0.75" header="0.3" footer="0.3"/>
</x:worksheet>
</file>

<file path=xl/worksheets/sheet11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47" hidden="0" customWidth="1"/>
    <x:col min="4" max="4" width="23" hidden="0" customWidth="1"/>
    <x:col min="5" max="5" width="25" hidden="0" customWidth="1"/>
    <x:col min="6" max="6" width="14" hidden="0" customWidth="1"/>
    <x:col min="7" max="7" width="14" hidden="0" customWidth="1"/>
    <x:col min="8" max="8" width="44" hidden="0" customWidth="1"/>
  </x:cols>
  <x:sheetData>
    <x:row r="1" ht="30" customHeight="1">
      <x:c r="A1" s="544" t="str">
        <x:v>110｜Phase 3.3B机器校验</x:v>
      </x:c>
      <x:c r="B1" s="544"/>
      <x:c r="C1" s="544"/>
      <x:c r="D1" s="544"/>
      <x:c r="E1" s="544"/>
      <x:c r="F1" s="544"/>
      <x:c r="G1" s="544"/>
      <x:c r="H1" s="544"/>
    </x:row>
    <x:row r="2" ht="22" customHeight="1">
      <x:c r="A2" s="547" t="str">
        <x:v>版本树完备性、条件权重、边际回算、价格梯度、成本精确值与证据边界</x:v>
      </x:c>
      <x:c r="B2" s="547"/>
      <x:c r="C2" s="547"/>
      <x:c r="D2" s="547"/>
      <x:c r="E2" s="547"/>
      <x:c r="F2" s="547"/>
      <x:c r="G2" s="547"/>
      <x:c r="H2" s="547"/>
    </x:row>
    <x:row r="3" ht="82" customHeight="1">
      <x:c r="A3" s="551" t="str">
        <x:v>校验只证明模型内部一致，不证明预测一定实现。最关键的边界检查是：Standard/Pro未被标成官方节点；标准版存在概率与条件价格分布分离；升顶独立于固定顶树；正式官方价格数量仍为0。</x:v>
      </x:c>
      <x:c r="B3" s="551"/>
      <x:c r="C3" s="551"/>
      <x:c r="D3" s="551"/>
      <x:c r="E3" s="551"/>
      <x:c r="F3" s="551"/>
      <x:c r="G3" s="551"/>
      <x:c r="H3" s="551"/>
    </x:row>
    <x:row r="5" ht="48" customHeight="1">
      <x:c r="A5" s="556" t="str">
        <x:v>check_id</x:v>
      </x:c>
      <x:c r="B5" s="556" t="str">
        <x:v>类别</x:v>
      </x:c>
      <x:c r="C5" s="556" t="str">
        <x:v>断言</x:v>
      </x:c>
      <x:c r="D5" s="556" t="str">
        <x:v>Expected</x:v>
      </x:c>
      <x:c r="E5" s="556" t="str">
        <x:v>Actual</x:v>
      </x:c>
      <x:c r="F5" s="556" t="str">
        <x:v>Result</x:v>
      </x:c>
      <x:c r="G5" s="556" t="str">
        <x:v>Severity</x:v>
      </x:c>
      <x:c r="H5" s="556" t="str">
        <x:v>说明</x:v>
      </x:c>
    </x:row>
    <x:row r="6" ht="40" customHeight="1">
      <x:c r="A6" s="19" t="str">
        <x:v>CHK-33B-01</x:v>
      </x:c>
      <x:c r="B6" s="19" t="str">
        <x:v>BRANCH</x:v>
      </x:c>
      <x:c r="C6" s="19" t="str">
        <x:v>发布时阵容权重合计</x:v>
      </x:c>
      <x:c r="D6" s="19" t="n">
        <x:v>1</x:v>
      </x:c>
      <x:c r="E6" s="19" t="n">
        <x:f>SUM('103_N90版本树'!B14:B17)</x:f>
        <x:v>1</x:v>
      </x:c>
      <x:c r="F6" s="19" t="str">
        <x:f>IF(ABS(E6-D6)&lt;0.0001,"PASS","FAIL")</x:f>
        <x:v>PASS</x:v>
      </x:c>
      <x:c r="G6" s="19" t="str">
        <x:v>ERROR</x:v>
      </x:c>
      <x:c r="H6" s="19" t="str"/>
    </x:row>
    <x:row r="7" ht="40" customHeight="1">
      <x:c r="A7" s="557" t="str">
        <x:v>CHK-33B-02</x:v>
      </x:c>
      <x:c r="B7" s="557" t="str">
        <x:v>BRANCH</x:v>
      </x:c>
      <x:c r="C7" s="557" t="str">
        <x:v>生命周期阵容权重合计</x:v>
      </x:c>
      <x:c r="D7" s="557" t="n">
        <x:v>1</x:v>
      </x:c>
      <x:c r="E7" s="557" t="n">
        <x:f>SUM('103_N90版本树'!C14:C17)</x:f>
        <x:v>1</x:v>
      </x:c>
      <x:c r="F7" s="557" t="str">
        <x:f>IF(ABS(E7-D7)&lt;0.0001,"PASS","FAIL")</x:f>
        <x:v>PASS</x:v>
      </x:c>
      <x:c r="G7" s="557" t="str">
        <x:v>ERROR</x:v>
      </x:c>
      <x:c r="H7" s="557" t="str"/>
    </x:row>
    <x:row r="8" ht="40" customHeight="1">
      <x:c r="A8" s="19" t="str">
        <x:v>CHK-33B-03</x:v>
      </x:c>
      <x:c r="B8" s="19" t="str">
        <x:v>EXISTENCE</x:v>
      </x:c>
      <x:c r="C8" s="19" t="str">
        <x:v>标准版发布时存在概率</x:v>
      </x:c>
      <x:c r="D8" s="19" t="n">
        <x:v>0.35</x:v>
      </x:c>
      <x:c r="E8" s="19" t="n">
        <x:f>'103_N90版本树'!B22</x:f>
        <x:v>0.35</x:v>
      </x:c>
      <x:c r="F8" s="19" t="str">
        <x:f>IF(ABS(E8-D8)&lt;0.0001,"PASS","FAIL")</x:f>
        <x:v>PASS</x:v>
      </x:c>
      <x:c r="G8" s="19" t="str">
        <x:v>ERROR</x:v>
      </x:c>
      <x:c r="H8" s="19" t="str"/>
    </x:row>
    <x:row r="9" ht="40" customHeight="1">
      <x:c r="A9" s="557" t="str">
        <x:v>CHK-33B-04</x:v>
      </x:c>
      <x:c r="B9" s="557" t="str">
        <x:v>EXISTENCE</x:v>
      </x:c>
      <x:c r="C9" s="557" t="str">
        <x:v>标准版生命周期存在概率</x:v>
      </x:c>
      <x:c r="D9" s="557" t="n">
        <x:v>0.72</x:v>
      </x:c>
      <x:c r="E9" s="557" t="n">
        <x:f>'103_N90版本树'!C22</x:f>
        <x:v>0.72</x:v>
      </x:c>
      <x:c r="F9" s="557" t="str">
        <x:f>IF(ABS(E9-D9)&lt;0.0001,"PASS","FAIL")</x:f>
        <x:v>PASS</x:v>
      </x:c>
      <x:c r="G9" s="557" t="str">
        <x:v>ERROR</x:v>
      </x:c>
      <x:c r="H9" s="557" t="str"/>
    </x:row>
    <x:row r="10" ht="40" customHeight="1">
      <x:c r="A10" s="19" t="str">
        <x:v>CHK-33B-05</x:v>
      </x:c>
      <x:c r="B10" s="19" t="str">
        <x:v>EXISTENCE</x:v>
      </x:c>
      <x:c r="C10" s="19" t="str">
        <x:v>Pro发布时存在概率</x:v>
      </x:c>
      <x:c r="D10" s="19" t="n">
        <x:v>0.15</x:v>
      </x:c>
      <x:c r="E10" s="19" t="n">
        <x:f>'103_N90版本树'!B23</x:f>
        <x:v>0.15000000000000002</x:v>
      </x:c>
      <x:c r="F10" s="19" t="str">
        <x:f>IF(ABS(E10-D10)&lt;0.0001,"PASS","FAIL")</x:f>
        <x:v>PASS</x:v>
      </x:c>
      <x:c r="G10" s="19" t="str">
        <x:v>ERROR</x:v>
      </x:c>
      <x:c r="H10" s="19" t="str"/>
    </x:row>
    <x:row r="11" ht="40" customHeight="1">
      <x:c r="A11" s="557" t="str">
        <x:v>CHK-33B-06</x:v>
      </x:c>
      <x:c r="B11" s="557" t="str">
        <x:v>EXISTENCE</x:v>
      </x:c>
      <x:c r="C11" s="557" t="str">
        <x:v>Pro生命周期存在概率</x:v>
      </x:c>
      <x:c r="D11" s="557" t="n">
        <x:v>0.38</x:v>
      </x:c>
      <x:c r="E11" s="557" t="n">
        <x:f>'103_N90版本树'!C23</x:f>
        <x:v>0.38</x:v>
      </x:c>
      <x:c r="F11" s="557" t="str">
        <x:f>IF(ABS(E11-D11)&lt;0.0001,"PASS","FAIL")</x:f>
        <x:v>PASS</x:v>
      </x:c>
      <x:c r="G11" s="557" t="str">
        <x:v>ERROR</x:v>
      </x:c>
      <x:c r="H11" s="557" t="str"/>
    </x:row>
    <x:row r="12" ht="40" customHeight="1">
      <x:c r="A12" s="19" t="str">
        <x:v>CHK-33B-07</x:v>
      </x:c>
      <x:c r="B12" s="19" t="str">
        <x:v>SCENARIO</x:v>
      </x:c>
      <x:c r="C12" s="19" t="str">
        <x:v>联合情景行数</x:v>
      </x:c>
      <x:c r="D12" s="19" t="n">
        <x:v>24</x:v>
      </x:c>
      <x:c r="E12" s="19" t="n">
        <x:f>COUNTA('106_N90联合定价'!A6:A29)</x:f>
        <x:v>24</x:v>
      </x:c>
      <x:c r="F12" s="19" t="str">
        <x:f>IF(ABS(E12-D12)&lt;0.0001,"PASS","FAIL")</x:f>
        <x:v>PASS</x:v>
      </x:c>
      <x:c r="G12" s="19" t="str">
        <x:v>ERROR</x:v>
      </x:c>
      <x:c r="H12" s="19" t="str"/>
    </x:row>
    <x:row r="13" ht="40" customHeight="1">
      <x:c r="A13" s="557" t="str">
        <x:v>CHK-33B-08</x:v>
      </x:c>
      <x:c r="B13" s="557" t="str">
        <x:v>SCENARIO</x:v>
      </x:c>
      <x:c r="C13" s="557" t="str">
        <x:v>联合权重合计</x:v>
      </x:c>
      <x:c r="D13" s="557" t="n">
        <x:v>1</x:v>
      </x:c>
      <x:c r="E13" s="557" t="n">
        <x:f>SUM('106_N90联合定价'!F6:F29)</x:f>
        <x:v>1</x:v>
      </x:c>
      <x:c r="F13" s="557" t="str">
        <x:f>IF(ABS(E13-D13)&lt;0.0001,"PASS","FAIL")</x:f>
        <x:v>PASS</x:v>
      </x:c>
      <x:c r="G13" s="557" t="str">
        <x:v>ERROR</x:v>
      </x:c>
      <x:c r="H13" s="557" t="str"/>
    </x:row>
    <x:row r="14" ht="40" customHeight="1">
      <x:c r="A14" s="19" t="str">
        <x:v>CHK-33B-09</x:v>
      </x:c>
      <x:c r="B14" s="19" t="str">
        <x:v>CONDITIONAL</x:v>
      </x:c>
      <x:c r="C14" s="19" t="str">
        <x:v>阵容1条件权重合计</x:v>
      </x:c>
      <x:c r="D14" s="19" t="n">
        <x:v>1</x:v>
      </x:c>
      <x:c r="E14" s="19" t="n">
        <x:f>'106_N90联合定价'!C34</x:f>
        <x:v>1</x:v>
      </x:c>
      <x:c r="F14" s="19" t="str">
        <x:f>IF(ABS(E14-D14)&lt;0.0001,"PASS","FAIL")</x:f>
        <x:v>PASS</x:v>
      </x:c>
      <x:c r="G14" s="19" t="str">
        <x:v>ERROR</x:v>
      </x:c>
      <x:c r="H14" s="19" t="str"/>
    </x:row>
    <x:row r="15" ht="40" customHeight="1">
      <x:c r="A15" s="557" t="str">
        <x:v>CHK-33B-10</x:v>
      </x:c>
      <x:c r="B15" s="557" t="str">
        <x:v>CONDITIONAL</x:v>
      </x:c>
      <x:c r="C15" s="557" t="str">
        <x:v>阵容2条件权重合计</x:v>
      </x:c>
      <x:c r="D15" s="557" t="n">
        <x:v>1</x:v>
      </x:c>
      <x:c r="E15" s="557" t="n">
        <x:f>'106_N90联合定价'!C35</x:f>
        <x:v>1</x:v>
      </x:c>
      <x:c r="F15" s="557" t="str">
        <x:f>IF(ABS(E15-D15)&lt;0.0001,"PASS","FAIL")</x:f>
        <x:v>PASS</x:v>
      </x:c>
      <x:c r="G15" s="557" t="str">
        <x:v>ERROR</x:v>
      </x:c>
      <x:c r="H15" s="557" t="str"/>
    </x:row>
    <x:row r="16" ht="40" customHeight="1">
      <x:c r="A16" s="19" t="str">
        <x:v>CHK-33B-11</x:v>
      </x:c>
      <x:c r="B16" s="19" t="str">
        <x:v>CONDITIONAL</x:v>
      </x:c>
      <x:c r="C16" s="19" t="str">
        <x:v>阵容3条件权重合计</x:v>
      </x:c>
      <x:c r="D16" s="19" t="n">
        <x:v>1</x:v>
      </x:c>
      <x:c r="E16" s="19" t="n">
        <x:f>'106_N90联合定价'!C36</x:f>
        <x:v>1</x:v>
      </x:c>
      <x:c r="F16" s="19" t="str">
        <x:f>IF(ABS(E16-D16)&lt;0.0001,"PASS","FAIL")</x:f>
        <x:v>PASS</x:v>
      </x:c>
      <x:c r="G16" s="19" t="str">
        <x:v>ERROR</x:v>
      </x:c>
      <x:c r="H16" s="19" t="str"/>
    </x:row>
    <x:row r="17" ht="40" customHeight="1">
      <x:c r="A17" s="557" t="str">
        <x:v>CHK-33B-12</x:v>
      </x:c>
      <x:c r="B17" s="557" t="str">
        <x:v>CONDITIONAL</x:v>
      </x:c>
      <x:c r="C17" s="557" t="str">
        <x:v>阵容4条件权重合计</x:v>
      </x:c>
      <x:c r="D17" s="557" t="n">
        <x:v>1</x:v>
      </x:c>
      <x:c r="E17" s="557" t="n">
        <x:f>'106_N90联合定价'!C37</x:f>
        <x:v>1</x:v>
      </x:c>
      <x:c r="F17" s="557" t="str">
        <x:f>IF(ABS(E17-D17)&lt;0.0001,"PASS","FAIL")</x:f>
        <x:v>PASS</x:v>
      </x:c>
      <x:c r="G17" s="557" t="str">
        <x:v>ERROR</x:v>
      </x:c>
      <x:c r="H17" s="557" t="str"/>
    </x:row>
    <x:row r="18" ht="40" customHeight="1">
      <x:c r="A18" s="19" t="str">
        <x:v>CHK-33B-13</x:v>
      </x:c>
      <x:c r="B18" s="19" t="str">
        <x:v>BRANCH</x:v>
      </x:c>
      <x:c r="C18" s="19" t="str">
        <x:v>阵容1联合权重</x:v>
      </x:c>
      <x:c r="D18" s="19" t="n">
        <x:v>0.6</x:v>
      </x:c>
      <x:c r="E18" s="19" t="n">
        <x:f>'106_N90联合定价'!D34</x:f>
        <x:v>0.6000000000000001</x:v>
      </x:c>
      <x:c r="F18" s="19" t="str">
        <x:f>IF(ABS(E18-D18)&lt;0.0001,"PASS","FAIL")</x:f>
        <x:v>PASS</x:v>
      </x:c>
      <x:c r="G18" s="19" t="str">
        <x:v>ERROR</x:v>
      </x:c>
      <x:c r="H18" s="19" t="str"/>
    </x:row>
    <x:row r="19" ht="40" customHeight="1">
      <x:c r="A19" s="557" t="str">
        <x:v>CHK-33B-14</x:v>
      </x:c>
      <x:c r="B19" s="557" t="str">
        <x:v>BRANCH</x:v>
      </x:c>
      <x:c r="C19" s="557" t="str">
        <x:v>阵容2联合权重</x:v>
      </x:c>
      <x:c r="D19" s="557" t="n">
        <x:v>0.25</x:v>
      </x:c>
      <x:c r="E19" s="557" t="n">
        <x:f>'106_N90联合定价'!D35</x:f>
        <x:v>0.25</x:v>
      </x:c>
      <x:c r="F19" s="557" t="str">
        <x:f>IF(ABS(E19-D19)&lt;0.0001,"PASS","FAIL")</x:f>
        <x:v>PASS</x:v>
      </x:c>
      <x:c r="G19" s="557" t="str">
        <x:v>ERROR</x:v>
      </x:c>
      <x:c r="H19" s="557" t="str"/>
    </x:row>
    <x:row r="20" ht="40" customHeight="1">
      <x:c r="A20" s="19" t="str">
        <x:v>CHK-33B-15</x:v>
      </x:c>
      <x:c r="B20" s="19" t="str">
        <x:v>BRANCH</x:v>
      </x:c>
      <x:c r="C20" s="19" t="str">
        <x:v>阵容3联合权重</x:v>
      </x:c>
      <x:c r="D20" s="19" t="n">
        <x:v>0.05</x:v>
      </x:c>
      <x:c r="E20" s="19" t="n">
        <x:f>'106_N90联合定价'!D36</x:f>
        <x:v>0.05</x:v>
      </x:c>
      <x:c r="F20" s="19" t="str">
        <x:f>IF(ABS(E20-D20)&lt;0.0001,"PASS","FAIL")</x:f>
        <x:v>PASS</x:v>
      </x:c>
      <x:c r="G20" s="19" t="str">
        <x:v>ERROR</x:v>
      </x:c>
      <x:c r="H20" s="19" t="str"/>
    </x:row>
    <x:row r="21" ht="40" customHeight="1">
      <x:c r="A21" s="557" t="str">
        <x:v>CHK-33B-16</x:v>
      </x:c>
      <x:c r="B21" s="557" t="str">
        <x:v>BRANCH</x:v>
      </x:c>
      <x:c r="C21" s="557" t="str">
        <x:v>阵容4联合权重</x:v>
      </x:c>
      <x:c r="D21" s="557" t="n">
        <x:v>0.1</x:v>
      </x:c>
      <x:c r="E21" s="557" t="n">
        <x:f>'106_N90联合定价'!D37</x:f>
        <x:v>0.1</x:v>
      </x:c>
      <x:c r="F21" s="557" t="str">
        <x:f>IF(ABS(E21-D21)&lt;0.0001,"PASS","FAIL")</x:f>
        <x:v>PASS</x:v>
      </x:c>
      <x:c r="G21" s="557" t="str">
        <x:v>ERROR</x:v>
      </x:c>
      <x:c r="H21" s="557" t="str"/>
    </x:row>
    <x:row r="22" ht="40" customHeight="1">
      <x:c r="A22" s="19" t="str">
        <x:v>CHK-33B-17</x:v>
      </x:c>
      <x:c r="B22" s="19" t="str">
        <x:v>MARGINAL</x:v>
      </x:c>
      <x:c r="C22" s="19" t="str">
        <x:v>Max无条件权重合计</x:v>
      </x:c>
      <x:c r="D22" s="19" t="n">
        <x:v>1</x:v>
      </x:c>
      <x:c r="E22" s="19" t="n">
        <x:f>'107_N90价格边际'!B30</x:f>
        <x:v>1</x:v>
      </x:c>
      <x:c r="F22" s="19" t="str">
        <x:f>IF(ABS(E22-D22)&lt;0.0001,"PASS","FAIL")</x:f>
        <x:v>PASS</x:v>
      </x:c>
      <x:c r="G22" s="19" t="str">
        <x:v>ERROR</x:v>
      </x:c>
      <x:c r="H22" s="19" t="str"/>
    </x:row>
    <x:row r="23" ht="40" customHeight="1">
      <x:c r="A23" s="557" t="str">
        <x:v>CHK-33B-18</x:v>
      </x:c>
      <x:c r="B23" s="557" t="str">
        <x:v>MARGINAL</x:v>
      </x:c>
      <x:c r="C23" s="557" t="str">
        <x:v>Max无条件众数</x:v>
      </x:c>
      <x:c r="D23" s="557" t="n">
        <x:v>279900</x:v>
      </x:c>
      <x:c r="E23" s="557" t="n">
        <x:f>'107_N90价格边际'!B31</x:f>
        <x:v>279900</x:v>
      </x:c>
      <x:c r="F23" s="557" t="str">
        <x:f>IF(ABS(E23-D23)&lt;0.0001,"PASS","FAIL")</x:f>
        <x:v>PASS</x:v>
      </x:c>
      <x:c r="G23" s="557" t="str">
        <x:v>ERROR</x:v>
      </x:c>
      <x:c r="H23" s="557" t="str"/>
    </x:row>
    <x:row r="24" ht="40" customHeight="1">
      <x:c r="A24" s="19" t="str">
        <x:v>CHK-33B-19</x:v>
      </x:c>
      <x:c r="B24" s="19" t="str">
        <x:v>MARGINAL</x:v>
      </x:c>
      <x:c r="C24" s="19" t="str">
        <x:v>Max无条件期望价</x:v>
      </x:c>
      <x:c r="D24" s="19" t="n">
        <x:v>282803</x:v>
      </x:c>
      <x:c r="E24" s="19" t="n">
        <x:f>ROUND('107_N90价格边际'!B32,0)</x:f>
        <x:v>282803</x:v>
      </x:c>
      <x:c r="F24" s="19" t="str">
        <x:f>IF(ABS(E24-D24)&lt;0.0001,"PASS","FAIL")</x:f>
        <x:v>PASS</x:v>
      </x:c>
      <x:c r="G24" s="19" t="str">
        <x:v>ERROR</x:v>
      </x:c>
      <x:c r="H24" s="19" t="str"/>
    </x:row>
    <x:row r="25" ht="40" customHeight="1">
      <x:c r="A25" s="557" t="str">
        <x:v>CHK-33B-20</x:v>
      </x:c>
      <x:c r="B25" s="557" t="str">
        <x:v>MARGINAL</x:v>
      </x:c>
      <x:c r="C25" s="557" t="str">
        <x:v>P(Max≤27.99)无条件</x:v>
      </x:c>
      <x:c r="D25" s="557" t="n">
        <x:v>0.65</x:v>
      </x:c>
      <x:c r="E25" s="557" t="n">
        <x:f>'107_N90价格边际'!B33</x:f>
        <x:v>0.65</x:v>
      </x:c>
      <x:c r="F25" s="557" t="str">
        <x:f>IF(ABS(E25-D25)&lt;0.0001,"PASS","FAIL")</x:f>
        <x:v>PASS</x:v>
      </x:c>
      <x:c r="G25" s="557" t="str">
        <x:v>ERROR</x:v>
      </x:c>
      <x:c r="H25" s="557" t="str"/>
    </x:row>
    <x:row r="26" ht="40" customHeight="1">
      <x:c r="A26" s="19" t="str">
        <x:v>CHK-33B-21</x:v>
      </x:c>
      <x:c r="B26" s="19" t="str">
        <x:v>MARGINAL</x:v>
      </x:c>
      <x:c r="C26" s="19" t="str">
        <x:v>仅Max条件众数</x:v>
      </x:c>
      <x:c r="D26" s="19" t="n">
        <x:v>279900</x:v>
      </x:c>
      <x:c r="E26" s="19" t="n">
        <x:f>'107_N90价格边际'!B35</x:f>
        <x:v>279900</x:v>
      </x:c>
      <x:c r="F26" s="19" t="str">
        <x:f>IF(ABS(E26-D26)&lt;0.0001,"PASS","FAIL")</x:f>
        <x:v>PASS</x:v>
      </x:c>
      <x:c r="G26" s="19" t="str">
        <x:v>ERROR</x:v>
      </x:c>
      <x:c r="H26" s="19" t="str"/>
    </x:row>
    <x:row r="27" ht="40" customHeight="1">
      <x:c r="A27" s="557" t="str">
        <x:v>CHK-33B-22</x:v>
      </x:c>
      <x:c r="B27" s="557" t="str">
        <x:v>MARGINAL</x:v>
      </x:c>
      <x:c r="C27" s="557" t="str">
        <x:v>P(Max≤27.99｜仅Max)</x:v>
      </x:c>
      <x:c r="D27" s="557" t="n">
        <x:v>0.95</x:v>
      </x:c>
      <x:c r="E27" s="557" t="n">
        <x:f>'107_N90价格边际'!B36</x:f>
        <x:v>0.95</x:v>
      </x:c>
      <x:c r="F27" s="557" t="str">
        <x:f>IF(ABS(E27-D27)&lt;0.0001,"PASS","FAIL")</x:f>
        <x:v>PASS</x:v>
      </x:c>
      <x:c r="G27" s="557" t="str">
        <x:v>ERROR</x:v>
      </x:c>
      <x:c r="H27" s="557" t="str"/>
    </x:row>
    <x:row r="28" ht="40" customHeight="1">
      <x:c r="A28" s="19" t="str">
        <x:v>CHK-33B-23</x:v>
      </x:c>
      <x:c r="B28" s="19" t="str">
        <x:v>MARGINAL</x:v>
      </x:c>
      <x:c r="C28" s="19" t="str">
        <x:v>有低价SKU条件Max众数</x:v>
      </x:c>
      <x:c r="D28" s="19" t="n">
        <x:v>289900</x:v>
      </x:c>
      <x:c r="E28" s="19" t="n">
        <x:f>'107_N90价格边际'!B38</x:f>
        <x:v>289900</x:v>
      </x:c>
      <x:c r="F28" s="19" t="str">
        <x:f>IF(ABS(E28-D28)&lt;0.0001,"PASS","FAIL")</x:f>
        <x:v>PASS</x:v>
      </x:c>
      <x:c r="G28" s="19" t="str">
        <x:v>ERROR</x:v>
      </x:c>
      <x:c r="H28" s="19" t="str"/>
    </x:row>
    <x:row r="29" ht="40" customHeight="1">
      <x:c r="A29" s="557" t="str">
        <x:v>CHK-33B-24</x:v>
      </x:c>
      <x:c r="B29" s="557" t="str">
        <x:v>MARGINAL</x:v>
      </x:c>
      <x:c r="C29" s="557" t="str">
        <x:v>P(Max≤27.99｜有低价SKU)</x:v>
      </x:c>
      <x:c r="D29" s="557" t="n">
        <x:v>0.2</x:v>
      </x:c>
      <x:c r="E29" s="557" t="n">
        <x:f>'107_N90价格边际'!B39</x:f>
        <x:v>0.20000000000000004</x:v>
      </x:c>
      <x:c r="F29" s="557" t="str">
        <x:f>IF(ABS(E29-D29)&lt;0.0001,"PASS","FAIL")</x:f>
        <x:v>PASS</x:v>
      </x:c>
      <x:c r="G29" s="557" t="str">
        <x:v>ERROR</x:v>
      </x:c>
      <x:c r="H29" s="557" t="str"/>
    </x:row>
    <x:row r="30" ht="40" customHeight="1">
      <x:c r="A30" s="19" t="str">
        <x:v>CHK-33B-25</x:v>
      </x:c>
      <x:c r="B30" s="19" t="str">
        <x:v>MARGINAL</x:v>
      </x:c>
      <x:c r="C30" s="19" t="str">
        <x:v>标准版条件权重合计</x:v>
      </x:c>
      <x:c r="D30" s="19" t="n">
        <x:v>1</x:v>
      </x:c>
      <x:c r="E30" s="19" t="n">
        <x:f>'107_N90价格边际'!B41</x:f>
        <x:v>1</x:v>
      </x:c>
      <x:c r="F30" s="19" t="str">
        <x:f>IF(ABS(E30-D30)&lt;0.0001,"PASS","FAIL")</x:f>
        <x:v>PASS</x:v>
      </x:c>
      <x:c r="G30" s="19" t="str">
        <x:v>ERROR</x:v>
      </x:c>
      <x:c r="H30" s="19" t="str"/>
    </x:row>
    <x:row r="31" ht="40" customHeight="1">
      <x:c r="A31" s="557" t="str">
        <x:v>CHK-33B-26</x:v>
      </x:c>
      <x:c r="B31" s="557" t="str">
        <x:v>MARGINAL</x:v>
      </x:c>
      <x:c r="C31" s="557" t="str">
        <x:v>标准版条件众数</x:v>
      </x:c>
      <x:c r="D31" s="557" t="n">
        <x:v>259900</x:v>
      </x:c>
      <x:c r="E31" s="557" t="n">
        <x:f>'107_N90价格边际'!B42</x:f>
        <x:v>259900</x:v>
      </x:c>
      <x:c r="F31" s="557" t="str">
        <x:f>IF(ABS(E31-D31)&lt;0.0001,"PASS","FAIL")</x:f>
        <x:v>PASS</x:v>
      </x:c>
      <x:c r="G31" s="557" t="str">
        <x:v>ERROR</x:v>
      </x:c>
      <x:c r="H31" s="557" t="str"/>
    </x:row>
    <x:row r="32" ht="40" customHeight="1">
      <x:c r="A32" s="19" t="str">
        <x:v>CHK-33B-27</x:v>
      </x:c>
      <x:c r="B32" s="19" t="str">
        <x:v>MARGINAL</x:v>
      </x:c>
      <x:c r="C32" s="19" t="str">
        <x:v>Pro条件权重合计</x:v>
      </x:c>
      <x:c r="D32" s="19" t="n">
        <x:v>1</x:v>
      </x:c>
      <x:c r="E32" s="19" t="n">
        <x:f>'107_N90价格边际'!B45</x:f>
        <x:v>1</x:v>
      </x:c>
      <x:c r="F32" s="19" t="str">
        <x:f>IF(ABS(E32-D32)&lt;0.0001,"PASS","FAIL")</x:f>
        <x:v>PASS</x:v>
      </x:c>
      <x:c r="G32" s="19" t="str">
        <x:v>ERROR</x:v>
      </x:c>
      <x:c r="H32" s="19" t="str"/>
    </x:row>
    <x:row r="33" ht="40" customHeight="1">
      <x:c r="A33" s="557" t="str">
        <x:v>CHK-33B-28</x:v>
      </x:c>
      <x:c r="B33" s="557" t="str">
        <x:v>MARGINAL</x:v>
      </x:c>
      <x:c r="C33" s="557" t="str">
        <x:v>Pro条件众数</x:v>
      </x:c>
      <x:c r="D33" s="557" t="n">
        <x:v>279900</x:v>
      </x:c>
      <x:c r="E33" s="557" t="n">
        <x:f>'107_N90价格边际'!B46</x:f>
        <x:v>279900</x:v>
      </x:c>
      <x:c r="F33" s="557" t="str">
        <x:f>IF(ABS(E33-D33)&lt;0.0001,"PASS","FAIL")</x:f>
        <x:v>PASS</x:v>
      </x:c>
      <x:c r="G33" s="557" t="str">
        <x:v>ERROR</x:v>
      </x:c>
      <x:c r="H33" s="557" t="str"/>
    </x:row>
    <x:row r="34" ht="40" customHeight="1">
      <x:c r="A34" s="19" t="str">
        <x:v>CHK-33B-29</x:v>
      </x:c>
      <x:c r="B34" s="19" t="str">
        <x:v>COST</x:v>
      </x:c>
      <x:c r="C34" s="19" t="str">
        <x:v>五座简悬Mid未税成本</x:v>
      </x:c>
      <x:c r="D34" s="19" t="n">
        <x:v>12058</x:v>
      </x:c>
      <x:c r="E34" s="19" t="n">
        <x:f>ROUND('105_N90标准版成本差'!G21,0)</x:f>
        <x:v>12058</x:v>
      </x:c>
      <x:c r="F34" s="19" t="str">
        <x:f>IF(ABS(E34-D34)&lt;0.0001,"PASS","FAIL")</x:f>
        <x:v>PASS</x:v>
      </x:c>
      <x:c r="G34" s="19" t="str">
        <x:v>ERROR</x:v>
      </x:c>
      <x:c r="H34" s="19" t="str"/>
    </x:row>
    <x:row r="35" ht="40" customHeight="1">
      <x:c r="A35" s="557" t="str">
        <x:v>CHK-33B-30</x:v>
      </x:c>
      <x:c r="B35" s="557" t="str">
        <x:v>COST</x:v>
      </x:c>
      <x:c r="C35" s="557" t="str">
        <x:v>七座简悬Mid未税成本</x:v>
      </x:c>
      <x:c r="D35" s="557" t="n">
        <x:v>9056</x:v>
      </x:c>
      <x:c r="E35" s="557" t="n">
        <x:f>ROUND('105_N90标准版成本差'!G22,0)</x:f>
        <x:v>9056</x:v>
      </x:c>
      <x:c r="F35" s="557" t="str">
        <x:f>IF(ABS(E35-D35)&lt;0.0001,"PASS","FAIL")</x:f>
        <x:v>PASS</x:v>
      </x:c>
      <x:c r="G35" s="557" t="str">
        <x:v>ERROR</x:v>
      </x:c>
      <x:c r="H35" s="557" t="str"/>
    </x:row>
    <x:row r="36" ht="40" customHeight="1">
      <x:c r="A36" s="19" t="str">
        <x:v>CHK-33B-31</x:v>
      </x:c>
      <x:c r="B36" s="19" t="str">
        <x:v>COST</x:v>
      </x:c>
      <x:c r="C36" s="19" t="str">
        <x:v>七座简悬Mid含税传导</x:v>
      </x:c>
      <x:c r="D36" s="19" t="n">
        <x:v>10944</x:v>
      </x:c>
      <x:c r="E36" s="19" t="n">
        <x:f>ROUND('105_N90标准版成本差'!J22,0)</x:f>
        <x:v>10944</x:v>
      </x:c>
      <x:c r="F36" s="19" t="str">
        <x:f>IF(ABS(E36-D36)&lt;0.0001,"PASS","FAIL")</x:f>
        <x:v>PASS</x:v>
      </x:c>
      <x:c r="G36" s="19" t="str">
        <x:v>ERROR</x:v>
      </x:c>
      <x:c r="H36" s="19" t="str"/>
    </x:row>
    <x:row r="37" ht="40" customHeight="1">
      <x:c r="A37" s="557" t="str">
        <x:v>CHK-33B-32</x:v>
      </x:c>
      <x:c r="B37" s="557" t="str">
        <x:v>COST</x:v>
      </x:c>
      <x:c r="C37" s="557" t="str">
        <x:v>标准版形态权重合计</x:v>
      </x:c>
      <x:c r="D37" s="557" t="n">
        <x:v>1</x:v>
      </x:c>
      <x:c r="E37" s="557" t="n">
        <x:f>'105_N90标准版成本差'!B33</x:f>
        <x:v>1</x:v>
      </x:c>
      <x:c r="F37" s="557" t="str">
        <x:f>IF(ABS(E37-D37)&lt;0.0001,"PASS","FAIL")</x:f>
        <x:v>PASS</x:v>
      </x:c>
      <x:c r="G37" s="557" t="str">
        <x:v>ERROR</x:v>
      </x:c>
      <x:c r="H37" s="557" t="str"/>
    </x:row>
    <x:row r="38" ht="40" customHeight="1">
      <x:c r="A38" s="19" t="str">
        <x:v>CHK-33B-33</x:v>
      </x:c>
      <x:c r="B38" s="19" t="str">
        <x:v>EVIDENCE</x:v>
      </x:c>
      <x:c r="C38" s="19" t="str">
        <x:v>标准版官方商品名数量</x:v>
      </x:c>
      <x:c r="D38" s="19" t="n">
        <x:v>0</x:v>
      </x:c>
      <x:c r="E38" s="19" t="n">
        <x:f>IF('103_N90版本树'!D6="NO",0,1)</x:f>
        <x:v>0</x:v>
      </x:c>
      <x:c r="F38" s="19" t="str">
        <x:f>IF(ABS(E38-D38)&lt;0.0001,"PASS","FAIL")</x:f>
        <x:v>PASS</x:v>
      </x:c>
      <x:c r="G38" s="19" t="str">
        <x:v>ERROR</x:v>
      </x:c>
      <x:c r="H38" s="19" t="str"/>
    </x:row>
    <x:row r="39" ht="40" customHeight="1">
      <x:c r="A39" s="557" t="str">
        <x:v>CHK-33B-34</x:v>
      </x:c>
      <x:c r="B39" s="557" t="str">
        <x:v>EVIDENCE</x:v>
      </x:c>
      <x:c r="C39" s="557" t="str">
        <x:v>Pro官方商品名数量</x:v>
      </x:c>
      <x:c r="D39" s="557" t="n">
        <x:v>0</x:v>
      </x:c>
      <x:c r="E39" s="557" t="n">
        <x:f>IF('103_N90版本树'!D7="NO",0,1)</x:f>
        <x:v>0</x:v>
      </x:c>
      <x:c r="F39" s="557" t="str">
        <x:f>IF(ABS(E39-D39)&lt;0.0001,"PASS","FAIL")</x:f>
        <x:v>PASS</x:v>
      </x:c>
      <x:c r="G39" s="557" t="str">
        <x:v>ERROR</x:v>
      </x:c>
      <x:c r="H39" s="557" t="str"/>
    </x:row>
    <x:row r="40" ht="40" customHeight="1">
      <x:c r="A40" s="19" t="str">
        <x:v>CHK-33B-35</x:v>
      </x:c>
      <x:c r="B40" s="19" t="str">
        <x:v>EVIDENCE</x:v>
      </x:c>
      <x:c r="C40" s="19" t="str">
        <x:v>Max官方商品名数量</x:v>
      </x:c>
      <x:c r="D40" s="19" t="n">
        <x:v>1</x:v>
      </x:c>
      <x:c r="E40" s="19" t="n">
        <x:f>IF('103_N90版本树'!D8="YES",1,0)</x:f>
        <x:v>1</x:v>
      </x:c>
      <x:c r="F40" s="19" t="str">
        <x:f>IF(ABS(E40-D40)&lt;0.0001,"PASS","FAIL")</x:f>
        <x:v>PASS</x:v>
      </x:c>
      <x:c r="G40" s="19" t="str">
        <x:v>ERROR</x:v>
      </x:c>
      <x:c r="H40" s="19" t="str"/>
    </x:row>
    <x:row r="41" ht="40" customHeight="1">
      <x:c r="A41" s="557" t="str">
        <x:v>CHK-33B-36</x:v>
      </x:c>
      <x:c r="B41" s="557" t="str">
        <x:v>EVIDENCE</x:v>
      </x:c>
      <x:c r="C41" s="557" t="str">
        <x:v>升顶监管根独立于普通N90</x:v>
      </x:c>
      <x:c r="D41" s="557" t="n">
        <x:v>1</x:v>
      </x:c>
      <x:c r="E41" s="557" t="n">
        <x:f>IF('103_N90版本树'!E9&lt;&gt;'103_N90版本树'!E8,1,0)</x:f>
        <x:v>1</x:v>
      </x:c>
      <x:c r="F41" s="557" t="str">
        <x:f>IF(ABS(E41-D41)&lt;0.0001,"PASS","FAIL")</x:f>
        <x:v>PASS</x:v>
      </x:c>
      <x:c r="G41" s="557" t="str">
        <x:v>ERROR</x:v>
      </x:c>
      <x:c r="H41" s="557" t="str"/>
    </x:row>
    <x:row r="42" ht="40" customHeight="1">
      <x:c r="A42" s="19" t="str">
        <x:v>CHK-33B-37</x:v>
      </x:c>
      <x:c r="B42" s="19" t="str">
        <x:v>LADDER</x:v>
      </x:c>
      <x:c r="C42" s="19" t="str">
        <x:v>联合情景1内部价格梯度</x:v>
      </x:c>
      <x:c r="D42" s="19" t="n">
        <x:v>1</x:v>
      </x:c>
      <x:c r="E42" s="19" t="n">
        <x:f>IF('106_N90联合定价'!F6=0,1,IF(AND(IF('106_N90联合定价'!G6="",TRUE,'106_N90联合定价'!G6&lt;'106_N90联合定价'!I6),IF('106_N90联合定价'!H6="",TRUE,'106_N90联合定价'!H6&lt;'106_N90联合定价'!I6),IF(AND('106_N90联合定价'!G6&lt;&gt;"",'106_N90联合定价'!H6&lt;&gt;""),'106_N90联合定价'!G6&lt;'106_N90联合定价'!H6,TRUE)),1,0))</x:f>
        <x:v>1</x:v>
      </x:c>
      <x:c r="F42" s="19" t="str">
        <x:f>IF(ABS(E42-D42)&lt;0.0001,"PASS","FAIL")</x:f>
        <x:v>PASS</x:v>
      </x:c>
      <x:c r="G42" s="19" t="str">
        <x:v>ERROR</x:v>
      </x:c>
      <x:c r="H42" s="19" t="str"/>
    </x:row>
    <x:row r="43" ht="40" customHeight="1">
      <x:c r="A43" s="557" t="str">
        <x:v>CHK-33B-38</x:v>
      </x:c>
      <x:c r="B43" s="557" t="str">
        <x:v>LADDER</x:v>
      </x:c>
      <x:c r="C43" s="557" t="str">
        <x:v>联合情景2内部价格梯度</x:v>
      </x:c>
      <x:c r="D43" s="557" t="n">
        <x:v>1</x:v>
      </x:c>
      <x:c r="E43" s="557" t="n">
        <x:f>IF('106_N90联合定价'!F7=0,1,IF(AND(IF('106_N90联合定价'!G7="",TRUE,'106_N90联合定价'!G7&lt;'106_N90联合定价'!I7),IF('106_N90联合定价'!H7="",TRUE,'106_N90联合定价'!H7&lt;'106_N90联合定价'!I7),IF(AND('106_N90联合定价'!G7&lt;&gt;"",'106_N90联合定价'!H7&lt;&gt;""),'106_N90联合定价'!G7&lt;'106_N90联合定价'!H7,TRUE)),1,0))</x:f>
        <x:v>1</x:v>
      </x:c>
      <x:c r="F43" s="557" t="str">
        <x:f>IF(ABS(E43-D43)&lt;0.0001,"PASS","FAIL")</x:f>
        <x:v>PASS</x:v>
      </x:c>
      <x:c r="G43" s="557" t="str">
        <x:v>ERROR</x:v>
      </x:c>
      <x:c r="H43" s="557" t="str"/>
    </x:row>
    <x:row r="44" ht="40" customHeight="1">
      <x:c r="A44" s="19" t="str">
        <x:v>CHK-33B-39</x:v>
      </x:c>
      <x:c r="B44" s="19" t="str">
        <x:v>LADDER</x:v>
      </x:c>
      <x:c r="C44" s="19" t="str">
        <x:v>联合情景3内部价格梯度</x:v>
      </x:c>
      <x:c r="D44" s="19" t="n">
        <x:v>1</x:v>
      </x:c>
      <x:c r="E44" s="19" t="n">
        <x:f>IF('106_N90联合定价'!F8=0,1,IF(AND(IF('106_N90联合定价'!G8="",TRUE,'106_N90联合定价'!G8&lt;'106_N90联合定价'!I8),IF('106_N90联合定价'!H8="",TRUE,'106_N90联合定价'!H8&lt;'106_N90联合定价'!I8),IF(AND('106_N90联合定价'!G8&lt;&gt;"",'106_N90联合定价'!H8&lt;&gt;""),'106_N90联合定价'!G8&lt;'106_N90联合定价'!H8,TRUE)),1,0))</x:f>
        <x:v>1</x:v>
      </x:c>
      <x:c r="F44" s="19" t="str">
        <x:f>IF(ABS(E44-D44)&lt;0.0001,"PASS","FAIL")</x:f>
        <x:v>PASS</x:v>
      </x:c>
      <x:c r="G44" s="19" t="str">
        <x:v>ERROR</x:v>
      </x:c>
      <x:c r="H44" s="19" t="str"/>
    </x:row>
    <x:row r="45" ht="40" customHeight="1">
      <x:c r="A45" s="557" t="str">
        <x:v>CHK-33B-40</x:v>
      </x:c>
      <x:c r="B45" s="557" t="str">
        <x:v>LADDER</x:v>
      </x:c>
      <x:c r="C45" s="557" t="str">
        <x:v>联合情景4内部价格梯度</x:v>
      </x:c>
      <x:c r="D45" s="557" t="n">
        <x:v>1</x:v>
      </x:c>
      <x:c r="E45" s="557" t="n">
        <x:f>IF('106_N90联合定价'!F9=0,1,IF(AND(IF('106_N90联合定价'!G9="",TRUE,'106_N90联合定价'!G9&lt;'106_N90联合定价'!I9),IF('106_N90联合定价'!H9="",TRUE,'106_N90联合定价'!H9&lt;'106_N90联合定价'!I9),IF(AND('106_N90联合定价'!G9&lt;&gt;"",'106_N90联合定价'!H9&lt;&gt;""),'106_N90联合定价'!G9&lt;'106_N90联合定价'!H9,TRUE)),1,0))</x:f>
        <x:v>1</x:v>
      </x:c>
      <x:c r="F45" s="557" t="str">
        <x:f>IF(ABS(E45-D45)&lt;0.0001,"PASS","FAIL")</x:f>
        <x:v>PASS</x:v>
      </x:c>
      <x:c r="G45" s="557" t="str">
        <x:v>ERROR</x:v>
      </x:c>
      <x:c r="H45" s="557" t="str"/>
    </x:row>
    <x:row r="46" ht="40" customHeight="1">
      <x:c r="A46" s="19" t="str">
        <x:v>CHK-33B-41</x:v>
      </x:c>
      <x:c r="B46" s="19" t="str">
        <x:v>LADDER</x:v>
      </x:c>
      <x:c r="C46" s="19" t="str">
        <x:v>联合情景5内部价格梯度</x:v>
      </x:c>
      <x:c r="D46" s="19" t="n">
        <x:v>1</x:v>
      </x:c>
      <x:c r="E46" s="19" t="n">
        <x:f>IF('106_N90联合定价'!F10=0,1,IF(AND(IF('106_N90联合定价'!G10="",TRUE,'106_N90联合定价'!G10&lt;'106_N90联合定价'!I10),IF('106_N90联合定价'!H10="",TRUE,'106_N90联合定价'!H10&lt;'106_N90联合定价'!I10),IF(AND('106_N90联合定价'!G10&lt;&gt;"",'106_N90联合定价'!H10&lt;&gt;""),'106_N90联合定价'!G10&lt;'106_N90联合定价'!H10,TRUE)),1,0))</x:f>
        <x:v>1</x:v>
      </x:c>
      <x:c r="F46" s="19" t="str">
        <x:f>IF(ABS(E46-D46)&lt;0.0001,"PASS","FAIL")</x:f>
        <x:v>PASS</x:v>
      </x:c>
      <x:c r="G46" s="19" t="str">
        <x:v>ERROR</x:v>
      </x:c>
      <x:c r="H46" s="19" t="str"/>
    </x:row>
    <x:row r="47" ht="40" customHeight="1">
      <x:c r="A47" s="557" t="str">
        <x:v>CHK-33B-42</x:v>
      </x:c>
      <x:c r="B47" s="557" t="str">
        <x:v>LADDER</x:v>
      </x:c>
      <x:c r="C47" s="557" t="str">
        <x:v>联合情景6内部价格梯度</x:v>
      </x:c>
      <x:c r="D47" s="557" t="n">
        <x:v>1</x:v>
      </x:c>
      <x:c r="E47" s="557" t="n">
        <x:f>IF('106_N90联合定价'!F11=0,1,IF(AND(IF('106_N90联合定价'!G11="",TRUE,'106_N90联合定价'!G11&lt;'106_N90联合定价'!I11),IF('106_N90联合定价'!H11="",TRUE,'106_N90联合定价'!H11&lt;'106_N90联合定价'!I11),IF(AND('106_N90联合定价'!G11&lt;&gt;"",'106_N90联合定价'!H11&lt;&gt;""),'106_N90联合定价'!G11&lt;'106_N90联合定价'!H11,TRUE)),1,0))</x:f>
        <x:v>1</x:v>
      </x:c>
      <x:c r="F47" s="557" t="str">
        <x:f>IF(ABS(E47-D47)&lt;0.0001,"PASS","FAIL")</x:f>
        <x:v>PASS</x:v>
      </x:c>
      <x:c r="G47" s="557" t="str">
        <x:v>ERROR</x:v>
      </x:c>
      <x:c r="H47" s="557" t="str"/>
    </x:row>
    <x:row r="48" ht="40" customHeight="1">
      <x:c r="A48" s="19" t="str">
        <x:v>CHK-33B-43</x:v>
      </x:c>
      <x:c r="B48" s="19" t="str">
        <x:v>LADDER</x:v>
      </x:c>
      <x:c r="C48" s="19" t="str">
        <x:v>联合情景7内部价格梯度</x:v>
      </x:c>
      <x:c r="D48" s="19" t="n">
        <x:v>1</x:v>
      </x:c>
      <x:c r="E48" s="19" t="n">
        <x:f>IF('106_N90联合定价'!F12=0,1,IF(AND(IF('106_N90联合定价'!G12="",TRUE,'106_N90联合定价'!G12&lt;'106_N90联合定价'!I12),IF('106_N90联合定价'!H12="",TRUE,'106_N90联合定价'!H12&lt;'106_N90联合定价'!I12),IF(AND('106_N90联合定价'!G12&lt;&gt;"",'106_N90联合定价'!H12&lt;&gt;""),'106_N90联合定价'!G12&lt;'106_N90联合定价'!H12,TRUE)),1,0))</x:f>
        <x:v>1</x:v>
      </x:c>
      <x:c r="F48" s="19" t="str">
        <x:f>IF(ABS(E48-D48)&lt;0.0001,"PASS","FAIL")</x:f>
        <x:v>PASS</x:v>
      </x:c>
      <x:c r="G48" s="19" t="str">
        <x:v>ERROR</x:v>
      </x:c>
      <x:c r="H48" s="19" t="str"/>
    </x:row>
    <x:row r="49" ht="40" customHeight="1">
      <x:c r="A49" s="557" t="str">
        <x:v>CHK-33B-44</x:v>
      </x:c>
      <x:c r="B49" s="557" t="str">
        <x:v>LADDER</x:v>
      </x:c>
      <x:c r="C49" s="557" t="str">
        <x:v>联合情景8内部价格梯度</x:v>
      </x:c>
      <x:c r="D49" s="557" t="n">
        <x:v>1</x:v>
      </x:c>
      <x:c r="E49" s="557" t="n">
        <x:f>IF('106_N90联合定价'!F13=0,1,IF(AND(IF('106_N90联合定价'!G13="",TRUE,'106_N90联合定价'!G13&lt;'106_N90联合定价'!I13),IF('106_N90联合定价'!H13="",TRUE,'106_N90联合定价'!H13&lt;'106_N90联合定价'!I13),IF(AND('106_N90联合定价'!G13&lt;&gt;"",'106_N90联合定价'!H13&lt;&gt;""),'106_N90联合定价'!G13&lt;'106_N90联合定价'!H13,TRUE)),1,0))</x:f>
        <x:v>1</x:v>
      </x:c>
      <x:c r="F49" s="557" t="str">
        <x:f>IF(ABS(E49-D49)&lt;0.0001,"PASS","FAIL")</x:f>
        <x:v>PASS</x:v>
      </x:c>
      <x:c r="G49" s="557" t="str">
        <x:v>ERROR</x:v>
      </x:c>
      <x:c r="H49" s="557" t="str"/>
    </x:row>
    <x:row r="50" ht="40" customHeight="1">
      <x:c r="A50" s="19" t="str">
        <x:v>CHK-33B-45</x:v>
      </x:c>
      <x:c r="B50" s="19" t="str">
        <x:v>LADDER</x:v>
      </x:c>
      <x:c r="C50" s="19" t="str">
        <x:v>联合情景9内部价格梯度</x:v>
      </x:c>
      <x:c r="D50" s="19" t="n">
        <x:v>1</x:v>
      </x:c>
      <x:c r="E50" s="19" t="n">
        <x:f>IF('106_N90联合定价'!F14=0,1,IF(AND(IF('106_N90联合定价'!G14="",TRUE,'106_N90联合定价'!G14&lt;'106_N90联合定价'!I14),IF('106_N90联合定价'!H14="",TRUE,'106_N90联合定价'!H14&lt;'106_N90联合定价'!I14),IF(AND('106_N90联合定价'!G14&lt;&gt;"",'106_N90联合定价'!H14&lt;&gt;""),'106_N90联合定价'!G14&lt;'106_N90联合定价'!H14,TRUE)),1,0))</x:f>
        <x:v>1</x:v>
      </x:c>
      <x:c r="F50" s="19" t="str">
        <x:f>IF(ABS(E50-D50)&lt;0.0001,"PASS","FAIL")</x:f>
        <x:v>PASS</x:v>
      </x:c>
      <x:c r="G50" s="19" t="str">
        <x:v>ERROR</x:v>
      </x:c>
      <x:c r="H50" s="19" t="str"/>
    </x:row>
    <x:row r="51" ht="40" customHeight="1">
      <x:c r="A51" s="557" t="str">
        <x:v>CHK-33B-46</x:v>
      </x:c>
      <x:c r="B51" s="557" t="str">
        <x:v>LADDER</x:v>
      </x:c>
      <x:c r="C51" s="557" t="str">
        <x:v>联合情景10内部价格梯度</x:v>
      </x:c>
      <x:c r="D51" s="557" t="n">
        <x:v>1</x:v>
      </x:c>
      <x:c r="E51" s="557" t="n">
        <x:f>IF('106_N90联合定价'!F15=0,1,IF(AND(IF('106_N90联合定价'!G15="",TRUE,'106_N90联合定价'!G15&lt;'106_N90联合定价'!I15),IF('106_N90联合定价'!H15="",TRUE,'106_N90联合定价'!H15&lt;'106_N90联合定价'!I15),IF(AND('106_N90联合定价'!G15&lt;&gt;"",'106_N90联合定价'!H15&lt;&gt;""),'106_N90联合定价'!G15&lt;'106_N90联合定价'!H15,TRUE)),1,0))</x:f>
        <x:v>1</x:v>
      </x:c>
      <x:c r="F51" s="557" t="str">
        <x:f>IF(ABS(E51-D51)&lt;0.0001,"PASS","FAIL")</x:f>
        <x:v>PASS</x:v>
      </x:c>
      <x:c r="G51" s="557" t="str">
        <x:v>ERROR</x:v>
      </x:c>
      <x:c r="H51" s="557" t="str"/>
    </x:row>
    <x:row r="52" ht="40" customHeight="1">
      <x:c r="A52" s="19" t="str">
        <x:v>CHK-33B-47</x:v>
      </x:c>
      <x:c r="B52" s="19" t="str">
        <x:v>LADDER</x:v>
      </x:c>
      <x:c r="C52" s="19" t="str">
        <x:v>联合情景11内部价格梯度</x:v>
      </x:c>
      <x:c r="D52" s="19" t="n">
        <x:v>1</x:v>
      </x:c>
      <x:c r="E52" s="19" t="n">
        <x:f>IF('106_N90联合定价'!F16=0,1,IF(AND(IF('106_N90联合定价'!G16="",TRUE,'106_N90联合定价'!G16&lt;'106_N90联合定价'!I16),IF('106_N90联合定价'!H16="",TRUE,'106_N90联合定价'!H16&lt;'106_N90联合定价'!I16),IF(AND('106_N90联合定价'!G16&lt;&gt;"",'106_N90联合定价'!H16&lt;&gt;""),'106_N90联合定价'!G16&lt;'106_N90联合定价'!H16,TRUE)),1,0))</x:f>
        <x:v>1</x:v>
      </x:c>
      <x:c r="F52" s="19" t="str">
        <x:f>IF(ABS(E52-D52)&lt;0.0001,"PASS","FAIL")</x:f>
        <x:v>PASS</x:v>
      </x:c>
      <x:c r="G52" s="19" t="str">
        <x:v>ERROR</x:v>
      </x:c>
      <x:c r="H52" s="19" t="str"/>
    </x:row>
    <x:row r="53" ht="40" customHeight="1">
      <x:c r="A53" s="557" t="str">
        <x:v>CHK-33B-48</x:v>
      </x:c>
      <x:c r="B53" s="557" t="str">
        <x:v>LADDER</x:v>
      </x:c>
      <x:c r="C53" s="557" t="str">
        <x:v>联合情景12内部价格梯度</x:v>
      </x:c>
      <x:c r="D53" s="557" t="n">
        <x:v>1</x:v>
      </x:c>
      <x:c r="E53" s="557" t="n">
        <x:f>IF('106_N90联合定价'!F17=0,1,IF(AND(IF('106_N90联合定价'!G17="",TRUE,'106_N90联合定价'!G17&lt;'106_N90联合定价'!I17),IF('106_N90联合定价'!H17="",TRUE,'106_N90联合定价'!H17&lt;'106_N90联合定价'!I17),IF(AND('106_N90联合定价'!G17&lt;&gt;"",'106_N90联合定价'!H17&lt;&gt;""),'106_N90联合定价'!G17&lt;'106_N90联合定价'!H17,TRUE)),1,0))</x:f>
        <x:v>1</x:v>
      </x:c>
      <x:c r="F53" s="557" t="str">
        <x:f>IF(ABS(E53-D53)&lt;0.0001,"PASS","FAIL")</x:f>
        <x:v>PASS</x:v>
      </x:c>
      <x:c r="G53" s="557" t="str">
        <x:v>ERROR</x:v>
      </x:c>
      <x:c r="H53" s="557" t="str"/>
    </x:row>
    <x:row r="54" ht="40" customHeight="1">
      <x:c r="A54" s="19" t="str">
        <x:v>CHK-33B-49</x:v>
      </x:c>
      <x:c r="B54" s="19" t="str">
        <x:v>LADDER</x:v>
      </x:c>
      <x:c r="C54" s="19" t="str">
        <x:v>联合情景13内部价格梯度</x:v>
      </x:c>
      <x:c r="D54" s="19" t="n">
        <x:v>1</x:v>
      </x:c>
      <x:c r="E54" s="19" t="n">
        <x:f>IF('106_N90联合定价'!F18=0,1,IF(AND(IF('106_N90联合定价'!G18="",TRUE,'106_N90联合定价'!G18&lt;'106_N90联合定价'!I18),IF('106_N90联合定价'!H18="",TRUE,'106_N90联合定价'!H18&lt;'106_N90联合定价'!I18),IF(AND('106_N90联合定价'!G18&lt;&gt;"",'106_N90联合定价'!H18&lt;&gt;""),'106_N90联合定价'!G18&lt;'106_N90联合定价'!H18,TRUE)),1,0))</x:f>
        <x:v>1</x:v>
      </x:c>
      <x:c r="F54" s="19" t="str">
        <x:f>IF(ABS(E54-D54)&lt;0.0001,"PASS","FAIL")</x:f>
        <x:v>PASS</x:v>
      </x:c>
      <x:c r="G54" s="19" t="str">
        <x:v>ERROR</x:v>
      </x:c>
      <x:c r="H54" s="19" t="str"/>
    </x:row>
    <x:row r="55" ht="40" customHeight="1">
      <x:c r="A55" s="557" t="str">
        <x:v>CHK-33B-50</x:v>
      </x:c>
      <x:c r="B55" s="557" t="str">
        <x:v>LADDER</x:v>
      </x:c>
      <x:c r="C55" s="557" t="str">
        <x:v>联合情景14内部价格梯度</x:v>
      </x:c>
      <x:c r="D55" s="557" t="n">
        <x:v>1</x:v>
      </x:c>
      <x:c r="E55" s="557" t="n">
        <x:f>IF('106_N90联合定价'!F19=0,1,IF(AND(IF('106_N90联合定价'!G19="",TRUE,'106_N90联合定价'!G19&lt;'106_N90联合定价'!I19),IF('106_N90联合定价'!H19="",TRUE,'106_N90联合定价'!H19&lt;'106_N90联合定价'!I19),IF(AND('106_N90联合定价'!G19&lt;&gt;"",'106_N90联合定价'!H19&lt;&gt;""),'106_N90联合定价'!G19&lt;'106_N90联合定价'!H19,TRUE)),1,0))</x:f>
        <x:v>1</x:v>
      </x:c>
      <x:c r="F55" s="557" t="str">
        <x:f>IF(ABS(E55-D55)&lt;0.0001,"PASS","FAIL")</x:f>
        <x:v>PASS</x:v>
      </x:c>
      <x:c r="G55" s="557" t="str">
        <x:v>ERROR</x:v>
      </x:c>
      <x:c r="H55" s="557" t="str"/>
    </x:row>
    <x:row r="56" ht="40" customHeight="1">
      <x:c r="A56" s="19" t="str">
        <x:v>CHK-33B-51</x:v>
      </x:c>
      <x:c r="B56" s="19" t="str">
        <x:v>LADDER</x:v>
      </x:c>
      <x:c r="C56" s="19" t="str">
        <x:v>联合情景15内部价格梯度</x:v>
      </x:c>
      <x:c r="D56" s="19" t="n">
        <x:v>1</x:v>
      </x:c>
      <x:c r="E56" s="19" t="n">
        <x:f>IF('106_N90联合定价'!F20=0,1,IF(AND(IF('106_N90联合定价'!G20="",TRUE,'106_N90联合定价'!G20&lt;'106_N90联合定价'!I20),IF('106_N90联合定价'!H20="",TRUE,'106_N90联合定价'!H20&lt;'106_N90联合定价'!I20),IF(AND('106_N90联合定价'!G20&lt;&gt;"",'106_N90联合定价'!H20&lt;&gt;""),'106_N90联合定价'!G20&lt;'106_N90联合定价'!H20,TRUE)),1,0))</x:f>
        <x:v>1</x:v>
      </x:c>
      <x:c r="F56" s="19" t="str">
        <x:f>IF(ABS(E56-D56)&lt;0.0001,"PASS","FAIL")</x:f>
        <x:v>PASS</x:v>
      </x:c>
      <x:c r="G56" s="19" t="str">
        <x:v>ERROR</x:v>
      </x:c>
      <x:c r="H56" s="19" t="str"/>
    </x:row>
    <x:row r="57" ht="40" customHeight="1">
      <x:c r="A57" s="557" t="str">
        <x:v>CHK-33B-52</x:v>
      </x:c>
      <x:c r="B57" s="557" t="str">
        <x:v>LADDER</x:v>
      </x:c>
      <x:c r="C57" s="557" t="str">
        <x:v>联合情景16内部价格梯度</x:v>
      </x:c>
      <x:c r="D57" s="557" t="n">
        <x:v>1</x:v>
      </x:c>
      <x:c r="E57" s="557" t="n">
        <x:f>IF('106_N90联合定价'!F21=0,1,IF(AND(IF('106_N90联合定价'!G21="",TRUE,'106_N90联合定价'!G21&lt;'106_N90联合定价'!I21),IF('106_N90联合定价'!H21="",TRUE,'106_N90联合定价'!H21&lt;'106_N90联合定价'!I21),IF(AND('106_N90联合定价'!G21&lt;&gt;"",'106_N90联合定价'!H21&lt;&gt;""),'106_N90联合定价'!G21&lt;'106_N90联合定价'!H21,TRUE)),1,0))</x:f>
        <x:v>1</x:v>
      </x:c>
      <x:c r="F57" s="557" t="str">
        <x:f>IF(ABS(E57-D57)&lt;0.0001,"PASS","FAIL")</x:f>
        <x:v>PASS</x:v>
      </x:c>
      <x:c r="G57" s="557" t="str">
        <x:v>ERROR</x:v>
      </x:c>
      <x:c r="H57" s="557" t="str"/>
    </x:row>
    <x:row r="58" ht="40" customHeight="1">
      <x:c r="A58" s="19" t="str">
        <x:v>CHK-33B-53</x:v>
      </x:c>
      <x:c r="B58" s="19" t="str">
        <x:v>LADDER</x:v>
      </x:c>
      <x:c r="C58" s="19" t="str">
        <x:v>联合情景17内部价格梯度</x:v>
      </x:c>
      <x:c r="D58" s="19" t="n">
        <x:v>1</x:v>
      </x:c>
      <x:c r="E58" s="19" t="n">
        <x:f>IF('106_N90联合定价'!F22=0,1,IF(AND(IF('106_N90联合定价'!G22="",TRUE,'106_N90联合定价'!G22&lt;'106_N90联合定价'!I22),IF('106_N90联合定价'!H22="",TRUE,'106_N90联合定价'!H22&lt;'106_N90联合定价'!I22),IF(AND('106_N90联合定价'!G22&lt;&gt;"",'106_N90联合定价'!H22&lt;&gt;""),'106_N90联合定价'!G22&lt;'106_N90联合定价'!H22,TRUE)),1,0))</x:f>
        <x:v>1</x:v>
      </x:c>
      <x:c r="F58" s="19" t="str">
        <x:f>IF(ABS(E58-D58)&lt;0.0001,"PASS","FAIL")</x:f>
        <x:v>PASS</x:v>
      </x:c>
      <x:c r="G58" s="19" t="str">
        <x:v>ERROR</x:v>
      </x:c>
      <x:c r="H58" s="19" t="str"/>
    </x:row>
    <x:row r="59" ht="40" customHeight="1">
      <x:c r="A59" s="557" t="str">
        <x:v>CHK-33B-54</x:v>
      </x:c>
      <x:c r="B59" s="557" t="str">
        <x:v>LADDER</x:v>
      </x:c>
      <x:c r="C59" s="557" t="str">
        <x:v>联合情景18内部价格梯度</x:v>
      </x:c>
      <x:c r="D59" s="557" t="n">
        <x:v>1</x:v>
      </x:c>
      <x:c r="E59" s="557" t="n">
        <x:f>IF('106_N90联合定价'!F23=0,1,IF(AND(IF('106_N90联合定价'!G23="",TRUE,'106_N90联合定价'!G23&lt;'106_N90联合定价'!I23),IF('106_N90联合定价'!H23="",TRUE,'106_N90联合定价'!H23&lt;'106_N90联合定价'!I23),IF(AND('106_N90联合定价'!G23&lt;&gt;"",'106_N90联合定价'!H23&lt;&gt;""),'106_N90联合定价'!G23&lt;'106_N90联合定价'!H23,TRUE)),1,0))</x:f>
        <x:v>1</x:v>
      </x:c>
      <x:c r="F59" s="557" t="str">
        <x:f>IF(ABS(E59-D59)&lt;0.0001,"PASS","FAIL")</x:f>
        <x:v>PASS</x:v>
      </x:c>
      <x:c r="G59" s="557" t="str">
        <x:v>ERROR</x:v>
      </x:c>
      <x:c r="H59" s="557" t="str"/>
    </x:row>
    <x:row r="60" ht="40" customHeight="1">
      <x:c r="A60" s="19" t="str">
        <x:v>CHK-33B-55</x:v>
      </x:c>
      <x:c r="B60" s="19" t="str">
        <x:v>LADDER</x:v>
      </x:c>
      <x:c r="C60" s="19" t="str">
        <x:v>联合情景19内部价格梯度</x:v>
      </x:c>
      <x:c r="D60" s="19" t="n">
        <x:v>1</x:v>
      </x:c>
      <x:c r="E60" s="19" t="n">
        <x:f>IF('106_N90联合定价'!F24=0,1,IF(AND(IF('106_N90联合定价'!G24="",TRUE,'106_N90联合定价'!G24&lt;'106_N90联合定价'!I24),IF('106_N90联合定价'!H24="",TRUE,'106_N90联合定价'!H24&lt;'106_N90联合定价'!I24),IF(AND('106_N90联合定价'!G24&lt;&gt;"",'106_N90联合定价'!H24&lt;&gt;""),'106_N90联合定价'!G24&lt;'106_N90联合定价'!H24,TRUE)),1,0))</x:f>
        <x:v>1</x:v>
      </x:c>
      <x:c r="F60" s="19" t="str">
        <x:f>IF(ABS(E60-D60)&lt;0.0001,"PASS","FAIL")</x:f>
        <x:v>PASS</x:v>
      </x:c>
      <x:c r="G60" s="19" t="str">
        <x:v>ERROR</x:v>
      </x:c>
      <x:c r="H60" s="19" t="str"/>
    </x:row>
    <x:row r="61" ht="40" customHeight="1">
      <x:c r="A61" s="557" t="str">
        <x:v>CHK-33B-56</x:v>
      </x:c>
      <x:c r="B61" s="557" t="str">
        <x:v>LADDER</x:v>
      </x:c>
      <x:c r="C61" s="557" t="str">
        <x:v>联合情景20内部价格梯度</x:v>
      </x:c>
      <x:c r="D61" s="557" t="n">
        <x:v>1</x:v>
      </x:c>
      <x:c r="E61" s="557" t="n">
        <x:f>IF('106_N90联合定价'!F25=0,1,IF(AND(IF('106_N90联合定价'!G25="",TRUE,'106_N90联合定价'!G25&lt;'106_N90联合定价'!I25),IF('106_N90联合定价'!H25="",TRUE,'106_N90联合定价'!H25&lt;'106_N90联合定价'!I25),IF(AND('106_N90联合定价'!G25&lt;&gt;"",'106_N90联合定价'!H25&lt;&gt;""),'106_N90联合定价'!G25&lt;'106_N90联合定价'!H25,TRUE)),1,0))</x:f>
        <x:v>1</x:v>
      </x:c>
      <x:c r="F61" s="557" t="str">
        <x:f>IF(ABS(E61-D61)&lt;0.0001,"PASS","FAIL")</x:f>
        <x:v>PASS</x:v>
      </x:c>
      <x:c r="G61" s="557" t="str">
        <x:v>ERROR</x:v>
      </x:c>
      <x:c r="H61" s="557" t="str"/>
    </x:row>
    <x:row r="62" ht="40" customHeight="1">
      <x:c r="A62" s="19" t="str">
        <x:v>CHK-33B-57</x:v>
      </x:c>
      <x:c r="B62" s="19" t="str">
        <x:v>LADDER</x:v>
      </x:c>
      <x:c r="C62" s="19" t="str">
        <x:v>联合情景21内部价格梯度</x:v>
      </x:c>
      <x:c r="D62" s="19" t="n">
        <x:v>1</x:v>
      </x:c>
      <x:c r="E62" s="19" t="n">
        <x:f>IF('106_N90联合定价'!F26=0,1,IF(AND(IF('106_N90联合定价'!G26="",TRUE,'106_N90联合定价'!G26&lt;'106_N90联合定价'!I26),IF('106_N90联合定价'!H26="",TRUE,'106_N90联合定价'!H26&lt;'106_N90联合定价'!I26),IF(AND('106_N90联合定价'!G26&lt;&gt;"",'106_N90联合定价'!H26&lt;&gt;""),'106_N90联合定价'!G26&lt;'106_N90联合定价'!H26,TRUE)),1,0))</x:f>
        <x:v>1</x:v>
      </x:c>
      <x:c r="F62" s="19" t="str">
        <x:f>IF(ABS(E62-D62)&lt;0.0001,"PASS","FAIL")</x:f>
        <x:v>PASS</x:v>
      </x:c>
      <x:c r="G62" s="19" t="str">
        <x:v>ERROR</x:v>
      </x:c>
      <x:c r="H62" s="19" t="str"/>
    </x:row>
    <x:row r="63" ht="40" customHeight="1">
      <x:c r="A63" s="557" t="str">
        <x:v>CHK-33B-58</x:v>
      </x:c>
      <x:c r="B63" s="557" t="str">
        <x:v>LADDER</x:v>
      </x:c>
      <x:c r="C63" s="557" t="str">
        <x:v>联合情景22内部价格梯度</x:v>
      </x:c>
      <x:c r="D63" s="557" t="n">
        <x:v>1</x:v>
      </x:c>
      <x:c r="E63" s="557" t="n">
        <x:f>IF('106_N90联合定价'!F27=0,1,IF(AND(IF('106_N90联合定价'!G27="",TRUE,'106_N90联合定价'!G27&lt;'106_N90联合定价'!I27),IF('106_N90联合定价'!H27="",TRUE,'106_N90联合定价'!H27&lt;'106_N90联合定价'!I27),IF(AND('106_N90联合定价'!G27&lt;&gt;"",'106_N90联合定价'!H27&lt;&gt;""),'106_N90联合定价'!G27&lt;'106_N90联合定价'!H27,TRUE)),1,0))</x:f>
        <x:v>1</x:v>
      </x:c>
      <x:c r="F63" s="557" t="str">
        <x:f>IF(ABS(E63-D63)&lt;0.0001,"PASS","FAIL")</x:f>
        <x:v>PASS</x:v>
      </x:c>
      <x:c r="G63" s="557" t="str">
        <x:v>ERROR</x:v>
      </x:c>
      <x:c r="H63" s="557" t="str"/>
    </x:row>
    <x:row r="64" ht="40" customHeight="1">
      <x:c r="A64" s="19" t="str">
        <x:v>CHK-33B-59</x:v>
      </x:c>
      <x:c r="B64" s="19" t="str">
        <x:v>LADDER</x:v>
      </x:c>
      <x:c r="C64" s="19" t="str">
        <x:v>联合情景23内部价格梯度</x:v>
      </x:c>
      <x:c r="D64" s="19" t="n">
        <x:v>1</x:v>
      </x:c>
      <x:c r="E64" s="19" t="n">
        <x:f>IF('106_N90联合定价'!F28=0,1,IF(AND(IF('106_N90联合定价'!G28="",TRUE,'106_N90联合定价'!G28&lt;'106_N90联合定价'!I28),IF('106_N90联合定价'!H28="",TRUE,'106_N90联合定价'!H28&lt;'106_N90联合定价'!I28),IF(AND('106_N90联合定价'!G28&lt;&gt;"",'106_N90联合定价'!H28&lt;&gt;""),'106_N90联合定价'!G28&lt;'106_N90联合定价'!H28,TRUE)),1,0))</x:f>
        <x:v>1</x:v>
      </x:c>
      <x:c r="F64" s="19" t="str">
        <x:f>IF(ABS(E64-D64)&lt;0.0001,"PASS","FAIL")</x:f>
        <x:v>PASS</x:v>
      </x:c>
      <x:c r="G64" s="19" t="str">
        <x:v>ERROR</x:v>
      </x:c>
      <x:c r="H64" s="19" t="str"/>
    </x:row>
    <x:row r="65" ht="40" customHeight="1">
      <x:c r="A65" s="557" t="str">
        <x:v>CHK-33B-60</x:v>
      </x:c>
      <x:c r="B65" s="557" t="str">
        <x:v>LADDER</x:v>
      </x:c>
      <x:c r="C65" s="557" t="str">
        <x:v>联合情景24内部价格梯度</x:v>
      </x:c>
      <x:c r="D65" s="557" t="n">
        <x:v>1</x:v>
      </x:c>
      <x:c r="E65" s="557" t="n">
        <x:f>IF('106_N90联合定价'!F29=0,1,IF(AND(IF('106_N90联合定价'!G29="",TRUE,'106_N90联合定价'!G29&lt;'106_N90联合定价'!I29),IF('106_N90联合定价'!H29="",TRUE,'106_N90联合定价'!H29&lt;'106_N90联合定价'!I29),IF(AND('106_N90联合定价'!G29&lt;&gt;"",'106_N90联合定价'!H29&lt;&gt;""),'106_N90联合定价'!G29&lt;'106_N90联合定价'!H29,TRUE)),1,0))</x:f>
        <x:v>1</x:v>
      </x:c>
      <x:c r="F65" s="557" t="str">
        <x:f>IF(ABS(E65-D65)&lt;0.0001,"PASS","FAIL")</x:f>
        <x:v>PASS</x:v>
      </x:c>
      <x:c r="G65" s="557" t="str">
        <x:v>ERROR</x:v>
      </x:c>
      <x:c r="H65" s="557" t="str"/>
    </x:row>
    <x:row r="66" ht="40" customHeight="1">
      <x:c r="A66" s="19" t="str">
        <x:v>CHK-33B-61</x:v>
      </x:c>
      <x:c r="B66" s="19" t="str">
        <x:v>GATE</x:v>
      </x:c>
      <x:c r="C66" s="19" t="str">
        <x:v>正式官方价格数量</x:v>
      </x:c>
      <x:c r="D66" s="19" t="n">
        <x:v>0</x:v>
      </x:c>
      <x:c r="E66" s="19" t="n">
        <x:f>0</x:f>
        <x:v>0</x:v>
      </x:c>
      <x:c r="F66" s="19" t="str">
        <x:f>IF(ABS(E66-D66)&lt;0.0001,"PASS","FAIL")</x:f>
        <x:v>PASS</x:v>
      </x:c>
      <x:c r="G66" s="19" t="str">
        <x:v>ERROR</x:v>
      </x:c>
      <x:c r="H66" s="19" t="str"/>
    </x:row>
    <x:row r="69" ht="44" customHeight="1">
      <x:c r="A69" s="19" t="str">
        <x:v>校验项总数</x:v>
      </x:c>
      <x:c r="B69" s="19" t="n">
        <x:v>61</x:v>
      </x:c>
      <x:c r="C69" s="19" t="str"/>
      <x:c r="D69" s="19" t="str"/>
      <x:c r="E69" s="19" t="str"/>
      <x:c r="F69" s="19" t="str"/>
      <x:c r="G69" s="19" t="str"/>
      <x:c r="H69" s="19" t="str"/>
    </x:row>
    <x:row r="70" ht="44" customHeight="1">
      <x:c r="A70" s="557" t="str">
        <x:v>FAIL数量</x:v>
      </x:c>
      <x:c r="B70" s="557" t="n">
        <x:f>COUNTIF(F6:F66,"FAIL")</x:f>
        <x:v>0</x:v>
      </x:c>
      <x:c r="C70" s="557" t="str"/>
      <x:c r="D70" s="557" t="str"/>
      <x:c r="E70" s="557" t="str"/>
      <x:c r="F70" s="557" t="str"/>
      <x:c r="G70" s="557" t="str"/>
      <x:c r="H70" s="557" t="str"/>
    </x:row>
    <x:row r="71" ht="44" customHeight="1">
      <x:c r="A71" s="19" t="str">
        <x:v>公式错误（导出后扫描）</x:v>
      </x:c>
      <x:c r="B71" s="19" t="n">
        <x:v>0</x:v>
      </x:c>
      <x:c r="C71" s="19" t="str"/>
      <x:c r="D71" s="19" t="str"/>
      <x:c r="E71" s="19" t="str"/>
      <x:c r="F71" s="19" t="str"/>
      <x:c r="G71" s="19" t="str"/>
      <x:c r="H71" s="19" t="str"/>
    </x:row>
    <x:row r="72" ht="44" customHeight="1">
      <x:c r="A72" s="557" t="str">
        <x:v>Standard/Pro误标官方</x:v>
      </x:c>
      <x:c r="B72" s="557" t="n">
        <x:v>0</x:v>
      </x:c>
      <x:c r="C72" s="557" t="str"/>
      <x:c r="D72" s="557" t="str"/>
      <x:c r="E72" s="557" t="str"/>
      <x:c r="F72" s="557" t="str"/>
      <x:c r="G72" s="557" t="str"/>
      <x:c r="H72" s="557" t="str"/>
    </x:row>
    <x:row r="73" ht="44" customHeight="1">
      <x:c r="A73" s="19" t="str">
        <x:v>正式官方价格数量</x:v>
      </x:c>
      <x:c r="B73" s="19" t="n">
        <x:v>0</x:v>
      </x:c>
      <x:c r="C73" s="19" t="str"/>
      <x:c r="D73" s="19" t="str"/>
      <x:c r="E73" s="19" t="str"/>
      <x:c r="F73" s="19" t="str"/>
      <x:c r="G73" s="19" t="str"/>
      <x:c r="H73" s="19" t="str"/>
    </x:row>
    <x:row r="74" ht="44" customHeight="1">
      <x:c r="A74" s="557" t="str">
        <x:v>阶段状态</x:v>
      </x:c>
      <x:c r="B74" s="557" t="str">
        <x:f>IF(AND(B70=0,B71=0,B72=0,B73=0),"READY_PHASE_3.3B","REVIEW_REQUIRED")</x:f>
        <x:v>READY_PHASE_3.3B</x:v>
      </x:c>
      <x:c r="C74" s="557" t="str"/>
      <x:c r="D74" s="557" t="str"/>
      <x:c r="E74" s="557" t="str"/>
      <x:c r="F74" s="557" t="str"/>
      <x:c r="G74" s="557" t="str"/>
      <x:c r="H74" s="557" t="str"/>
    </x:row>
  </x:sheetData>
  <x:mergeCells>
    <x:mergeCell ref="A1:H1"/>
    <x:mergeCell ref="A2:H2"/>
    <x:mergeCell ref="A3:H3"/>
  </x:mergeCells>
  <x:conditionalFormatting sqref="F6:G66">
    <x:cfRule type="containsText" dxfId="2830" priority="1" operator="containsText" text="PASS"/>
    <x:cfRule type="containsText" dxfId="2831" priority="2" operator="containsText" text="READY"/>
    <x:cfRule type="containsText" dxfId="2832" priority="3" operator="containsText" text="CONFIRMED"/>
    <x:cfRule type="containsText" dxfId="2833" priority="4" operator="containsText" text="OFFICIAL"/>
    <x:cfRule type="containsText" dxfId="2834" priority="5" operator="containsText" text="MODE"/>
    <x:cfRule type="containsText" dxfId="2835" priority="6" operator="containsText" text="YES"/>
    <x:cfRule type="containsText" dxfId="2836" priority="7" operator="containsText" text="PREDICTED"/>
    <x:cfRule type="containsText" dxfId="2837" priority="8" operator="containsText" text="CONDITIONAL"/>
    <x:cfRule type="containsText" dxfId="2838" priority="9" operator="containsText" text="WATCHLIST"/>
    <x:cfRule type="containsText" dxfId="2839" priority="10" operator="containsText" text="MEDIUM"/>
    <x:cfRule type="containsText" dxfId="2840" priority="11" operator="containsText" text="LOW"/>
    <x:cfRule type="containsText" dxfId="2841" priority="12" operator="containsText" text="SEPARATE"/>
    <x:cfRule type="containsText" dxfId="2842" priority="13" operator="containsText" text="EXCLUDED"/>
    <x:cfRule type="containsText" dxfId="2843" priority="14" operator="containsText" text="NO"/>
    <x:cfRule type="containsText" dxfId="2844" priority="15" operator="containsText" text="BLOCKED"/>
    <x:cfRule type="containsText" dxfId="2845" priority="16" operator="containsText" text="FAIL"/>
    <x:cfRule type="containsText" dxfId="2846" priority="17" operator="containsText" text="SUPERSEDED"/>
  </x:conditionalFormatting>
  <x:conditionalFormatting sqref="B69:B74">
    <x:cfRule type="containsText" dxfId="2847" priority="18" operator="containsText" text="PASS"/>
    <x:cfRule type="containsText" dxfId="2848" priority="19" operator="containsText" text="READY"/>
    <x:cfRule type="containsText" dxfId="2849" priority="20" operator="containsText" text="CONFIRMED"/>
    <x:cfRule type="containsText" dxfId="2850" priority="21" operator="containsText" text="OFFICIAL"/>
    <x:cfRule type="containsText" dxfId="2851" priority="22" operator="containsText" text="MODE"/>
    <x:cfRule type="containsText" dxfId="2852" priority="23" operator="containsText" text="YES"/>
    <x:cfRule type="containsText" dxfId="2853" priority="24" operator="containsText" text="PREDICTED"/>
    <x:cfRule type="containsText" dxfId="2854" priority="25" operator="containsText" text="CONDITIONAL"/>
    <x:cfRule type="containsText" dxfId="2855" priority="26" operator="containsText" text="WATCHLIST"/>
    <x:cfRule type="containsText" dxfId="2856" priority="27" operator="containsText" text="MEDIUM"/>
    <x:cfRule type="containsText" dxfId="2857" priority="28" operator="containsText" text="LOW"/>
    <x:cfRule type="containsText" dxfId="2858" priority="29" operator="containsText" text="SEPARATE"/>
    <x:cfRule type="containsText" dxfId="2859" priority="30" operator="containsText" text="EXCLUDED"/>
    <x:cfRule type="containsText" dxfId="2860" priority="31" operator="containsText" text="NO"/>
    <x:cfRule type="containsText" dxfId="2861" priority="32" operator="containsText" text="BLOCKED"/>
    <x:cfRule type="containsText" dxfId="2862" priority="33" operator="containsText" text="FAIL"/>
    <x:cfRule type="containsText" dxfId="2863" priority="34" operator="containsText" text="SUPERSEDED"/>
  </x:conditionalFormatting>
  <x:pageMargins left="0.7" right="0.7" top="0.75" bottom="0.75" header="0.3" footer="0.3"/>
</x:worksheet>
</file>

<file path=xl/worksheets/sheet11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8" hidden="0" customWidth="1"/>
    <x:col min="3" max="3" width="29" hidden="0" customWidth="1"/>
    <x:col min="4" max="4" width="33" hidden="0" customWidth="1"/>
    <x:col min="5" max="5" width="20" hidden="0" customWidth="1"/>
    <x:col min="6" max="6" width="18" hidden="0" customWidth="1"/>
    <x:col min="7" max="7" width="18" hidden="0" customWidth="1"/>
    <x:col min="8" max="8" width="19" hidden="0" customWidth="1"/>
    <x:col min="9" max="9" width="27" hidden="0" customWidth="1"/>
    <x:col min="10" max="10" width="31" hidden="0" customWidth="1"/>
    <x:col min="11" max="11" width="27" hidden="0" customWidth="1"/>
    <x:col min="12" max="12" width="39" hidden="0" customWidth="1"/>
    <x:col min="13" max="13" width="27" hidden="0" customWidth="1"/>
    <x:col min="14" max="14" width="18" hidden="0" customWidth="1"/>
  </x:cols>
  <x:sheetData>
    <x:row r="1" ht="30" customHeight="1">
      <x:c r="A1" s="571" t="str">
        <x:v>111｜Phase 3.3C：全供应链降本与成本底座校准</x:v>
      </x:c>
      <x:c r="B1" s="571"/>
      <x:c r="C1" s="571"/>
      <x:c r="D1" s="571"/>
      <x:c r="E1" s="571"/>
      <x:c r="F1" s="571"/>
      <x:c r="G1" s="571"/>
      <x:c r="H1" s="571"/>
      <x:c r="I1" s="571"/>
      <x:c r="J1" s="571"/>
      <x:c r="K1" s="571"/>
      <x:c r="L1" s="571"/>
      <x:c r="M1" s="571"/>
      <x:c r="N1" s="571"/>
    </x:row>
    <x:row r="2" ht="22" customHeight="1">
      <x:c r="A2" s="574" t="str">
        <x:v>先证据分层，再计算供应链净降本；配置删减、供应商变化、行业年降和价格传导严格分开</x:v>
      </x:c>
      <x:c r="B2" s="574"/>
      <x:c r="C2" s="574"/>
      <x:c r="D2" s="574"/>
      <x:c r="E2" s="574"/>
      <x:c r="F2" s="574"/>
      <x:c r="G2" s="574"/>
      <x:c r="H2" s="574"/>
      <x:c r="I2" s="574"/>
      <x:c r="J2" s="574"/>
      <x:c r="K2" s="574"/>
      <x:c r="L2" s="574"/>
      <x:c r="M2" s="574"/>
      <x:c r="N2" s="574"/>
    </x:row>
    <x:row r="3" ht="94" customHeight="1">
      <x:c r="A3" s="578" t="str">
        <x:v>结论先行：能够绑定到澎程具体车型的供应商主要是电池、增程器与部分博世制动。电驱、空悬、热管理、座椅、座舱和车身尚无同等级定点证据，但公开财务与行业资料支持“同功能、同规格可比核心BOM”存在年降、国产化和规模复用空间。因此中心情景纳入温和降本，供应商身份仍标为未知；不能把整车BOM统一乘一个便宜供应商折扣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  <x:c r="N3" s="578"/>
    </x:row>
    <x:row r="5" ht="58" customHeight="1">
      <x:c r="A5" s="583" t="str">
        <x:v>rule_id</x:v>
      </x:c>
      <x:c r="B5" s="583" t="str">
        <x:v>问题</x:v>
      </x:c>
      <x:c r="C5" s="583" t="str">
        <x:v>旧风险</x:v>
      </x:c>
      <x:c r="D5" s="583" t="str">
        <x:v>3.3C处理</x:v>
      </x:c>
      <x:c r="E5" s="583" t="str">
        <x:v>可量化</x:v>
      </x:c>
      <x:c r="F5" s="583" t="str">
        <x:v>中心处理</x:v>
      </x:c>
      <x:c r="G5" s="583" t="str">
        <x:v>强情景</x:v>
      </x:c>
      <x:c r="H5" s="583" t="str">
        <x:v>证据等级</x:v>
      </x:c>
      <x:c r="I5" s="583" t="str">
        <x:v>计入对象</x:v>
      </x:c>
      <x:c r="J5" s="583" t="str">
        <x:v>不计入对象</x:v>
      </x:c>
      <x:c r="K5" s="583" t="str">
        <x:v>价格含义</x:v>
      </x:c>
      <x:c r="L5" s="583" t="str">
        <x:v>边界</x:v>
      </x:c>
      <x:c r="M5" s="583" t="str">
        <x:v>更新触发</x:v>
      </x:c>
      <x:c r="N5" s="583" t="str">
        <x:v>回链</x:v>
      </x:c>
    </x:row>
    <x:row r="6" ht="66" customHeight="1">
      <x:c r="A6" s="19" t="str">
        <x:v>R-33C-01</x:v>
      </x:c>
      <x:c r="B6" s="19" t="str">
        <x:v>供应商是否整体更便宜</x:v>
      </x:c>
      <x:c r="C6" s="19" t="str">
        <x:v>容易把定位低等同于全车便宜</x:v>
      </x:c>
      <x:c r="D6" s="19" t="str">
        <x:v>逐模块判断，不设整车统一折扣</x:v>
      </x:c>
      <x:c r="E6" s="19" t="str">
        <x:v>YES</x:v>
      </x:c>
      <x:c r="F6" s="19" t="str">
        <x:v>六个非电池模块分别设系数</x:v>
      </x:c>
      <x:c r="G6" s="19" t="str">
        <x:v>仅作敏感性</x:v>
      </x:c>
      <x:c r="H6" s="19" t="str">
        <x:v>MEDIUM</x:v>
      </x:c>
      <x:c r="I6" s="19" t="str">
        <x:v>可比核心BOM</x:v>
      </x:c>
      <x:c r="J6" s="19" t="str">
        <x:v>配置差额/新增增程系统</x:v>
      </x:c>
      <x:c r="K6" s="19" t="str">
        <x:v>支持更低价格尾部</x:v>
      </x:c>
      <x:c r="L6" s="19" t="str">
        <x:v>供应商未知不等于成本不降</x:v>
      </x:c>
      <x:c r="M6" s="19" t="str">
        <x:v>定点/拆车/报价</x:v>
      </x:c>
      <x:c r="N6" s="19" t="str">
        <x:v>112—116</x:v>
      </x:c>
    </x:row>
    <x:row r="7" ht="66" customHeight="1">
      <x:c r="A7" s="584" t="str">
        <x:v>R-33C-02</x:v>
      </x:c>
      <x:c r="B7" s="584" t="str">
        <x:v>电池供应商与规格</x:v>
      </x:c>
      <x:c r="C7" s="584" t="str">
        <x:v>化学体系、倍率、供应商可能重复相加</x:v>
      </x:c>
      <x:c r="D7" s="584" t="str">
        <x:v>统一压缩为净元/kWh走廊</x:v>
      </x:c>
      <x:c r="E7" s="584" t="str">
        <x:v>YES</x:v>
      </x:c>
      <x:c r="F7" s="584" t="str">
        <x:v>LFP 520；NCM 700元/kWh</x:v>
      </x:c>
      <x:c r="G7" s="584" t="str">
        <x:v>LFP 480；NCM 640元/kWh</x:v>
      </x:c>
      <x:c r="H7" s="584" t="str">
        <x:v>MEDIUM_HIGH</x:v>
      </x:c>
      <x:c r="I7" s="584" t="str">
        <x:v>整包单位成本</x:v>
      </x:c>
      <x:c r="J7" s="584" t="str">
        <x:v>另加“中航便宜”</x:v>
      </x:c>
      <x:c r="K7" s="584" t="str">
        <x:v>最大单项降本来源</x:v>
      </x:c>
      <x:c r="L7" s="584" t="str">
        <x:v>不是小米真实采购价</x:v>
      </x:c>
      <x:c r="M7" s="584" t="str">
        <x:v>装车/充电参数/采购披露</x:v>
      </x:c>
      <x:c r="N7" s="584" t="str">
        <x:v>112/114—116</x:v>
      </x:c>
    </x:row>
    <x:row r="8" ht="66" customHeight="1">
      <x:c r="A8" s="19" t="str">
        <x:v>R-33C-03</x:v>
      </x:c>
      <x:c r="B8" s="19" t="str">
        <x:v>增程器东安动力</x:v>
      </x:c>
      <x:c r="C8" s="19" t="str">
        <x:v>看到新供应商就自动记降本</x:v>
      </x:c>
      <x:c r="D8" s="19" t="str">
        <x:v>确认供应体系，但折扣为0</x:v>
      </x:c>
      <x:c r="E8" s="19" t="str">
        <x:v>NO</x:v>
      </x:c>
      <x:c r="F8" s="19" t="str">
        <x:v>EXCLUDED</x:v>
      </x:c>
      <x:c r="G8" s="19" t="str">
        <x:v>EXCLUDED</x:v>
      </x:c>
      <x:c r="H8" s="19" t="str">
        <x:v>MEDIUM_HIGH</x:v>
      </x:c>
      <x:c r="I8" s="19" t="str">
        <x:v>供应映射</x:v>
      </x:c>
      <x:c r="J8" s="19" t="str">
        <x:v>供应链降本</x:v>
      </x:c>
      <x:c r="K8" s="19" t="str">
        <x:v>避免把新增系统写成节省</x:v>
      </x:c>
      <x:c r="L8" s="19" t="str">
        <x:v>EREV相对BEV为新增成本</x:v>
      </x:c>
      <x:c r="M8" s="19" t="str">
        <x:v>报价/财报单车价值</x:v>
      </x:c>
      <x:c r="N8" s="19" t="str">
        <x:v>112/115</x:v>
      </x:c>
    </x:row>
    <x:row r="9" ht="66" customHeight="1">
      <x:c r="A9" s="584" t="str">
        <x:v>R-33C-04</x:v>
      </x:c>
      <x:c r="B9" s="584" t="str">
        <x:v>博世制动</x:v>
      </x:c>
      <x:c r="C9" s="584" t="str">
        <x:v>成熟供应商被误读为便宜</x:v>
      </x:c>
      <x:c r="D9" s="584" t="str">
        <x:v>规格确认、供应折扣为0</x:v>
      </x:c>
      <x:c r="E9" s="584" t="str">
        <x:v>NO</x:v>
      </x:c>
      <x:c r="F9" s="584" t="str">
        <x:v>EXCLUDED</x:v>
      </x:c>
      <x:c r="G9" s="584" t="str">
        <x:v>EXCLUDED</x:v>
      </x:c>
      <x:c r="H9" s="584" t="str">
        <x:v>HIGH_N90</x:v>
      </x:c>
      <x:c r="I9" s="584" t="str">
        <x:v>制动配置事实</x:v>
      </x:c>
      <x:c r="J9" s="584" t="str">
        <x:v>额外供应商折扣</x:v>
      </x:c>
      <x:c r="K9" s="584" t="str">
        <x:v>不支持额外降价</x:v>
      </x:c>
      <x:c r="L9" s="584" t="str">
        <x:v>硬件差异另走配置桥</x:v>
      </x:c>
      <x:c r="M9" s="584" t="str">
        <x:v>完整配置表/定点</x:v>
      </x:c>
      <x:c r="N9" s="584" t="str">
        <x:v>112/115</x:v>
      </x:c>
    </x:row>
    <x:row r="10" ht="66" customHeight="1">
      <x:c r="A10" s="19" t="str">
        <x:v>R-33C-05</x:v>
      </x:c>
      <x:c r="B10" s="19" t="str">
        <x:v>电驱/功率电子</x:v>
      </x:c>
      <x:c r="C10" s="19" t="str">
        <x:v>供应商未披露即归零</x:v>
      </x:c>
      <x:c r="D10" s="19" t="str">
        <x:v>用公司级成本下降锚设3%/8%/15%</x:v>
      </x:c>
      <x:c r="E10" s="19" t="str">
        <x:v>YES_SENSITIVITY</x:v>
      </x:c>
      <x:c r="F10" s="19" t="str">
        <x:v>8%</x:v>
      </x:c>
      <x:c r="G10" s="19" t="str">
        <x:v>15%</x:v>
      </x:c>
      <x:c r="H10" s="19" t="str">
        <x:v>MEDIUM</x:v>
      </x:c>
      <x:c r="I10" s="19" t="str">
        <x:v>同规格核心总成</x:v>
      </x:c>
      <x:c r="J10" s="19" t="str">
        <x:v>电机数/功率/器件差额</x:v>
      </x:c>
      <x:c r="K10" s="19" t="str">
        <x:v>中心可贡献数百元</x:v>
      </x:c>
      <x:c r="L10" s="19" t="str">
        <x:v>不能写成某家供货</x:v>
      </x:c>
      <x:c r="M10" s="19" t="str">
        <x:v>电机铭牌/定点</x:v>
      </x:c>
      <x:c r="N10" s="19" t="str">
        <x:v>113/114/116</x:v>
      </x:c>
    </x:row>
    <x:row r="11" ht="66" customHeight="1">
      <x:c r="A11" s="584" t="str">
        <x:v>R-33C-06</x:v>
      </x:c>
      <x:c r="B11" s="584" t="str">
        <x:v>底盘/悬架/制动</x:v>
      </x:c>
      <x:c r="C11" s="584" t="str">
        <x:v>把空悬国产化25%重复用于已国产平台</x:v>
      </x:c>
      <x:c r="D11" s="584" t="str">
        <x:v>只给2%/5%/9%同硬件年降</x:v>
      </x:c>
      <x:c r="E11" s="584" t="str">
        <x:v>YES_SENSITIVITY</x:v>
      </x:c>
      <x:c r="F11" s="584" t="str">
        <x:v>5%</x:v>
      </x:c>
      <x:c r="G11" s="584" t="str">
        <x:v>9%</x:v>
      </x:c>
      <x:c r="H11" s="584" t="str">
        <x:v>MEDIUM_LOW</x:v>
      </x:c>
      <x:c r="I11" s="584" t="str">
        <x:v>共有底盘可比池</x:v>
      </x:c>
      <x:c r="J11" s="584" t="str">
        <x:v>空悬/CDC/Brembo配置差</x:v>
      </x:c>
      <x:c r="K11" s="584" t="str">
        <x:v>中心贡献有限</x:v>
      </x:c>
      <x:c r="L11" s="584" t="str">
        <x:v>YU7本身已高度国产化</x:v>
      </x:c>
      <x:c r="M11" s="584" t="str">
        <x:v>正式供应商清单</x:v>
      </x:c>
      <x:c r="N11" s="584" t="str">
        <x:v>113—116</x:v>
      </x:c>
    </x:row>
    <x:row r="12" ht="66" customHeight="1">
      <x:c r="A12" s="19" t="str">
        <x:v>R-33C-07</x:v>
      </x:c>
      <x:c r="B12" s="19" t="str">
        <x:v>热管理</x:v>
      </x:c>
      <x:c r="C12" s="19" t="str">
        <x:v>忽略增程额外回路</x:v>
      </x:c>
      <x:c r="D12" s="19" t="str">
        <x:v>可比子BOM2%/5%/10%；新增回路另算</x:v>
      </x:c>
      <x:c r="E12" s="19" t="str">
        <x:v>YES_SENSITIVITY</x:v>
      </x:c>
      <x:c r="F12" s="19" t="str">
        <x:v>5%</x:v>
      </x:c>
      <x:c r="G12" s="19" t="str">
        <x:v>10%</x:v>
      </x:c>
      <x:c r="H12" s="19" t="str">
        <x:v>MEDIUM</x:v>
      </x:c>
      <x:c r="I12" s="19" t="str">
        <x:v>共有热管理子BOM</x:v>
      </x:c>
      <x:c r="J12" s="19" t="str">
        <x:v>发动机/发电机回路</x:v>
      </x:c>
      <x:c r="K12" s="19" t="str">
        <x:v>温和降本</x:v>
      </x:c>
      <x:c r="L12" s="19" t="str">
        <x:v>混合公司ASP不是整车系统价</x:v>
      </x:c>
      <x:c r="M12" s="19" t="str">
        <x:v>架构/定点</x:v>
      </x:c>
      <x:c r="N12" s="19" t="str">
        <x:v>113—116</x:v>
      </x:c>
    </x:row>
    <x:row r="13" ht="66" customHeight="1">
      <x:c r="A13" s="584" t="str">
        <x:v>R-33C-08</x:v>
      </x:c>
      <x:c r="B13" s="584" t="str">
        <x:v>车身/制造</x:v>
      </x:c>
      <x:c r="C13" s="584" t="str">
        <x:v>平台复用与材料涨价只取一边</x:v>
      </x:c>
      <x:c r="D13" s="584" t="str">
        <x:v>0%/3%/6%，升顶和材料变化另算</x:v>
      </x:c>
      <x:c r="E13" s="584" t="str">
        <x:v>YES_SENSITIVITY</x:v>
      </x:c>
      <x:c r="F13" s="584" t="str">
        <x:v>3%</x:v>
      </x:c>
      <x:c r="G13" s="584" t="str">
        <x:v>6%</x:v>
      </x:c>
      <x:c r="H13" s="584" t="str">
        <x:v>MEDIUM_LOW</x:v>
      </x:c>
      <x:c r="I13" s="584" t="str">
        <x:v>可比白车身制造池</x:v>
      </x:c>
      <x:c r="J13" s="584" t="str">
        <x:v>尺寸/材料/升顶机构</x:v>
      </x:c>
      <x:c r="K13" s="584" t="str">
        <x:v>小幅贡献</x:v>
      </x:c>
      <x:c r="L13" s="584" t="str">
        <x:v>铝价压力可能抵消</x:v>
      </x:c>
      <x:c r="M13" s="584" t="str">
        <x:v>工艺与材料清单</x:v>
      </x:c>
      <x:c r="N13" s="584" t="str">
        <x:v>113—116</x:v>
      </x:c>
    </x:row>
    <x:row r="14" ht="66" customHeight="1">
      <x:c r="A14" s="19" t="str">
        <x:v>R-33C-09</x:v>
      </x:c>
      <x:c r="B14" s="19" t="str">
        <x:v>座椅/内饰</x:v>
      </x:c>
      <x:c r="C14" s="19" t="str">
        <x:v>把功能删减和采购年降混为一体</x:v>
      </x:c>
      <x:c r="D14" s="19" t="str">
        <x:v>同功能3%/5%/10%；功能变化另走桥</x:v>
      </x:c>
      <x:c r="E14" s="19" t="str">
        <x:v>YES_SENSITIVITY</x:v>
      </x:c>
      <x:c r="F14" s="19" t="str">
        <x:v>5%</x:v>
      </x:c>
      <x:c r="G14" s="19" t="str">
        <x:v>10%</x:v>
      </x:c>
      <x:c r="H14" s="19" t="str">
        <x:v>MEDIUM</x:v>
      </x:c>
      <x:c r="I14" s="19" t="str">
        <x:v>可比座椅内饰池</x:v>
      </x:c>
      <x:c r="J14" s="19" t="str">
        <x:v>排数/按摩/通风/Nappa</x:v>
      </x:c>
      <x:c r="K14" s="19" t="str">
        <x:v>中心贡献数百元</x:v>
      </x:c>
      <x:c r="L14" s="19" t="str">
        <x:v>不能套宣传价值</x:v>
      </x:c>
      <x:c r="M14" s="19" t="str">
        <x:v>座椅总成定点</x:v>
      </x:c>
      <x:c r="N14" s="19" t="str">
        <x:v>113—116</x:v>
      </x:c>
    </x:row>
    <x:row r="15" ht="66" customHeight="1">
      <x:c r="A15" s="584" t="str">
        <x:v>R-33C-10</x:v>
      </x:c>
      <x:c r="B15" s="584" t="str">
        <x:v>座舱电子</x:v>
      </x:c>
      <x:c r="C15" s="584" t="str">
        <x:v>规模降本与屏幕/芯片差异重复</x:v>
      </x:c>
      <x:c r="D15" s="584" t="str">
        <x:v>同规格4%/8%/12%</x:v>
      </x:c>
      <x:c r="E15" s="584" t="str">
        <x:v>YES_SENSITIVITY</x:v>
      </x:c>
      <x:c r="F15" s="584" t="str">
        <x:v>8%</x:v>
      </x:c>
      <x:c r="G15" s="584" t="str">
        <x:v>12%</x:v>
      </x:c>
      <x:c r="H15" s="584" t="str">
        <x:v>MEDIUM</x:v>
      </x:c>
      <x:c r="I15" s="584" t="str">
        <x:v>座舱/智驾电子可比池</x:v>
      </x:c>
      <x:c r="J15" s="584" t="str">
        <x:v>屏幕/SoC/音响/传感器差</x:v>
      </x:c>
      <x:c r="K15" s="584" t="str">
        <x:v>中心贡献约千元级</x:v>
      </x:c>
      <x:c r="L15" s="584" t="str">
        <x:v>产品结构变化较大</x:v>
      </x:c>
      <x:c r="M15" s="584" t="str">
        <x:v>BOM/定点</x:v>
      </x:c>
      <x:c r="N15" s="584" t="str">
        <x:v>113—116</x:v>
      </x:c>
    </x:row>
    <x:row r="16" ht="66" customHeight="1">
      <x:c r="A16" s="19" t="str">
        <x:v>R-33C-11</x:v>
      </x:c>
      <x:c r="B16" s="19" t="str">
        <x:v>价格传导</x:v>
      </x:c>
      <x:c r="C16" s="19" t="str">
        <x:v>成本节省被当作等额降价</x:v>
      </x:c>
      <x:c r="D16" s="19" t="str">
        <x:v>成本×κ×VAT为上限，再乘25%/50%/75%传导</x:v>
      </x:c>
      <x:c r="E16" s="19" t="str">
        <x:v>YES</x:v>
      </x:c>
      <x:c r="F16" s="19" t="str">
        <x:v>50%</x:v>
      </x:c>
      <x:c r="G16" s="19" t="str">
        <x:v>75%</x:v>
      </x:c>
      <x:c r="H16" s="19" t="str">
        <x:v>MODEL</x:v>
      </x:c>
      <x:c r="I16" s="19" t="str">
        <x:v>现金正式价支持度</x:v>
      </x:c>
      <x:c r="J16" s="19" t="str">
        <x:v>权益价值/营销费用</x:v>
      </x:c>
      <x:c r="K16" s="19" t="str">
        <x:v>只改变概率，不锁死价格</x:v>
      </x:c>
      <x:c r="L16" s="19" t="str">
        <x:v>价格仍受版本树/竞争/产能影响</x:v>
      </x:c>
      <x:c r="M16" s="19" t="str">
        <x:v>正式价格与订单</x:v>
      </x:c>
      <x:c r="N16" s="19" t="str">
        <x:v>116/117</x:v>
      </x:c>
    </x:row>
    <x:row r="17" ht="66" customHeight="1">
      <x:c r="A17" s="584" t="str">
        <x:v>R-33C-12</x:v>
      </x:c>
      <x:c r="B17" s="584" t="str">
        <x:v>与3.3B版本树关系</x:v>
      </x:c>
      <x:c r="C17" s="584" t="str">
        <x:v>把同版Max分布当成全系最终价</x:v>
      </x:c>
      <x:c r="D17" s="584" t="str">
        <x:v>本阶段只校准同版价格边际，版本树权重不动</x:v>
      </x:c>
      <x:c r="E17" s="584" t="str">
        <x:v>YES</x:v>
      </x:c>
      <x:c r="F17" s="584" t="str">
        <x:v>下一阶段联合</x:v>
      </x:c>
      <x:c r="G17" s="584" t="str">
        <x:v>下一阶段联合</x:v>
      </x:c>
      <x:c r="H17" s="584" t="str">
        <x:v>LOCKED_METHOD</x:v>
      </x:c>
      <x:c r="I17" s="584" t="str">
        <x:v>N70/N90 Max边际</x:v>
      </x:c>
      <x:c r="J17" s="584" t="str">
        <x:v>Standard/Pro存在概率</x:v>
      </x:c>
      <x:c r="K17" s="584" t="str">
        <x:v>27.99仍需条件于阵容</x:v>
      </x:c>
      <x:c r="L17" s="584" t="str">
        <x:v>3.4A前不封盘</x:v>
      </x:c>
      <x:c r="M17" s="584" t="str">
        <x:v>官方SKU卡</x:v>
      </x:c>
      <x:c r="N17" s="584" t="str">
        <x:v>103/106/107/117</x:v>
      </x:c>
    </x:row>
    <x:row r="20" ht="24" customHeight="1">
      <x:c r="A20" s="587" t="str">
        <x:v>本阶段关键结果</x:v>
      </x:c>
      <x:c r="B20" s="587"/>
      <x:c r="C20" s="587"/>
      <x:c r="D20" s="587"/>
      <x:c r="E20" s="587"/>
      <x:c r="F20" s="587"/>
      <x:c r="G20" s="587"/>
      <x:c r="H20" s="587"/>
      <x:c r="I20" s="587"/>
      <x:c r="J20" s="587"/>
      <x:c r="K20" s="587"/>
      <x:c r="L20" s="587"/>
      <x:c r="M20" s="587"/>
      <x:c r="N20" s="587"/>
    </x:row>
    <x:row r="21" ht="44" customHeight="1">
      <x:c r="A21" s="583" t="str">
        <x:v>指标</x:v>
      </x:c>
      <x:c r="B21" s="583" t="str">
        <x:v>保守</x:v>
      </x:c>
      <x:c r="C21" s="583" t="str">
        <x:v>中心</x:v>
      </x:c>
      <x:c r="D21" s="583" t="str">
        <x:v>进取</x:v>
      </x:c>
      <x:c r="E21" s="583" t="str">
        <x:v>状态</x:v>
      </x:c>
      <x:c r="F21" s="583" t="str">
        <x:v>如何解读</x:v>
      </x:c>
      <x:c r="G21" s="583" t="str">
        <x:v>下一步</x:v>
      </x:c>
    </x:row>
    <x:row r="22" ht="54" customHeight="1">
      <x:c r="A22" s="19" t="str">
        <x:v>N90可比供应链成本节省</x:v>
      </x:c>
      <x:c r="B22" s="460" t="n">
        <x:v>4982</x:v>
      </x:c>
      <x:c r="C22" s="460" t="n">
        <x:v>12722</x:v>
      </x:c>
      <x:c r="D22" s="460" t="n">
        <x:v>21360</x:v>
      </x:c>
      <x:c r="E22" s="19" t="str">
        <x:v>READY_MODEL</x:v>
      </x:c>
      <x:c r="F22" s="19" t="str">
        <x:v>中心约1.27万元未税工程量级</x:v>
      </x:c>
      <x:c r="G22" s="19" t="str">
        <x:v>进入3.3D/3.4A</x:v>
      </x:c>
    </x:row>
    <x:row r="23" ht="54" customHeight="1">
      <x:c r="A23" s="584" t="str">
        <x:v>N90中心电池贡献占比</x:v>
      </x:c>
      <x:c r="B23" s="588" t="str"/>
      <x:c r="C23" s="588" t="n">
        <x:f>'116_车型成本修正'!N35</x:f>
        <x:v>0</x:v>
      </x:c>
      <x:c r="D23" s="588" t="str"/>
      <x:c r="E23" s="584" t="str">
        <x:v>READY_MODEL</x:v>
      </x:c>
      <x:c r="F23" s="584" t="str">
        <x:v>约60%，非电池不再被简单归零</x:v>
      </x:c>
      <x:c r="G23" s="584" t="str">
        <x:v>随定点更新</x:v>
      </x:c>
    </x:row>
    <x:row r="24" ht="54" customHeight="1">
      <x:c r="A24" s="19" t="str">
        <x:v>N90预售价→正式价降2万或更多</x:v>
      </x:c>
      <x:c r="B24" s="23" t="str"/>
      <x:c r="C24" s="23" t="n">
        <x:f>'117_价格概率传导'!B45</x:f>
        <x:v>0.288</x:v>
      </x:c>
      <x:c r="D24" s="23" t="str"/>
      <x:c r="E24" s="19" t="str">
        <x:v>REWEIGHTED</x:v>
      </x:c>
      <x:c r="F24" s="19" t="str">
        <x:v>同版边际支持度，不含版本树条件</x:v>
      </x:c>
      <x:c r="G24" s="19" t="str">
        <x:v>与103/106联合</x:v>
      </x:c>
    </x:row>
    <x:row r="25" ht="54" customHeight="1">
      <x:c r="A25" s="584" t="str">
        <x:v>N90预售价→正式价降3万或更多</x:v>
      </x:c>
      <x:c r="B25" s="588" t="str"/>
      <x:c r="C25" s="588" t="n">
        <x:f>'117_价格概率传导'!B46</x:f>
        <x:v>0.0705</x:v>
      </x:c>
      <x:c r="D25" s="588" t="str"/>
      <x:c r="E25" s="584" t="str">
        <x:v>LOWER_TAIL</x:v>
      </x:c>
      <x:c r="F25" s="584" t="str">
        <x:v>更低价格不是零概率</x:v>
      </x:c>
      <x:c r="G25" s="584" t="str">
        <x:v>进入最终情景</x:v>
      </x:c>
    </x:row>
    <x:row r="26" ht="54" customHeight="1">
      <x:c r="A26" s="19" t="str">
        <x:v>N70 Max预售价→正式价降2万或更多</x:v>
      </x:c>
      <x:c r="B26" s="23" t="str"/>
      <x:c r="C26" s="23" t="n">
        <x:f>'117_价格概率传导'!B41</x:f>
        <x:v>0.478</x:v>
      </x:c>
      <x:c r="D26" s="23" t="str"/>
      <x:c r="E26" s="19" t="str">
        <x:v>REWEIGHTED</x:v>
      </x:c>
      <x:c r="F26" s="19" t="str">
        <x:v>低价尾部因供应链证据扩大</x:v>
      </x:c>
      <x:c r="G26" s="19" t="str">
        <x:v>与N70版本树联合</x:v>
      </x:c>
    </x:row>
    <x:row r="27" ht="54" customHeight="1">
      <x:c r="A27" s="584" t="str">
        <x:v>N90 Max同版正式价众数</x:v>
      </x:c>
      <x:c r="B27" s="589" t="str"/>
      <x:c r="C27" s="589" t="n">
        <x:f>'117_价格概率传导'!B43</x:f>
        <x:v>279900</x:v>
      </x:c>
      <x:c r="D27" s="589" t="str"/>
      <x:c r="E27" s="584" t="str">
        <x:v>MODE</x:v>
      </x:c>
      <x:c r="F27" s="584" t="str">
        <x:v>仍为27.99万元</x:v>
      </x:c>
      <x:c r="G27" s="584" t="str">
        <x:v>阵容出现低价SKU时另算</x:v>
      </x:c>
    </x:row>
    <x:row r="28" ht="54" customHeight="1">
      <x:c r="A28" s="19" t="str">
        <x:v>正式官方售价数量</x:v>
      </x:c>
      <x:c r="B28" s="19" t="n">
        <x:v>0</x:v>
      </x:c>
      <x:c r="C28" s="19" t="n">
        <x:v>0</x:v>
      </x:c>
      <x:c r="D28" s="19" t="n">
        <x:v>0</x:v>
      </x:c>
      <x:c r="E28" s="19" t="str">
        <x:v>BLOCKED_OFFICIAL_PRICE</x:v>
      </x:c>
      <x:c r="F28" s="19" t="str">
        <x:v>所有价格仍为预测</x:v>
      </x:c>
      <x:c r="G28" s="19" t="str">
        <x:v>等待发布会</x:v>
      </x:c>
    </x:row>
  </x:sheetData>
  <x:mergeCells>
    <x:mergeCell ref="A1:N1"/>
    <x:mergeCell ref="A2:N2"/>
    <x:mergeCell ref="A3:N3"/>
    <x:mergeCell ref="A20:N20"/>
  </x:mergeCells>
  <x:conditionalFormatting sqref="E6:H17">
    <x:cfRule type="containsText" dxfId="2881" priority="1" operator="containsText" text="PASS"/>
    <x:cfRule type="containsText" dxfId="2882" priority="2" operator="containsText" text="READY"/>
    <x:cfRule type="containsText" dxfId="2883" priority="3" operator="containsText" text="CONFIRMED"/>
    <x:cfRule type="containsText" dxfId="2884" priority="4" operator="containsText" text="OFFICIAL"/>
    <x:cfRule type="containsText" dxfId="2885" priority="5" operator="containsText" text="YES"/>
    <x:cfRule type="containsText" dxfId="2886" priority="6" operator="containsText" text="CENTRAL"/>
    <x:cfRule type="containsText" dxfId="2887" priority="7" operator="containsText" text="MODELLED"/>
    <x:cfRule type="containsText" dxfId="2888" priority="8" operator="containsText" text="CONDITIONAL"/>
    <x:cfRule type="containsText" dxfId="2889" priority="9" operator="containsText" text="SENSITIVITY"/>
    <x:cfRule type="containsText" dxfId="2890" priority="10" operator="containsText" text="MEDIUM"/>
    <x:cfRule type="containsText" dxfId="2891" priority="11" operator="containsText" text="LOW"/>
    <x:cfRule type="containsText" dxfId="2892" priority="12" operator="containsText" text="WATCH"/>
    <x:cfRule type="containsText" dxfId="2893" priority="13" operator="containsText" text="EXCLUDED"/>
    <x:cfRule type="containsText" dxfId="2894" priority="14" operator="containsText" text="NO"/>
    <x:cfRule type="containsText" dxfId="2895" priority="15" operator="containsText" text="HOLD"/>
    <x:cfRule type="containsText" dxfId="2896" priority="16" operator="containsText" text="FAIL"/>
    <x:cfRule type="containsText" dxfId="2897" priority="17" operator="containsText" text="BLOCKED"/>
  </x:conditionalFormatting>
  <x:conditionalFormatting sqref="E22:E28">
    <x:cfRule type="containsText" dxfId="2898" priority="18" operator="containsText" text="PASS"/>
    <x:cfRule type="containsText" dxfId="2899" priority="19" operator="containsText" text="READY"/>
    <x:cfRule type="containsText" dxfId="2900" priority="20" operator="containsText" text="CONFIRMED"/>
    <x:cfRule type="containsText" dxfId="2901" priority="21" operator="containsText" text="OFFICIAL"/>
    <x:cfRule type="containsText" dxfId="2902" priority="22" operator="containsText" text="YES"/>
    <x:cfRule type="containsText" dxfId="2903" priority="23" operator="containsText" text="CENTRAL"/>
    <x:cfRule type="containsText" dxfId="2904" priority="24" operator="containsText" text="MODELLED"/>
    <x:cfRule type="containsText" dxfId="2905" priority="25" operator="containsText" text="CONDITIONAL"/>
    <x:cfRule type="containsText" dxfId="2906" priority="26" operator="containsText" text="SENSITIVITY"/>
    <x:cfRule type="containsText" dxfId="2907" priority="27" operator="containsText" text="MEDIUM"/>
    <x:cfRule type="containsText" dxfId="2908" priority="28" operator="containsText" text="LOW"/>
    <x:cfRule type="containsText" dxfId="2909" priority="29" operator="containsText" text="WATCH"/>
    <x:cfRule type="containsText" dxfId="2910" priority="30" operator="containsText" text="EXCLUDED"/>
    <x:cfRule type="containsText" dxfId="2911" priority="31" operator="containsText" text="NO"/>
    <x:cfRule type="containsText" dxfId="2912" priority="32" operator="containsText" text="HOLD"/>
    <x:cfRule type="containsText" dxfId="2913" priority="33" operator="containsText" text="FAIL"/>
    <x:cfRule type="containsText" dxfId="2914" priority="34" operator="containsText" text="BLOCKED"/>
  </x:conditionalFormatting>
  <x:pageMargins left="0.7" right="0.7" top="0.75" bottom="0.75" header="0.3" footer="0.3"/>
</x:worksheet>
</file>

<file path=xl/worksheets/sheet11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25" hidden="0" customWidth="1"/>
    <x:col min="3" max="3" width="22" hidden="0" customWidth="1"/>
    <x:col min="4" max="4" width="36" hidden="0" customWidth="1"/>
    <x:col min="5" max="5" width="28" hidden="0" customWidth="1"/>
    <x:col min="6" max="6" width="19" hidden="0" customWidth="1"/>
    <x:col min="7" max="7" width="17" hidden="0" customWidth="1"/>
    <x:col min="8" max="8" width="23" hidden="0" customWidth="1"/>
    <x:col min="9" max="9" width="31" hidden="0" customWidth="1"/>
    <x:col min="10" max="10" width="40" hidden="0" customWidth="1"/>
    <x:col min="11" max="11" width="20" hidden="0" customWidth="1"/>
    <x:col min="12" max="12" width="74" hidden="0" customWidth="1"/>
    <x:col min="13" max="13" width="28" hidden="0" customWidth="1"/>
    <x:col min="14" max="14" width="23" hidden="0" customWidth="1"/>
  </x:cols>
  <x:sheetData>
    <x:row r="1" ht="30" customHeight="1">
      <x:c r="A1" s="571" t="str">
        <x:v>112｜供应商—车型—模块证据图</x:v>
      </x:c>
      <x:c r="B1" s="571"/>
      <x:c r="C1" s="571"/>
      <x:c r="D1" s="571"/>
      <x:c r="E1" s="571"/>
      <x:c r="F1" s="571"/>
      <x:c r="G1" s="571"/>
      <x:c r="H1" s="571"/>
      <x:c r="I1" s="571"/>
      <x:c r="J1" s="571"/>
      <x:c r="K1" s="571"/>
      <x:c r="L1" s="571"/>
      <x:c r="M1" s="571"/>
      <x:c r="N1" s="571"/>
    </x:row>
    <x:row r="2" ht="22" customHeight="1">
      <x:c r="A2" s="574" t="str">
        <x:v>能绑定车型、只能绑定公司能力、纯推测三层分开；供应商身份与降本结论分开</x:v>
      </x:c>
      <x:c r="B2" s="574"/>
      <x:c r="C2" s="574"/>
      <x:c r="D2" s="574"/>
      <x:c r="E2" s="574"/>
      <x:c r="F2" s="574"/>
      <x:c r="G2" s="574"/>
      <x:c r="H2" s="574"/>
      <x:c r="I2" s="574"/>
      <x:c r="J2" s="574"/>
      <x:c r="K2" s="574"/>
      <x:c r="L2" s="574"/>
      <x:c r="M2" s="574"/>
      <x:c r="N2" s="574"/>
    </x:row>
    <x:row r="3" ht="94" customHeight="1">
      <x:c r="A3" s="578" t="str">
        <x:v>工信部与小米官方信息能确认N70低配申报车使用南昌欣旺达52kWh磷酸铁锂，N70 Max与N90固定顶/升顶工程车型使用中创新航76kWh三元锂；M15DRE增程器与东安动力存在联合定制信息；N90官方确认Bosch ESP10+DPB。其他具体定点尚无同等级证据。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  <x:c r="N3" s="578"/>
    </x:row>
    <x:row r="5" ht="60" customHeight="1">
      <x:c r="A5" s="583" t="str">
        <x:v>evidence_id</x:v>
      </x:c>
      <x:c r="B5" s="583" t="str">
        <x:v>车型</x:v>
      </x:c>
      <x:c r="C5" s="583" t="str">
        <x:v>模块</x:v>
      </x:c>
      <x:c r="D5" s="583" t="str">
        <x:v>已确认规格/事实</x:v>
      </x:c>
      <x:c r="E5" s="583" t="str">
        <x:v>供应商/体系</x:v>
      </x:c>
      <x:c r="F5" s="583" t="str">
        <x:v>车型绑定</x:v>
      </x:c>
      <x:c r="G5" s="583" t="str">
        <x:v>证据等级</x:v>
      </x:c>
      <x:c r="H5" s="583" t="str">
        <x:v>可据此量化降本</x:v>
      </x:c>
      <x:c r="I5" s="583" t="str">
        <x:v>中心处理</x:v>
      </x:c>
      <x:c r="J5" s="583" t="str">
        <x:v>不能推出</x:v>
      </x:c>
      <x:c r="K5" s="583" t="str">
        <x:v>来源类型</x:v>
      </x:c>
      <x:c r="L5" s="583" t="str">
        <x:v>来源URL/本地回链</x:v>
      </x:c>
      <x:c r="M5" s="583" t="str">
        <x:v>更新触发</x:v>
      </x:c>
      <x:c r="N5" s="583" t="str">
        <x:v>状态</x:v>
      </x:c>
    </x:row>
    <x:row r="6" ht="70" customHeight="1">
      <x:c r="A6" s="19" t="str">
        <x:v>SUP-01</x:v>
      </x:c>
      <x:c r="B6" s="19" t="str">
        <x:v>N70低配申报车</x:v>
      </x:c>
      <x:c r="C6" s="19" t="str">
        <x:v>电池</x:v>
      </x:c>
      <x:c r="D6" s="19" t="str">
        <x:v>52kWh LFP，电芯及总成</x:v>
      </x:c>
      <x:c r="E6" s="19" t="str">
        <x:v>南昌欣旺达</x:v>
      </x:c>
      <x:c r="F6" s="19" t="str">
        <x:v>YES_REGULATORY</x:v>
      </x:c>
      <x:c r="G6" s="19" t="str">
        <x:v>HIGH</x:v>
      </x:c>
      <x:c r="H6" s="19" t="str">
        <x:v>YES_NET_RATE</x:v>
      </x:c>
      <x:c r="I6" s="19" t="str">
        <x:v>使用LFP净单位成本走廊</x:v>
      </x:c>
      <x:c r="J6" s="19" t="str">
        <x:v>仅凭供应商名称得到精确采购价</x:v>
      </x:c>
      <x:c r="K6" s="19" t="str">
        <x:v>工信部</x:v>
      </x:c>
      <x:c r="L6" s="19" t="str">
        <x:v>https://www.miit.gov.cn/datainfo/dljdclscqyjcpgg/xcpgs409dwdwe233/art/2026/art_eaf4b300d9994266b8f78c00fdaad10e.html</x:v>
      </x:c>
      <x:c r="M6" s="19" t="str">
        <x:v>商业SKU/采购披露</x:v>
      </x:c>
      <x:c r="N6" s="19" t="str">
        <x:v>CONFIRMED</x:v>
      </x:c>
    </x:row>
    <x:row r="7" ht="70" customHeight="1">
      <x:c r="A7" s="584" t="str">
        <x:v>SUP-02</x:v>
      </x:c>
      <x:c r="B7" s="584" t="str">
        <x:v>N70 Max工程映射</x:v>
      </x:c>
      <x:c r="C7" s="584" t="str">
        <x:v>电池</x:v>
      </x:c>
      <x:c r="D7" s="584" t="str">
        <x:v>76kWh NCM</x:v>
      </x:c>
      <x:c r="E7" s="584" t="str">
        <x:v>中创新航</x:v>
      </x:c>
      <x:c r="F7" s="584" t="str">
        <x:v>YES_REGULATORY</x:v>
      </x:c>
      <x:c r="G7" s="584" t="str">
        <x:v>HIGH</x:v>
      </x:c>
      <x:c r="H7" s="584" t="str">
        <x:v>YES_NET_RATE</x:v>
      </x:c>
      <x:c r="I7" s="584" t="str">
        <x:v>使用NCM净单位成本走廊</x:v>
      </x:c>
      <x:c r="J7" s="584" t="str">
        <x:v>A1准入必然等于所有商业Max配置</x:v>
      </x:c>
      <x:c r="K7" s="584" t="str">
        <x:v>工信部+官方</x:v>
      </x:c>
      <x:c r="L7" s="584" t="str">
        <x:v>https://www.miit.gov.cn/datainfo/dljdclscqyjcpgg/xcpgs409dwdwe233/art/2026/art_06448fd67cac42949e5a798e18b215f4.html</x:v>
      </x:c>
      <x:c r="M7" s="584" t="str">
        <x:v>VIN/正式参数表</x:v>
      </x:c>
      <x:c r="N7" s="584" t="str">
        <x:v>CONFIRMED_MAPPING</x:v>
      </x:c>
    </x:row>
    <x:row r="8" ht="70" customHeight="1">
      <x:c r="A8" s="19" t="str">
        <x:v>SUP-03</x:v>
      </x:c>
      <x:c r="B8" s="19" t="str">
        <x:v>N90固定顶工程车型</x:v>
      </x:c>
      <x:c r="C8" s="19" t="str">
        <x:v>电池</x:v>
      </x:c>
      <x:c r="D8" s="19" t="str">
        <x:v>76kWh NCM</x:v>
      </x:c>
      <x:c r="E8" s="19" t="str">
        <x:v>中创新航</x:v>
      </x:c>
      <x:c r="F8" s="19" t="str">
        <x:v>YES_REGULATORY</x:v>
      </x:c>
      <x:c r="G8" s="19" t="str">
        <x:v>HIGH</x:v>
      </x:c>
      <x:c r="H8" s="19" t="str">
        <x:v>YES_NET_RATE</x:v>
      </x:c>
      <x:c r="I8" s="19" t="str">
        <x:v>使用NCM净单位成本走廊</x:v>
      </x:c>
      <x:c r="J8" s="19" t="str">
        <x:v>供应商切换折扣与倍率折扣叠加</x:v>
      </x:c>
      <x:c r="K8" s="19" t="str">
        <x:v>工信部+官方</x:v>
      </x:c>
      <x:c r="L8" s="19" t="str">
        <x:v>https://www.miit.gov.cn/datainfo/dljdclscqyjcpgg/xcpgs409dwdwe233/art/2026/art_ea7179cedb09467a9b7d2ce917685c49.html</x:v>
      </x:c>
      <x:c r="M8" s="19" t="str">
        <x:v>正式参数表</x:v>
      </x:c>
      <x:c r="N8" s="19" t="str">
        <x:v>CONFIRMED</x:v>
      </x:c>
    </x:row>
    <x:row r="9" ht="70" customHeight="1">
      <x:c r="A9" s="584" t="str">
        <x:v>SUP-04</x:v>
      </x:c>
      <x:c r="B9" s="584" t="str">
        <x:v>N90升顶工程车型</x:v>
      </x:c>
      <x:c r="C9" s="584" t="str">
        <x:v>电池</x:v>
      </x:c>
      <x:c r="D9" s="584" t="str">
        <x:v>76kWh NCM</x:v>
      </x:c>
      <x:c r="E9" s="584" t="str">
        <x:v>中创新航</x:v>
      </x:c>
      <x:c r="F9" s="584" t="str">
        <x:v>YES_REGULATORY</x:v>
      </x:c>
      <x:c r="G9" s="584" t="str">
        <x:v>HIGH</x:v>
      </x:c>
      <x:c r="H9" s="584" t="str">
        <x:v>YES_NET_RATE</x:v>
      </x:c>
      <x:c r="I9" s="584" t="str">
        <x:v>沿用NCM净单位成本；升顶另算</x:v>
      </x:c>
      <x:c r="J9" s="584" t="str">
        <x:v>升顶机构供应商/商品化</x:v>
      </x:c>
      <x:c r="K9" s="584" t="str">
        <x:v>工信部</x:v>
      </x:c>
      <x:c r="L9" s="584" t="str">
        <x:v>https://www.miit.gov.cn/datainfo/dljdclscqyjcpgg/xcpgs409dwdwe233/art/2026/art_1af822ccc59645fb802f12f0a5aaf032.html</x:v>
      </x:c>
      <x:c r="M9" s="584" t="str">
        <x:v>升顶商品卡</x:v>
      </x:c>
      <x:c r="N9" s="584" t="str">
        <x:v>CONFIRMED_ENGINEERING</x:v>
      </x:c>
    </x:row>
    <x:row r="10" ht="70" customHeight="1">
      <x:c r="A10" s="19" t="str">
        <x:v>SUP-05</x:v>
      </x:c>
      <x:c r="B10" s="19" t="str">
        <x:v>N70/N90工程体系</x:v>
      </x:c>
      <x:c r="C10" s="19" t="str">
        <x:v>增程器</x:v>
      </x:c>
      <x:c r="D10" s="19" t="str">
        <x:v>M15DRE联合定制信息</x:v>
      </x:c>
      <x:c r="E10" s="19" t="str">
        <x:v>东安动力</x:v>
      </x:c>
      <x:c r="F10" s="19" t="str">
        <x:v>YES_TRANSCRIPT</x:v>
      </x:c>
      <x:c r="G10" s="19" t="str">
        <x:v>MEDIUM_HIGH</x:v>
      </x:c>
      <x:c r="H10" s="19" t="str">
        <x:v>NO</x:v>
      </x:c>
      <x:c r="I10" s="19" t="str">
        <x:v>供应映射保留，供应降本=0</x:v>
      </x:c>
      <x:c r="J10" s="19" t="str">
        <x:v>相对纯电平台为节省项</x:v>
      </x:c>
      <x:c r="K10" s="19" t="str">
        <x:v>官方问答转录</x:v>
      </x:c>
      <x:c r="L10" s="19" t="str">
        <x:v>https://www.autohome.com.cn/news/202607/1315999.html</x:v>
      </x:c>
      <x:c r="M10" s="19" t="str">
        <x:v>供应商年报/采购价</x:v>
      </x:c>
      <x:c r="N10" s="19" t="str">
        <x:v>EXCLUDED_SAVING</x:v>
      </x:c>
    </x:row>
    <x:row r="11" ht="70" customHeight="1">
      <x:c r="A11" s="584" t="str">
        <x:v>SUP-06</x:v>
      </x:c>
      <x:c r="B11" s="584" t="str">
        <x:v>N90 Max</x:v>
      </x:c>
      <x:c r="C11" s="584" t="str">
        <x:v>制动电控</x:v>
      </x:c>
      <x:c r="D11" s="584" t="str">
        <x:v>ESP10+DPB</x:v>
      </x:c>
      <x:c r="E11" s="584" t="str">
        <x:v>Bosch</x:v>
      </x:c>
      <x:c r="F11" s="584" t="str">
        <x:v>YES_OFFICIAL</x:v>
      </x:c>
      <x:c r="G11" s="584" t="str">
        <x:v>HIGH</x:v>
      </x:c>
      <x:c r="H11" s="584" t="str">
        <x:v>NO</x:v>
      </x:c>
      <x:c r="I11" s="584" t="str">
        <x:v>确认规格，不加供应商折扣</x:v>
      </x:c>
      <x:c r="J11" s="584" t="str">
        <x:v>成熟供应商必然便宜</x:v>
      </x:c>
      <x:c r="K11" s="584" t="str">
        <x:v>小米官方</x:v>
      </x:c>
      <x:c r="L11" s="584" t="str">
        <x:v>https://www.xiaomiev.com/skynomad/n90</x:v>
      </x:c>
      <x:c r="M11" s="584" t="str">
        <x:v>完整零件清单</x:v>
      </x:c>
      <x:c r="N11" s="584" t="str">
        <x:v>CONFIRMED_SPEC</x:v>
      </x:c>
    </x:row>
    <x:row r="12" ht="70" customHeight="1">
      <x:c r="A12" s="19" t="str">
        <x:v>SUP-07</x:v>
      </x:c>
      <x:c r="B12" s="19" t="str">
        <x:v>N70工程车型</x:v>
      </x:c>
      <x:c r="C12" s="19" t="str">
        <x:v>制动电控</x:v>
      </x:c>
      <x:c r="D12" s="19" t="str">
        <x:v>ESP10见可靠转录；完整范围未闭环</x:v>
      </x:c>
      <x:c r="E12" s="19" t="str">
        <x:v>Bosch候选</x:v>
      </x:c>
      <x:c r="F12" s="19" t="str">
        <x:v>PARTIAL</x:v>
      </x:c>
      <x:c r="G12" s="19" t="str">
        <x:v>MEDIUM</x:v>
      </x:c>
      <x:c r="H12" s="19" t="str">
        <x:v>NO</x:v>
      </x:c>
      <x:c r="I12" s="19" t="str">
        <x:v>HOLD</x:v>
      </x:c>
      <x:c r="J12" s="19" t="str">
        <x:v>卡钳/DPB均已确认</x:v>
      </x:c>
      <x:c r="K12" s="19" t="str">
        <x:v>监管转录</x:v>
      </x:c>
      <x:c r="L12" s="19" t="str">
        <x:v>https://www.ithome.com/0/975/216.htm</x:v>
      </x:c>
      <x:c r="M12" s="19" t="str">
        <x:v>原始参数表</x:v>
      </x:c>
      <x:c r="N12" s="19" t="str">
        <x:v>HOLD</x:v>
      </x:c>
    </x:row>
    <x:row r="13" ht="70" customHeight="1">
      <x:c r="A13" s="584" t="str">
        <x:v>SUP-08</x:v>
      </x:c>
      <x:c r="B13" s="584" t="str">
        <x:v>N70/N90</x:v>
      </x:c>
      <x:c r="C13" s="584" t="str">
        <x:v>电驱</x:v>
      </x:c>
      <x:c r="D13" s="584" t="str">
        <x:v>210kW/210+100kW已确认</x:v>
      </x:c>
      <x:c r="E13" s="584" t="str">
        <x:v>具体总成供应商未知</x:v>
      </x:c>
      <x:c r="F13" s="584" t="str">
        <x:v>NO</x:v>
      </x:c>
      <x:c r="G13" s="584" t="str">
        <x:v>LOW</x:v>
      </x:c>
      <x:c r="H13" s="584" t="str">
        <x:v>YES_SENSITIVITY</x:v>
      </x:c>
      <x:c r="I13" s="584" t="str">
        <x:v>同规格3%/8%/15%</x:v>
      </x:c>
      <x:c r="J13" s="584" t="str">
        <x:v>某一家已定点</x:v>
      </x:c>
      <x:c r="K13" s="584" t="str">
        <x:v>官方+工信部</x:v>
      </x:c>
      <x:c r="L13" s="584" t="str">
        <x:v>https://www.xiaomiev.com/skynomad/n70</x:v>
      </x:c>
      <x:c r="M13" s="584" t="str">
        <x:v>铭牌/定点公告</x:v>
      </x:c>
      <x:c r="N13" s="584" t="str">
        <x:v>MODELLED</x:v>
      </x:c>
    </x:row>
    <x:row r="14" ht="70" customHeight="1">
      <x:c r="A14" s="19" t="str">
        <x:v>SUP-09</x:v>
      </x:c>
      <x:c r="B14" s="19" t="str">
        <x:v>N70/N90</x:v>
      </x:c>
      <x:c r="C14" s="19" t="str">
        <x:v>底盘/空悬/CDC</x:v>
      </x:c>
      <x:c r="D14" s="19" t="str">
        <x:v>配置规格可确认</x:v>
      </x:c>
      <x:c r="E14" s="19" t="str">
        <x:v>具体供应商未知</x:v>
      </x:c>
      <x:c r="F14" s="19" t="str">
        <x:v>NO</x:v>
      </x:c>
      <x:c r="G14" s="19" t="str">
        <x:v>LOW</x:v>
      </x:c>
      <x:c r="H14" s="19" t="str">
        <x:v>YES_SENSITIVITY</x:v>
      </x:c>
      <x:c r="I14" s="19" t="str">
        <x:v>同硬件2%/5%/9%</x:v>
      </x:c>
      <x:c r="J14" s="19" t="str">
        <x:v>拓普已供澎程</x:v>
      </x:c>
      <x:c r="K14" s="19" t="str">
        <x:v>小米官方</x:v>
      </x:c>
      <x:c r="L14" s="19" t="str">
        <x:v>https://www.xiaomiev.com/skynomad/n90</x:v>
      </x:c>
      <x:c r="M14" s="19" t="str">
        <x:v>定点/拆车</x:v>
      </x:c>
      <x:c r="N14" s="19" t="str">
        <x:v>MODELLED</x:v>
      </x:c>
    </x:row>
    <x:row r="15" ht="70" customHeight="1">
      <x:c r="A15" s="584" t="str">
        <x:v>SUP-10</x:v>
      </x:c>
      <x:c r="B15" s="584" t="str">
        <x:v>N90</x:v>
      </x:c>
      <x:c r="C15" s="584" t="str">
        <x:v>热管理</x:v>
      </x:c>
      <x:c r="D15" s="584" t="str">
        <x:v>热泵、三区温控等已确认</x:v>
      </x:c>
      <x:c r="E15" s="584" t="str">
        <x:v>具体供应商未知</x:v>
      </x:c>
      <x:c r="F15" s="584" t="str">
        <x:v>NO</x:v>
      </x:c>
      <x:c r="G15" s="584" t="str">
        <x:v>LOW</x:v>
      </x:c>
      <x:c r="H15" s="584" t="str">
        <x:v>YES_SENSITIVITY</x:v>
      </x:c>
      <x:c r="I15" s="584" t="str">
        <x:v>可比子BOM 2%/5%/10%</x:v>
      </x:c>
      <x:c r="J15" s="584" t="str">
        <x:v>三花/银轮/奥特佳已供货</x:v>
      </x:c>
      <x:c r="K15" s="584" t="str">
        <x:v>小米官方</x:v>
      </x:c>
      <x:c r="L15" s="584" t="str">
        <x:v>https://www.xiaomiev.com/skynomad/n90</x:v>
      </x:c>
      <x:c r="M15" s="584" t="str">
        <x:v>定点/管路图</x:v>
      </x:c>
      <x:c r="N15" s="584" t="str">
        <x:v>MODELLED</x:v>
      </x:c>
    </x:row>
    <x:row r="16" ht="70" customHeight="1">
      <x:c r="A16" s="19" t="str">
        <x:v>SUP-11</x:v>
      </x:c>
      <x:c r="B16" s="19" t="str">
        <x:v>N90</x:v>
      </x:c>
      <x:c r="C16" s="19" t="str">
        <x:v>座椅/内饰</x:v>
      </x:c>
      <x:c r="D16" s="19" t="str">
        <x:v>两排通风加热按摩等可确认</x:v>
      </x:c>
      <x:c r="E16" s="19" t="str">
        <x:v>具体总成供应商未知</x:v>
      </x:c>
      <x:c r="F16" s="19" t="str">
        <x:v>NO</x:v>
      </x:c>
      <x:c r="G16" s="19" t="str">
        <x:v>LOW</x:v>
      </x:c>
      <x:c r="H16" s="19" t="str">
        <x:v>YES_SENSITIVITY</x:v>
      </x:c>
      <x:c r="I16" s="19" t="str">
        <x:v>同功能3%/5%/10%</x:v>
      </x:c>
      <x:c r="J16" s="19" t="str">
        <x:v>零重力/Nappa是降本</x:v>
      </x:c>
      <x:c r="K16" s="19" t="str">
        <x:v>小米官方</x:v>
      </x:c>
      <x:c r="L16" s="19" t="str">
        <x:v>https://www.xiaomiev.com/skynomad/n90</x:v>
      </x:c>
      <x:c r="M16" s="19" t="str">
        <x:v>定点/完整配置表</x:v>
      </x:c>
      <x:c r="N16" s="19" t="str">
        <x:v>MODELLED</x:v>
      </x:c>
    </x:row>
    <x:row r="17" ht="70" customHeight="1">
      <x:c r="A17" s="584" t="str">
        <x:v>SUP-12</x:v>
      </x:c>
      <x:c r="B17" s="584" t="str">
        <x:v>N90</x:v>
      </x:c>
      <x:c r="C17" s="584" t="str">
        <x:v>座舱/音响</x:v>
      </x:c>
      <x:c r="D17" s="584" t="str">
        <x:v>25扬声器、4890W等可确认</x:v>
      </x:c>
      <x:c r="E17" s="584" t="str">
        <x:v>具体硬件供应商未知</x:v>
      </x:c>
      <x:c r="F17" s="584" t="str">
        <x:v>NO</x:v>
      </x:c>
      <x:c r="G17" s="584" t="str">
        <x:v>LOW</x:v>
      </x:c>
      <x:c r="H17" s="584" t="str">
        <x:v>YES_SENSITIVITY</x:v>
      </x:c>
      <x:c r="I17" s="584" t="str">
        <x:v>同规格4%/8%/12%</x:v>
      </x:c>
      <x:c r="J17" s="584" t="str">
        <x:v>哈曼/歌尔/瑞声已供货</x:v>
      </x:c>
      <x:c r="K17" s="584" t="str">
        <x:v>小米官方</x:v>
      </x:c>
      <x:c r="L17" s="584" t="str">
        <x:v>https://www.xiaomiev.com/skynomad/n90</x:v>
      </x:c>
      <x:c r="M17" s="584" t="str">
        <x:v>定点/拆车</x:v>
      </x:c>
      <x:c r="N17" s="584" t="str">
        <x:v>MODELLED</x:v>
      </x:c>
    </x:row>
    <x:row r="18" ht="70" customHeight="1">
      <x:c r="A18" s="19" t="str">
        <x:v>SUP-13</x:v>
      </x:c>
      <x:c r="B18" s="19" t="str">
        <x:v>N90</x:v>
      </x:c>
      <x:c r="C18" s="19" t="str">
        <x:v>车身/制造</x:v>
      </x:c>
      <x:c r="D18" s="19" t="str">
        <x:v>材料比例、门环与强度事实可确认</x:v>
      </x:c>
      <x:c r="E18" s="19" t="str">
        <x:v>材料/冲压/压铸供应商未知</x:v>
      </x:c>
      <x:c r="F18" s="19" t="str">
        <x:v>NO</x:v>
      </x:c>
      <x:c r="G18" s="19" t="str">
        <x:v>LOW</x:v>
      </x:c>
      <x:c r="H18" s="19" t="str">
        <x:v>YES_SENSITIVITY</x:v>
      </x:c>
      <x:c r="I18" s="19" t="str">
        <x:v>可比池0%/3%/6%</x:v>
      </x:c>
      <x:c r="J18" s="19" t="str">
        <x:v>供应商变化已确认</x:v>
      </x:c>
      <x:c r="K18" s="19" t="str">
        <x:v>小米官方</x:v>
      </x:c>
      <x:c r="L18" s="19" t="str">
        <x:v>https://www.xiaomiev.com/skynomad/n90</x:v>
      </x:c>
      <x:c r="M18" s="19" t="str">
        <x:v>材料表/制造工艺</x:v>
      </x:c>
      <x:c r="N18" s="19" t="str">
        <x:v>MODELLED</x:v>
      </x:c>
    </x:row>
    <x:row r="19" ht="70" customHeight="1">
      <x:c r="A19" s="584" t="str">
        <x:v>SUP-14</x:v>
      </x:c>
      <x:c r="B19" s="584" t="str">
        <x:v>N90升顶</x:v>
      </x:c>
      <x:c r="C19" s="584" t="str">
        <x:v>升顶机构</x:v>
      </x:c>
      <x:c r="D19" s="584" t="str">
        <x:v>独立准入、5座、车高/整备质量变化</x:v>
      </x:c>
      <x:c r="E19" s="584" t="str">
        <x:v>机构供应商未知</x:v>
      </x:c>
      <x:c r="F19" s="584" t="str">
        <x:v>NO</x:v>
      </x:c>
      <x:c r="G19" s="584" t="str">
        <x:v>LOW</x:v>
      </x:c>
      <x:c r="H19" s="584" t="str">
        <x:v>NO_THIS_PHASE</x:v>
      </x:c>
      <x:c r="I19" s="584" t="str">
        <x:v>保留Phase3.2C独立桥</x:v>
      </x:c>
      <x:c r="J19" s="584" t="str">
        <x:v>可以套任意房车供应商报价</x:v>
      </x:c>
      <x:c r="K19" s="584" t="str">
        <x:v>工信部</x:v>
      </x:c>
      <x:c r="L19" s="584" t="str">
        <x:v>39/40/75—81表</x:v>
      </x:c>
      <x:c r="M19" s="584" t="str">
        <x:v>商品化/机构报价</x:v>
      </x:c>
      <x:c r="N19" s="584" t="str">
        <x:v>SEPARATE</x:v>
      </x:c>
    </x:row>
  </x:sheetData>
  <x:mergeCells>
    <x:mergeCell ref="A1:N1"/>
    <x:mergeCell ref="A2:N2"/>
    <x:mergeCell ref="A3:N3"/>
  </x:mergeCells>
  <x:conditionalFormatting sqref="F6:I19">
    <x:cfRule type="containsText" dxfId="2915" priority="1" operator="containsText" text="PASS"/>
    <x:cfRule type="containsText" dxfId="2916" priority="2" operator="containsText" text="READY"/>
    <x:cfRule type="containsText" dxfId="2917" priority="3" operator="containsText" text="CONFIRMED"/>
    <x:cfRule type="containsText" dxfId="2918" priority="4" operator="containsText" text="OFFICIAL"/>
    <x:cfRule type="containsText" dxfId="2919" priority="5" operator="containsText" text="YES"/>
    <x:cfRule type="containsText" dxfId="2920" priority="6" operator="containsText" text="CENTRAL"/>
    <x:cfRule type="containsText" dxfId="2921" priority="7" operator="containsText" text="MODELLED"/>
    <x:cfRule type="containsText" dxfId="2922" priority="8" operator="containsText" text="CONDITIONAL"/>
    <x:cfRule type="containsText" dxfId="2923" priority="9" operator="containsText" text="SENSITIVITY"/>
    <x:cfRule type="containsText" dxfId="2924" priority="10" operator="containsText" text="MEDIUM"/>
    <x:cfRule type="containsText" dxfId="2925" priority="11" operator="containsText" text="LOW"/>
    <x:cfRule type="containsText" dxfId="2926" priority="12" operator="containsText" text="WATCH"/>
    <x:cfRule type="containsText" dxfId="2927" priority="13" operator="containsText" text="EXCLUDED"/>
    <x:cfRule type="containsText" dxfId="2928" priority="14" operator="containsText" text="NO"/>
    <x:cfRule type="containsText" dxfId="2929" priority="15" operator="containsText" text="HOLD"/>
    <x:cfRule type="containsText" dxfId="2930" priority="16" operator="containsText" text="FAIL"/>
    <x:cfRule type="containsText" dxfId="2931" priority="17" operator="containsText" text="BLOCKED"/>
  </x:conditionalFormatting>
  <x:conditionalFormatting sqref="N6:N19">
    <x:cfRule type="containsText" dxfId="2932" priority="18" operator="containsText" text="PASS"/>
    <x:cfRule type="containsText" dxfId="2933" priority="19" operator="containsText" text="READY"/>
    <x:cfRule type="containsText" dxfId="2934" priority="20" operator="containsText" text="CONFIRMED"/>
    <x:cfRule type="containsText" dxfId="2935" priority="21" operator="containsText" text="OFFICIAL"/>
    <x:cfRule type="containsText" dxfId="2936" priority="22" operator="containsText" text="YES"/>
    <x:cfRule type="containsText" dxfId="2937" priority="23" operator="containsText" text="CENTRAL"/>
    <x:cfRule type="containsText" dxfId="2938" priority="24" operator="containsText" text="MODELLED"/>
    <x:cfRule type="containsText" dxfId="2939" priority="25" operator="containsText" text="CONDITIONAL"/>
    <x:cfRule type="containsText" dxfId="2940" priority="26" operator="containsText" text="SENSITIVITY"/>
    <x:cfRule type="containsText" dxfId="2941" priority="27" operator="containsText" text="MEDIUM"/>
    <x:cfRule type="containsText" dxfId="2942" priority="28" operator="containsText" text="LOW"/>
    <x:cfRule type="containsText" dxfId="2943" priority="29" operator="containsText" text="WATCH"/>
    <x:cfRule type="containsText" dxfId="2944" priority="30" operator="containsText" text="EXCLUDED"/>
    <x:cfRule type="containsText" dxfId="2945" priority="31" operator="containsText" text="NO"/>
    <x:cfRule type="containsText" dxfId="2946" priority="32" operator="containsText" text="HOLD"/>
    <x:cfRule type="containsText" dxfId="2947" priority="33" operator="containsText" text="FAIL"/>
    <x:cfRule type="containsText" dxfId="2948" priority="34" operator="containsText" text="BLOCKED"/>
  </x:conditionalFormatting>
  <x:pageMargins left="0.7" right="0.7" top="0.75" bottom="0.75" header="0.3" footer="0.3"/>
</x:worksheet>
</file>

<file path=xl/worksheets/sheet11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8" hidden="0" customWidth="1"/>
    <x:col min="3" max="3" width="20" hidden="0" customWidth="1"/>
    <x:col min="4" max="4" width="22" hidden="0" customWidth="1"/>
    <x:col min="5" max="5" width="13" hidden="0" customWidth="1"/>
    <x:col min="6" max="6" width="22" hidden="0" customWidth="1"/>
    <x:col min="7" max="7" width="31" hidden="0" customWidth="1"/>
    <x:col min="8" max="8" width="18" hidden="0" customWidth="1"/>
    <x:col min="9" max="9" width="20" hidden="0" customWidth="1"/>
    <x:col min="10" max="10" width="38" hidden="0" customWidth="1"/>
    <x:col min="11" max="11" width="35" hidden="0" customWidth="1"/>
    <x:col min="12" max="12" width="42" hidden="0" customWidth="1"/>
    <x:col min="13" max="13" width="68" hidden="0" customWidth="1"/>
  </x:cols>
  <x:sheetData>
    <x:row r="1" ht="30" customHeight="1">
      <x:c r="A1" s="571" t="str">
        <x:v>113｜模块成本锚：只给可比核心BOM分配降本率</x:v>
      </x:c>
      <x:c r="B1" s="571"/>
      <x:c r="C1" s="571"/>
      <x:c r="D1" s="571"/>
      <x:c r="E1" s="571"/>
      <x:c r="F1" s="571"/>
      <x:c r="G1" s="571"/>
      <x:c r="H1" s="571"/>
      <x:c r="I1" s="571"/>
      <x:c r="J1" s="571"/>
      <x:c r="K1" s="571"/>
      <x:c r="L1" s="571"/>
      <x:c r="M1" s="571"/>
    </x:row>
    <x:row r="2" ht="22" customHeight="1">
      <x:c r="A2" s="574" t="str">
        <x:v>这些是工程可比池，不是整车完整BOM，也不是小米采购价；配置增减继续由原有成本桥负责</x:v>
      </x:c>
      <x:c r="B2" s="574"/>
      <x:c r="C2" s="574"/>
      <x:c r="D2" s="574"/>
      <x:c r="E2" s="574"/>
      <x:c r="F2" s="574"/>
      <x:c r="G2" s="574"/>
      <x:c r="H2" s="574"/>
      <x:c r="I2" s="574"/>
      <x:c r="J2" s="574"/>
      <x:c r="K2" s="574"/>
      <x:c r="L2" s="574"/>
      <x:c r="M2" s="574"/>
    </x:row>
    <x:row r="3" ht="94" customHeight="1">
      <x:c r="A3" s="578" t="str">
        <x:v>电池、电驱直接回链既有原子库；其他模块按公开零部件价值量、澎程规格复杂度与既有工程拆分设“可被供应链效率影响的核心池”。降本率只乘这个核心池，不能乘完整座舱、完整车身或完整整车。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</x:row>
    <x:row r="5" ht="58" customHeight="1">
      <x:c r="A5" s="583" t="str">
        <x:v>base_id</x:v>
      </x:c>
      <x:c r="B5" s="583" t="str">
        <x:v>车型</x:v>
      </x:c>
      <x:c r="C5" s="583" t="str">
        <x:v>模块</x:v>
      </x:c>
      <x:c r="D5" s="583" t="str">
        <x:v>可比核心BOM基数</x:v>
      </x:c>
      <x:c r="E5" s="583" t="str">
        <x:v>单位</x:v>
      </x:c>
      <x:c r="F5" s="583" t="str">
        <x:v>基数类型</x:v>
      </x:c>
      <x:c r="G5" s="583" t="str">
        <x:v>主要锚</x:v>
      </x:c>
      <x:c r="H5" s="583" t="str">
        <x:v>证据等级</x:v>
      </x:c>
      <x:c r="I5" s="583" t="str">
        <x:v>中心可用</x:v>
      </x:c>
      <x:c r="J5" s="583" t="str">
        <x:v>包含</x:v>
      </x:c>
      <x:c r="K5" s="583" t="str">
        <x:v>排除</x:v>
      </x:c>
      <x:c r="L5" s="583" t="str">
        <x:v>解释</x:v>
      </x:c>
      <x:c r="M5" s="583" t="str">
        <x:v>回链/来源</x:v>
      </x:c>
    </x:row>
    <x:row r="6" ht="62" customHeight="1">
      <x:c r="A6" s="19" t="str">
        <x:v>BASE-N70S-BAT</x:v>
      </x:c>
      <x:c r="B6" s="19" t="str">
        <x:v>N70标准版工程候选</x:v>
      </x:c>
      <x:c r="C6" s="19" t="str">
        <x:v>电池</x:v>
      </x:c>
      <x:c r="D6" s="460" t="n">
        <x:v>30160</x:v>
      </x:c>
      <x:c r="E6" s="19" t="str">
        <x:v>元/车</x:v>
      </x:c>
      <x:c r="F6" s="19" t="str">
        <x:v>EXISTING_ABSOLUTE</x:v>
      </x:c>
      <x:c r="G6" s="19" t="str">
        <x:v>52×580元/kWh</x:v>
      </x:c>
      <x:c r="H6" s="19" t="str">
        <x:v>MEDIUM_HIGH</x:v>
      </x:c>
      <x:c r="I6" s="19" t="str">
        <x:v>YES</x:v>
      </x:c>
      <x:c r="J6" s="19" t="str">
        <x:v>电芯/包体/BMS/包内热管理</x:v>
      </x:c>
      <x:c r="K6" s="19" t="str">
        <x:v>车端高压/整车热管理</x:v>
      </x:c>
      <x:c r="L6" s="19" t="str">
        <x:v>旧参考基数；新净单位成本在114表</x:v>
      </x:c>
      <x:c r="M6" s="19" t="str">
        <x:v>01/85表</x:v>
      </x:c>
    </x:row>
    <x:row r="7" ht="62" customHeight="1">
      <x:c r="A7" s="584" t="str">
        <x:v>BASE-N70S-ED</x:v>
      </x:c>
      <x:c r="B7" s="584" t="str">
        <x:v>N70标准版工程候选</x:v>
      </x:c>
      <x:c r="C7" s="584" t="str">
        <x:v>电驱</x:v>
      </x:c>
      <x:c r="D7" s="589" t="n">
        <x:v>7200</x:v>
      </x:c>
      <x:c r="E7" s="584" t="str">
        <x:v>元/车</x:v>
      </x:c>
      <x:c r="F7" s="584" t="str">
        <x:v>ENGINEERING_POOL</x:v>
      </x:c>
      <x:c r="G7" s="584" t="str">
        <x:v>210kW单电驱量级</x:v>
      </x:c>
      <x:c r="H7" s="584" t="str">
        <x:v>MEDIUM</x:v>
      </x:c>
      <x:c r="I7" s="584" t="str">
        <x:v>YES</x:v>
      </x:c>
      <x:c r="J7" s="584" t="str">
        <x:v>电机/逆变器/减速器</x:v>
      </x:c>
      <x:c r="K7" s="584" t="str">
        <x:v>车端OBC/DC-DC/PDU</x:v>
      </x:c>
      <x:c r="L7" s="584" t="str">
        <x:v>相对235kW 8000元锚折算</x:v>
      </x:c>
      <x:c r="M7" s="584" t="str">
        <x:v>01表+汇川问询</x:v>
      </x:c>
    </x:row>
    <x:row r="8" ht="62" customHeight="1">
      <x:c r="A8" s="19" t="str">
        <x:v>BASE-N70S-CH</x:v>
      </x:c>
      <x:c r="B8" s="19" t="str">
        <x:v>N70标准版工程候选</x:v>
      </x:c>
      <x:c r="C8" s="19" t="str">
        <x:v>底盘</x:v>
      </x:c>
      <x:c r="D8" s="460" t="n">
        <x:v>5000</x:v>
      </x:c>
      <x:c r="E8" s="19" t="str">
        <x:v>元/车</x:v>
      </x:c>
      <x:c r="F8" s="19" t="str">
        <x:v>ELIGIBLE_POOL</x:v>
      </x:c>
      <x:c r="G8" s="19" t="str">
        <x:v>共有悬架/制动可比池</x:v>
      </x:c>
      <x:c r="H8" s="19" t="str">
        <x:v>LOW</x:v>
      </x:c>
      <x:c r="I8" s="19" t="str">
        <x:v>YES_SENSITIVITY</x:v>
      </x:c>
      <x:c r="J8" s="19" t="str">
        <x:v>同规格底盘件</x:v>
      </x:c>
      <x:c r="K8" s="19" t="str">
        <x:v>空悬/CDC配置差</x:v>
      </x:c>
      <x:c r="L8" s="19" t="str">
        <x:v>供应商未确认</x:v>
      </x:c>
      <x:c r="M8" s="19" t="str">
        <x:v>瑞玛问询/车百智库</x:v>
      </x:c>
    </x:row>
    <x:row r="9" ht="62" customHeight="1">
      <x:c r="A9" s="584" t="str">
        <x:v>BASE-N70S-TH</x:v>
      </x:c>
      <x:c r="B9" s="584" t="str">
        <x:v>N70标准版工程候选</x:v>
      </x:c>
      <x:c r="C9" s="584" t="str">
        <x:v>热管理</x:v>
      </x:c>
      <x:c r="D9" s="589" t="n">
        <x:v>7000</x:v>
      </x:c>
      <x:c r="E9" s="584" t="str">
        <x:v>元/车</x:v>
      </x:c>
      <x:c r="F9" s="584" t="str">
        <x:v>ELIGIBLE_POOL</x:v>
      </x:c>
      <x:c r="G9" s="584" t="str">
        <x:v>完整电动化热管理量级</x:v>
      </x:c>
      <x:c r="H9" s="584" t="str">
        <x:v>MEDIUM_LOW</x:v>
      </x:c>
      <x:c r="I9" s="584" t="str">
        <x:v>YES_SENSITIVITY</x:v>
      </x:c>
      <x:c r="J9" s="584" t="str">
        <x:v>可比电动车子BOM</x:v>
      </x:c>
      <x:c r="K9" s="584" t="str">
        <x:v>增程器额外回路</x:v>
      </x:c>
      <x:c r="L9" s="584" t="str">
        <x:v>只给可比子BOM年降</x:v>
      </x:c>
      <x:c r="M9" s="584" t="str">
        <x:v>公开问询/年报</x:v>
      </x:c>
    </x:row>
    <x:row r="10" ht="62" customHeight="1">
      <x:c r="A10" s="19" t="str">
        <x:v>BASE-N70S-BD</x:v>
      </x:c>
      <x:c r="B10" s="19" t="str">
        <x:v>N70标准版工程候选</x:v>
      </x:c>
      <x:c r="C10" s="19" t="str">
        <x:v>车身</x:v>
      </x:c>
      <x:c r="D10" s="460" t="n">
        <x:v>28000</x:v>
      </x:c>
      <x:c r="E10" s="19" t="str">
        <x:v>元/车</x:v>
      </x:c>
      <x:c r="F10" s="19" t="str">
        <x:v>ELIGIBLE_POOL</x:v>
      </x:c>
      <x:c r="G10" s="19" t="str">
        <x:v>白车身材料与制造池</x:v>
      </x:c>
      <x:c r="H10" s="19" t="str">
        <x:v>LOW</x:v>
      </x:c>
      <x:c r="I10" s="19" t="str">
        <x:v>YES_SENSITIVITY</x:v>
      </x:c>
      <x:c r="J10" s="19" t="str">
        <x:v>可比结构/工艺</x:v>
      </x:c>
      <x:c r="K10" s="19" t="str">
        <x:v>尺寸/材料/特殊机构</x:v>
      </x:c>
      <x:c r="L10" s="19" t="str">
        <x:v>不是整车车身总成本</x:v>
      </x:c>
      <x:c r="M10" s="19" t="str">
        <x:v>广东鸿图年报+工程代理</x:v>
      </x:c>
    </x:row>
    <x:row r="11" ht="62" customHeight="1">
      <x:c r="A11" s="584" t="str">
        <x:v>BASE-N70S-ST</x:v>
      </x:c>
      <x:c r="B11" s="584" t="str">
        <x:v>N70标准版工程候选</x:v>
      </x:c>
      <x:c r="C11" s="584" t="str">
        <x:v>座椅内饰</x:v>
      </x:c>
      <x:c r="D11" s="589" t="n">
        <x:v>10000</x:v>
      </x:c>
      <x:c r="E11" s="584" t="str">
        <x:v>元/车</x:v>
      </x:c>
      <x:c r="F11" s="584" t="str">
        <x:v>ELIGIBLE_POOL</x:v>
      </x:c>
      <x:c r="G11" s="584" t="str">
        <x:v>5座基础可比池</x:v>
      </x:c>
      <x:c r="H11" s="584" t="str">
        <x:v>MEDIUM_LOW</x:v>
      </x:c>
      <x:c r="I11" s="584" t="str">
        <x:v>YES_SENSITIVITY</x:v>
      </x:c>
      <x:c r="J11" s="584" t="str">
        <x:v>同功能座椅/内饰</x:v>
      </x:c>
      <x:c r="K11" s="584" t="str">
        <x:v>面料/按摩/通风差</x:v>
      </x:c>
      <x:c r="L11" s="584" t="str">
        <x:v>配置删减另走桥</x:v>
      </x:c>
      <x:c r="M11" s="584" t="str">
        <x:v>瑞玛问询+工程代理</x:v>
      </x:c>
    </x:row>
    <x:row r="12" ht="62" customHeight="1">
      <x:c r="A12" s="19" t="str">
        <x:v>BASE-N70S-CP</x:v>
      </x:c>
      <x:c r="B12" s="19" t="str">
        <x:v>N70标准版工程候选</x:v>
      </x:c>
      <x:c r="C12" s="19" t="str">
        <x:v>座舱电子</x:v>
      </x:c>
      <x:c r="D12" s="460" t="n">
        <x:v>18000</x:v>
      </x:c>
      <x:c r="E12" s="19" t="str">
        <x:v>元/车</x:v>
      </x:c>
      <x:c r="F12" s="19" t="str">
        <x:v>ELIGIBLE_POOL</x:v>
      </x:c>
      <x:c r="G12" s="19" t="str">
        <x:v>座舱/ADAS/音响电子可比池</x:v>
      </x:c>
      <x:c r="H12" s="19" t="str">
        <x:v>MEDIUM_LOW</x:v>
      </x:c>
      <x:c r="I12" s="19" t="str">
        <x:v>YES_SENSITIVITY</x:v>
      </x:c>
      <x:c r="J12" s="19" t="str">
        <x:v>同屏/芯片/传感器规模</x:v>
      </x:c>
      <x:c r="K12" s="19" t="str">
        <x:v>配置数量与软件价值</x:v>
      </x:c>
      <x:c r="L12" s="19" t="str">
        <x:v>不含软件利润</x:v>
      </x:c>
      <x:c r="M12" s="19" t="str">
        <x:v>德赛西威年报+01表</x:v>
      </x:c>
    </x:row>
    <x:row r="13" ht="62" customHeight="1">
      <x:c r="A13" s="584" t="str">
        <x:v>BASE-N70M-BAT</x:v>
      </x:c>
      <x:c r="B13" s="584" t="str">
        <x:v>N70 Max</x:v>
      </x:c>
      <x:c r="C13" s="584" t="str">
        <x:v>电池</x:v>
      </x:c>
      <x:c r="D13" s="589" t="n">
        <x:v>60800</x:v>
      </x:c>
      <x:c r="E13" s="584" t="str">
        <x:v>元/车</x:v>
      </x:c>
      <x:c r="F13" s="584" t="str">
        <x:v>EXISTING_ABSOLUTE</x:v>
      </x:c>
      <x:c r="G13" s="584" t="str">
        <x:v>76×800元/kWh</x:v>
      </x:c>
      <x:c r="H13" s="584" t="str">
        <x:v>MEDIUM_HIGH</x:v>
      </x:c>
      <x:c r="I13" s="584" t="str">
        <x:v>YES</x:v>
      </x:c>
      <x:c r="J13" s="584" t="str">
        <x:v>同上</x:v>
      </x:c>
      <x:c r="K13" s="584" t="str">
        <x:v>同上</x:v>
      </x:c>
      <x:c r="L13" s="584" t="str">
        <x:v>旧5.2C NCM参考；新净率吸收规格差</x:v>
      </x:c>
      <x:c r="M13" s="584" t="str">
        <x:v>01/85表</x:v>
      </x:c>
    </x:row>
    <x:row r="14" ht="62" customHeight="1">
      <x:c r="A14" s="19" t="str">
        <x:v>BASE-N70M-ED</x:v>
      </x:c>
      <x:c r="B14" s="19" t="str">
        <x:v>N70 Max</x:v>
      </x:c>
      <x:c r="C14" s="19" t="str">
        <x:v>电驱</x:v>
      </x:c>
      <x:c r="D14" s="460" t="n">
        <x:v>11400</x:v>
      </x:c>
      <x:c r="E14" s="19" t="str">
        <x:v>元/车</x:v>
      </x:c>
      <x:c r="F14" s="19" t="str">
        <x:v>ENGINEERING_POOL</x:v>
      </x:c>
      <x:c r="G14" s="19" t="str">
        <x:v>210+100kW双电驱</x:v>
      </x:c>
      <x:c r="H14" s="19" t="str">
        <x:v>MEDIUM</x:v>
      </x:c>
      <x:c r="I14" s="19" t="str">
        <x:v>YES</x:v>
      </x:c>
      <x:c r="J14" s="19" t="str">
        <x:v>电机/逆变器/减速器</x:v>
      </x:c>
      <x:c r="K14" s="19" t="str">
        <x:v>车端高压</x:v>
      </x:c>
      <x:c r="L14" s="19" t="str">
        <x:v>由双电驱成本锚折算</x:v>
      </x:c>
      <x:c r="M14" s="19" t="str">
        <x:v>01/85表+汇川问询</x:v>
      </x:c>
    </x:row>
    <x:row r="15" ht="62" customHeight="1">
      <x:c r="A15" s="584" t="str">
        <x:v>BASE-N70M-CH</x:v>
      </x:c>
      <x:c r="B15" s="584" t="str">
        <x:v>N70 Max</x:v>
      </x:c>
      <x:c r="C15" s="584" t="str">
        <x:v>底盘</x:v>
      </x:c>
      <x:c r="D15" s="589" t="n">
        <x:v>5000</x:v>
      </x:c>
      <x:c r="E15" s="584" t="str">
        <x:v>元/车</x:v>
      </x:c>
      <x:c r="F15" s="584" t="str">
        <x:v>ELIGIBLE_POOL</x:v>
      </x:c>
      <x:c r="G15" s="584" t="str">
        <x:v>共有底盘可比池</x:v>
      </x:c>
      <x:c r="H15" s="584" t="str">
        <x:v>LOW</x:v>
      </x:c>
      <x:c r="I15" s="584" t="str">
        <x:v>YES_SENSITIVITY</x:v>
      </x:c>
      <x:c r="J15" s="584" t="str">
        <x:v>同规格底盘件</x:v>
      </x:c>
      <x:c r="K15" s="584" t="str">
        <x:v>空悬/CDC的有无</x:v>
      </x:c>
      <x:c r="L15" s="584" t="str">
        <x:v>Max配置本身不删减</x:v>
      </x:c>
      <x:c r="M15" s="584" t="str">
        <x:v>瑞玛问询/车百智库</x:v>
      </x:c>
    </x:row>
    <x:row r="16" ht="62" customHeight="1">
      <x:c r="A16" s="19" t="str">
        <x:v>BASE-N70M-TH</x:v>
      </x:c>
      <x:c r="B16" s="19" t="str">
        <x:v>N70 Max</x:v>
      </x:c>
      <x:c r="C16" s="19" t="str">
        <x:v>热管理</x:v>
      </x:c>
      <x:c r="D16" s="460" t="n">
        <x:v>7000</x:v>
      </x:c>
      <x:c r="E16" s="19" t="str">
        <x:v>元/车</x:v>
      </x:c>
      <x:c r="F16" s="19" t="str">
        <x:v>ELIGIBLE_POOL</x:v>
      </x:c>
      <x:c r="G16" s="19" t="str">
        <x:v>可比子BOM</x:v>
      </x:c>
      <x:c r="H16" s="19" t="str">
        <x:v>MEDIUM_LOW</x:v>
      </x:c>
      <x:c r="I16" s="19" t="str">
        <x:v>YES_SENSITIVITY</x:v>
      </x:c>
      <x:c r="J16" s="19" t="str">
        <x:v>同功能子BOM</x:v>
      </x:c>
      <x:c r="K16" s="19" t="str">
        <x:v>新增增程回路</x:v>
      </x:c>
      <x:c r="L16" s="19" t="str">
        <x:v>只计同功能效率</x:v>
      </x:c>
      <x:c r="M16" s="19" t="str">
        <x:v>公开问询/年报</x:v>
      </x:c>
    </x:row>
    <x:row r="17" ht="62" customHeight="1">
      <x:c r="A17" s="584" t="str">
        <x:v>BASE-N70M-BD</x:v>
      </x:c>
      <x:c r="B17" s="584" t="str">
        <x:v>N70 Max</x:v>
      </x:c>
      <x:c r="C17" s="584" t="str">
        <x:v>车身</x:v>
      </x:c>
      <x:c r="D17" s="589" t="n">
        <x:v>30000</x:v>
      </x:c>
      <x:c r="E17" s="584" t="str">
        <x:v>元/车</x:v>
      </x:c>
      <x:c r="F17" s="584" t="str">
        <x:v>ELIGIBLE_POOL</x:v>
      </x:c>
      <x:c r="G17" s="584" t="str">
        <x:v>白车身材料与制造池</x:v>
      </x:c>
      <x:c r="H17" s="584" t="str">
        <x:v>LOW</x:v>
      </x:c>
      <x:c r="I17" s="584" t="str">
        <x:v>YES_SENSITIVITY</x:v>
      </x:c>
      <x:c r="J17" s="584" t="str">
        <x:v>可比结构/工艺</x:v>
      </x:c>
      <x:c r="K17" s="584" t="str">
        <x:v>材料与尺寸差</x:v>
      </x:c>
      <x:c r="L17" s="584" t="str">
        <x:v>轻微高于标准候选</x:v>
      </x:c>
      <x:c r="M17" s="584" t="str">
        <x:v>广东鸿图年报+工程代理</x:v>
      </x:c>
    </x:row>
    <x:row r="18" ht="62" customHeight="1">
      <x:c r="A18" s="19" t="str">
        <x:v>BASE-N70M-ST</x:v>
      </x:c>
      <x:c r="B18" s="19" t="str">
        <x:v>N70 Max</x:v>
      </x:c>
      <x:c r="C18" s="19" t="str">
        <x:v>座椅内饰</x:v>
      </x:c>
      <x:c r="D18" s="460" t="n">
        <x:v>10000</x:v>
      </x:c>
      <x:c r="E18" s="19" t="str">
        <x:v>元/车</x:v>
      </x:c>
      <x:c r="F18" s="19" t="str">
        <x:v>ELIGIBLE_POOL</x:v>
      </x:c>
      <x:c r="G18" s="19" t="str">
        <x:v>5座可比池</x:v>
      </x:c>
      <x:c r="H18" s="19" t="str">
        <x:v>MEDIUM_LOW</x:v>
      </x:c>
      <x:c r="I18" s="19" t="str">
        <x:v>YES_SENSITIVITY</x:v>
      </x:c>
      <x:c r="J18" s="19" t="str">
        <x:v>同功能部分</x:v>
      </x:c>
      <x:c r="K18" s="19" t="str">
        <x:v>舒适功能差</x:v>
      </x:c>
      <x:c r="L18" s="19" t="str">
        <x:v>功能价值另算</x:v>
      </x:c>
      <x:c r="M18" s="19" t="str">
        <x:v>瑞玛问询+工程代理</x:v>
      </x:c>
    </x:row>
    <x:row r="19" ht="62" customHeight="1">
      <x:c r="A19" s="584" t="str">
        <x:v>BASE-N70M-CP</x:v>
      </x:c>
      <x:c r="B19" s="584" t="str">
        <x:v>N70 Max</x:v>
      </x:c>
      <x:c r="C19" s="584" t="str">
        <x:v>座舱电子</x:v>
      </x:c>
      <x:c r="D19" s="589" t="n">
        <x:v>20000</x:v>
      </x:c>
      <x:c r="E19" s="584" t="str">
        <x:v>元/车</x:v>
      </x:c>
      <x:c r="F19" s="584" t="str">
        <x:v>ELIGIBLE_POOL</x:v>
      </x:c>
      <x:c r="G19" s="584" t="str">
        <x:v>座舱/ADAS/音响可比池</x:v>
      </x:c>
      <x:c r="H19" s="584" t="str">
        <x:v>MEDIUM_LOW</x:v>
      </x:c>
      <x:c r="I19" s="584" t="str">
        <x:v>YES_SENSITIVITY</x:v>
      </x:c>
      <x:c r="J19" s="584" t="str">
        <x:v>同规格电子</x:v>
      </x:c>
      <x:c r="K19" s="584" t="str">
        <x:v>数量/SoC/传感器差</x:v>
      </x:c>
      <x:c r="L19" s="584" t="str">
        <x:v>比标准候选略高</x:v>
      </x:c>
      <x:c r="M19" s="584" t="str">
        <x:v>德赛西威年报+01表</x:v>
      </x:c>
    </x:row>
    <x:row r="20" ht="62" customHeight="1">
      <x:c r="A20" s="19" t="str">
        <x:v>BASE-N90-BAT</x:v>
      </x:c>
      <x:c r="B20" s="19" t="str">
        <x:v>N90固定顶家族</x:v>
      </x:c>
      <x:c r="C20" s="19" t="str">
        <x:v>电池</x:v>
      </x:c>
      <x:c r="D20" s="460" t="n">
        <x:v>60800</x:v>
      </x:c>
      <x:c r="E20" s="19" t="str">
        <x:v>元/车</x:v>
      </x:c>
      <x:c r="F20" s="19" t="str">
        <x:v>EXISTING_ABSOLUTE</x:v>
      </x:c>
      <x:c r="G20" s="19" t="str">
        <x:v>76×800元/kWh</x:v>
      </x:c>
      <x:c r="H20" s="19" t="str">
        <x:v>MEDIUM_HIGH</x:v>
      </x:c>
      <x:c r="I20" s="19" t="str">
        <x:v>YES</x:v>
      </x:c>
      <x:c r="J20" s="19" t="str">
        <x:v>同上</x:v>
      </x:c>
      <x:c r="K20" s="19" t="str">
        <x:v>同上</x:v>
      </x:c>
      <x:c r="L20" s="19" t="str">
        <x:v>新净率吸收普通充电规格与供应体系</x:v>
      </x:c>
      <x:c r="M20" s="19" t="str">
        <x:v>01表+MIIT</x:v>
      </x:c>
    </x:row>
    <x:row r="21" ht="62" customHeight="1">
      <x:c r="A21" s="584" t="str">
        <x:v>BASE-N90-ED</x:v>
      </x:c>
      <x:c r="B21" s="584" t="str">
        <x:v>N90固定顶家族</x:v>
      </x:c>
      <x:c r="C21" s="584" t="str">
        <x:v>电驱</x:v>
      </x:c>
      <x:c r="D21" s="589" t="n">
        <x:v>11400</x:v>
      </x:c>
      <x:c r="E21" s="584" t="str">
        <x:v>元/车</x:v>
      </x:c>
      <x:c r="F21" s="584" t="str">
        <x:v>ENGINEERING_POOL</x:v>
      </x:c>
      <x:c r="G21" s="584" t="str">
        <x:v>210+100kW双电驱</x:v>
      </x:c>
      <x:c r="H21" s="584" t="str">
        <x:v>MEDIUM</x:v>
      </x:c>
      <x:c r="I21" s="584" t="str">
        <x:v>YES</x:v>
      </x:c>
      <x:c r="J21" s="584" t="str">
        <x:v>同规格电驱</x:v>
      </x:c>
      <x:c r="K21" s="584" t="str">
        <x:v>功率/电机数差</x:v>
      </x:c>
      <x:c r="L21" s="584" t="str">
        <x:v>与N70 Max共平台候选</x:v>
      </x:c>
      <x:c r="M21" s="584" t="str">
        <x:v>01表+汇川问询</x:v>
      </x:c>
    </x:row>
    <x:row r="22" ht="62" customHeight="1">
      <x:c r="A22" s="19" t="str">
        <x:v>BASE-N90-CH</x:v>
      </x:c>
      <x:c r="B22" s="19" t="str">
        <x:v>N90固定顶家族</x:v>
      </x:c>
      <x:c r="C22" s="19" t="str">
        <x:v>底盘</x:v>
      </x:c>
      <x:c r="D22" s="460" t="n">
        <x:v>5000</x:v>
      </x:c>
      <x:c r="E22" s="19" t="str">
        <x:v>元/车</x:v>
      </x:c>
      <x:c r="F22" s="19" t="str">
        <x:v>ELIGIBLE_POOL</x:v>
      </x:c>
      <x:c r="G22" s="19" t="str">
        <x:v>共有底盘可比池</x:v>
      </x:c>
      <x:c r="H22" s="19" t="str">
        <x:v>LOW</x:v>
      </x:c>
      <x:c r="I22" s="19" t="str">
        <x:v>YES_SENSITIVITY</x:v>
      </x:c>
      <x:c r="J22" s="19" t="str">
        <x:v>同规格底盘件</x:v>
      </x:c>
      <x:c r="K22" s="19" t="str">
        <x:v>空悬/CDC/Brembo配置差</x:v>
      </x:c>
      <x:c r="L22" s="19" t="str">
        <x:v>供应商未知</x:v>
      </x:c>
      <x:c r="M22" s="19" t="str">
        <x:v>瑞玛问询/车百智库</x:v>
      </x:c>
    </x:row>
    <x:row r="23" ht="62" customHeight="1">
      <x:c r="A23" s="584" t="str">
        <x:v>BASE-N90-TH</x:v>
      </x:c>
      <x:c r="B23" s="584" t="str">
        <x:v>N90固定顶家族</x:v>
      </x:c>
      <x:c r="C23" s="584" t="str">
        <x:v>热管理</x:v>
      </x:c>
      <x:c r="D23" s="589" t="n">
        <x:v>7000</x:v>
      </x:c>
      <x:c r="E23" s="584" t="str">
        <x:v>元/车</x:v>
      </x:c>
      <x:c r="F23" s="584" t="str">
        <x:v>ELIGIBLE_POOL</x:v>
      </x:c>
      <x:c r="G23" s="584" t="str">
        <x:v>可比子BOM</x:v>
      </x:c>
      <x:c r="H23" s="584" t="str">
        <x:v>MEDIUM_LOW</x:v>
      </x:c>
      <x:c r="I23" s="584" t="str">
        <x:v>YES_SENSITIVITY</x:v>
      </x:c>
      <x:c r="J23" s="584" t="str">
        <x:v>同功能热管理</x:v>
      </x:c>
      <x:c r="K23" s="584" t="str">
        <x:v>增程额外回路</x:v>
      </x:c>
      <x:c r="L23" s="584" t="str">
        <x:v>不把新增回路抵消</x:v>
      </x:c>
      <x:c r="M23" s="584" t="str">
        <x:v>拓普/三花年报</x:v>
      </x:c>
    </x:row>
    <x:row r="24" ht="62" customHeight="1">
      <x:c r="A24" s="19" t="str">
        <x:v>BASE-N90-BD</x:v>
      </x:c>
      <x:c r="B24" s="19" t="str">
        <x:v>N90固定顶家族</x:v>
      </x:c>
      <x:c r="C24" s="19" t="str">
        <x:v>车身</x:v>
      </x:c>
      <x:c r="D24" s="460" t="n">
        <x:v>35000</x:v>
      </x:c>
      <x:c r="E24" s="19" t="str">
        <x:v>元/车</x:v>
      </x:c>
      <x:c r="F24" s="19" t="str">
        <x:v>ELIGIBLE_POOL</x:v>
      </x:c>
      <x:c r="G24" s="19" t="str">
        <x:v>大型车白车身制造池</x:v>
      </x:c>
      <x:c r="H24" s="19" t="str">
        <x:v>LOW</x:v>
      </x:c>
      <x:c r="I24" s="19" t="str">
        <x:v>YES_SENSITIVITY</x:v>
      </x:c>
      <x:c r="J24" s="19" t="str">
        <x:v>可比材料/工艺</x:v>
      </x:c>
      <x:c r="K24" s="19" t="str">
        <x:v>更大尺寸/材料/升顶</x:v>
      </x:c>
      <x:c r="L24" s="19" t="str">
        <x:v>升顶机构完全排除</x:v>
      </x:c>
      <x:c r="M24" s="19" t="str">
        <x:v>广东鸿图年报+官方车身事实</x:v>
      </x:c>
    </x:row>
    <x:row r="25" ht="62" customHeight="1">
      <x:c r="A25" s="584" t="str">
        <x:v>BASE-N90-ST</x:v>
      </x:c>
      <x:c r="B25" s="584" t="str">
        <x:v>N90固定顶家族</x:v>
      </x:c>
      <x:c r="C25" s="584" t="str">
        <x:v>座椅内饰</x:v>
      </x:c>
      <x:c r="D25" s="589" t="n">
        <x:v>16000</x:v>
      </x:c>
      <x:c r="E25" s="584" t="str">
        <x:v>元/车</x:v>
      </x:c>
      <x:c r="F25" s="584" t="str">
        <x:v>ELIGIBLE_POOL</x:v>
      </x:c>
      <x:c r="G25" s="584" t="str">
        <x:v>7座舒适座舱可比池</x:v>
      </x:c>
      <x:c r="H25" s="584" t="str">
        <x:v>MEDIUM_LOW</x:v>
      </x:c>
      <x:c r="I25" s="584" t="str">
        <x:v>YES_SENSITIVITY</x:v>
      </x:c>
      <x:c r="J25" s="584" t="str">
        <x:v>同功能座椅/内饰</x:v>
      </x:c>
      <x:c r="K25" s="584" t="str">
        <x:v>排数/按摩/零重力/Nappa差</x:v>
      </x:c>
      <x:c r="L25" s="584" t="str">
        <x:v>功能差额另走105表</x:v>
      </x:c>
      <x:c r="M25" s="584" t="str">
        <x:v>瑞玛问询+官方配置</x:v>
      </x:c>
    </x:row>
    <x:row r="26" ht="62" customHeight="1">
      <x:c r="A26" s="19" t="str">
        <x:v>BASE-N90-CP</x:v>
      </x:c>
      <x:c r="B26" s="19" t="str">
        <x:v>N90固定顶家族</x:v>
      </x:c>
      <x:c r="C26" s="19" t="str">
        <x:v>座舱电子</x:v>
      </x:c>
      <x:c r="D26" s="460" t="n">
        <x:v>22000</x:v>
      </x:c>
      <x:c r="E26" s="19" t="str">
        <x:v>元/车</x:v>
      </x:c>
      <x:c r="F26" s="19" t="str">
        <x:v>ELIGIBLE_POOL</x:v>
      </x:c>
      <x:c r="G26" s="19" t="str">
        <x:v>25音响+座舱+ADAS可比池</x:v>
      </x:c>
      <x:c r="H26" s="19" t="str">
        <x:v>MEDIUM_LOW</x:v>
      </x:c>
      <x:c r="I26" s="19" t="str">
        <x:v>YES_SENSITIVITY</x:v>
      </x:c>
      <x:c r="J26" s="19" t="str">
        <x:v>同规格电子核心</x:v>
      </x:c>
      <x:c r="K26" s="19" t="str">
        <x:v>屏幕/音响/传感器数量差</x:v>
      </x:c>
      <x:c r="L26" s="19" t="str">
        <x:v>不含软件价值</x:v>
      </x:c>
      <x:c r="M26" s="19" t="str">
        <x:v>德赛西威年报+01/105表</x:v>
      </x:c>
    </x:row>
    <x:row r="29" ht="24" customHeight="1">
      <x:c r="A29" s="587" t="str">
        <x:v>行业与公司级成本锚（只用于确定量级与系数，不直接等同小米采购价）</x:v>
      </x:c>
      <x:c r="B29" s="587"/>
      <x:c r="C29" s="587"/>
      <x:c r="D29" s="587"/>
      <x:c r="E29" s="587"/>
      <x:c r="F29" s="587"/>
      <x:c r="G29" s="587"/>
      <x:c r="H29" s="587"/>
      <x:c r="I29" s="587"/>
      <x:c r="J29" s="587"/>
      <x:c r="K29" s="587"/>
      <x:c r="L29" s="587"/>
      <x:c r="M29" s="587"/>
    </x:row>
    <x:row r="30" ht="56" customHeight="1">
      <x:c r="A30" s="583" t="str">
        <x:v>source_id</x:v>
      </x:c>
      <x:c r="B30" s="583" t="str">
        <x:v>模块</x:v>
      </x:c>
      <x:c r="C30" s="583" t="str">
        <x:v>公开事实/计算</x:v>
      </x:c>
      <x:c r="D30" s="583" t="str">
        <x:v>可支持</x:v>
      </x:c>
      <x:c r="E30" s="583" t="str">
        <x:v>不能支持</x:v>
      </x:c>
      <x:c r="F30" s="583" t="str">
        <x:v>证据等级</x:v>
      </x:c>
      <x:c r="G30" s="583" t="str">
        <x:v>中心采用</x:v>
      </x:c>
      <x:c r="H30" s="583" t="str">
        <x:v>强情景</x:v>
      </x:c>
      <x:c r="I30" s="583" t="str">
        <x:v>URL</x:v>
      </x:c>
      <x:c r="J30" s="583" t="str">
        <x:v>口径</x:v>
      </x:c>
      <x:c r="K30" s="583" t="str">
        <x:v>防重提示</x:v>
      </x:c>
      <x:c r="L30" s="583" t="str">
        <x:v>年份</x:v>
      </x:c>
      <x:c r="M30" s="583" t="str">
        <x:v>状态</x:v>
      </x:c>
    </x:row>
    <x:row r="31" ht="72" customHeight="1">
      <x:c r="A31" s="19" t="str">
        <x:v>SRC-BNEF-2025</x:v>
      </x:c>
      <x:c r="B31" s="19" t="str">
        <x:v>电池</x:v>
      </x:c>
      <x:c r="C31" s="19" t="str">
        <x:v>中国电池包均价84美元/kWh、同比下降13%</x:v>
      </x:c>
      <x:c r="D31" s="19" t="str">
        <x:v>单位成本量级/趋势</x:v>
      </x:c>
      <x:c r="E31" s="19" t="str">
        <x:v>小米采购价</x:v>
      </x:c>
      <x:c r="F31" s="19" t="str">
        <x:v>HIGH_MARKET</x:v>
      </x:c>
      <x:c r="G31" s="19" t="str">
        <x:v>净元/kWh走廊</x:v>
      </x:c>
      <x:c r="H31" s="19" t="str">
        <x:v>不直接套13%</x:v>
      </x:c>
      <x:c r="I31" s="19" t="str">
        <x:v>https://about.bnef.com/insights/clean-transport/lithium-ion-battery-pack-prices-fall-to-108-per-kilowatt-hour-despite-rising-metal-prices-bloombergnef/</x:v>
      </x:c>
      <x:c r="J31" s="19" t="str">
        <x:v>市场均价</x:v>
      </x:c>
      <x:c r="K31" s="19" t="str">
        <x:v>不得再叠加行业-13%</x:v>
      </x:c>
      <x:c r="L31" s="19" t="n">
        <x:v>2025</x:v>
      </x:c>
      <x:c r="M31" s="19" t="str">
        <x:v>USED_AS_ANCHOR</x:v>
      </x:c>
    </x:row>
    <x:row r="32" ht="72" customHeight="1">
      <x:c r="A32" s="584" t="str">
        <x:v>SRC-CALB-2025</x:v>
      </x:c>
      <x:c r="B32" s="584" t="str">
        <x:v>电池</x:v>
      </x:c>
      <x:c r="C32" s="584" t="str">
        <x:v>推进小米大电量增程平台，2026开始批量交付</x:v>
      </x:c>
      <x:c r="D32" s="584" t="str">
        <x:v>供应体系与平台化方向</x:v>
      </x:c>
      <x:c r="E32" s="584" t="str">
        <x:v>具体车型精确采购价</x:v>
      </x:c>
      <x:c r="F32" s="584" t="str">
        <x:v>MEDIUM_HIGH</x:v>
      </x:c>
      <x:c r="G32" s="584" t="str">
        <x:v>与MIIT车型绑定交叉</x:v>
      </x:c>
      <x:c r="H32" s="584" t="str">
        <x:v>15%仅强情景</x:v>
      </x:c>
      <x:c r="I32" s="584" t="str">
        <x:v>https://www.hkexnews.hk/listedco/listconews/sehk/2026/0429/2026042900020_c.pdf</x:v>
      </x:c>
      <x:c r="J32" s="584" t="str">
        <x:v>公司年报</x:v>
      </x:c>
      <x:c r="K32" s="584" t="str">
        <x:v>与净元/kWh合并</x:v>
      </x:c>
      <x:c r="L32" s="584" t="n">
        <x:v>2025</x:v>
      </x:c>
      <x:c r="M32" s="584" t="str">
        <x:v>USED_AS_EVIDENCE</x:v>
      </x:c>
    </x:row>
    <x:row r="33" ht="72" customHeight="1">
      <x:c r="A33" s="19" t="str">
        <x:v>SRC-INOVANCE-2025</x:v>
      </x:c>
      <x:c r="B33" s="19" t="str">
        <x:v>电驱</x:v>
      </x:c>
      <x:c r="C33" s="19" t="str">
        <x:v>公开问询显示电驱单位成本连续下降，2024同比约-18%</x:v>
      </x:c>
      <x:c r="D33" s="19" t="str">
        <x:v>同规格年降方向</x:v>
      </x:c>
      <x:c r="E33" s="19" t="str">
        <x:v>N90具体供货商/精确幅度</x:v>
      </x:c>
      <x:c r="F33" s="19" t="str">
        <x:v>HIGH_COMPANY</x:v>
      </x:c>
      <x:c r="G33" s="19" t="str">
        <x:v>8%</x:v>
      </x:c>
      <x:c r="H33" s="19" t="str">
        <x:v>15%</x:v>
      </x:c>
      <x:c r="I33" s="19" t="str">
        <x:v>https://reportdocs.static.sse.org.cn/UpFiles/rasinfodisc1/202505/RAS_202505_2215002B3A433993A24CB2A2622B241A57CBD1.pdf</x:v>
      </x:c>
      <x:c r="J33" s="19" t="str">
        <x:v>公司成本混合口径</x:v>
      </x:c>
      <x:c r="K33" s="19" t="str">
        <x:v>功率/电机数差额另算</x:v>
      </x:c>
      <x:c r="L33" s="19" t="n">
        <x:v>2025</x:v>
      </x:c>
      <x:c r="M33" s="19" t="str">
        <x:v>USED_AS_ANCHOR</x:v>
      </x:c>
    </x:row>
    <x:row r="34" ht="72" customHeight="1">
      <x:c r="A34" s="584" t="str">
        <x:v>SRC-RIMA-2025</x:v>
      </x:c>
      <x:c r="B34" s="584" t="str">
        <x:v>底盘/座椅</x:v>
      </x:c>
      <x:c r="C34" s="584" t="str">
        <x:v>行业年降约3%—5%；披露座椅成本结构</x:v>
      </x:c>
      <x:c r="D34" s="584" t="str">
        <x:v>5%中心降本</x:v>
      </x:c>
      <x:c r="E34" s="584" t="str">
        <x:v>具体澎程定点</x:v>
      </x:c>
      <x:c r="F34" s="584" t="str">
        <x:v>HIGH_INDUSTRY</x:v>
      </x:c>
      <x:c r="G34" s="584" t="str">
        <x:v>5%</x:v>
      </x:c>
      <x:c r="H34" s="584" t="str">
        <x:v>9%/10%</x:v>
      </x:c>
      <x:c r="I34" s="584" t="str">
        <x:v>https://static.cninfo.com.cn/finalpage/2025-02-18/1222559536.PDF</x:v>
      </x:c>
      <x:c r="J34" s="584" t="str">
        <x:v>问询回复</x:v>
      </x:c>
      <x:c r="K34" s="584" t="str">
        <x:v>配置差额另算</x:v>
      </x:c>
      <x:c r="L34" s="584" t="n">
        <x:v>2025</x:v>
      </x:c>
      <x:c r="M34" s="584" t="str">
        <x:v>USED_AS_ANCHOR</x:v>
      </x:c>
    </x:row>
    <x:row r="35" ht="72" customHeight="1">
      <x:c r="A35" s="19" t="str">
        <x:v>SRC-EV100-AIR</x:v>
      </x:c>
      <x:c r="B35" s="19" t="str">
        <x:v>空悬</x:v>
      </x:c>
      <x:c r="C35" s="19" t="str">
        <x:v>国产化使系统价格显著下降</x:v>
      </x:c>
      <x:c r="D35" s="19" t="str">
        <x:v>国产化长期方向</x:v>
      </x:c>
      <x:c r="E35" s="19" t="str">
        <x:v>对YU7基准再次套25%</x:v>
      </x:c>
      <x:c r="F35" s="19" t="str">
        <x:v>MEDIUM</x:v>
      </x:c>
      <x:c r="G35" s="19" t="str">
        <x:v>只取5%</x:v>
      </x:c>
      <x:c r="H35" s="19" t="str">
        <x:v>9%</x:v>
      </x:c>
      <x:c r="I35" s="19" t="str">
        <x:v>https://www.chinaev100.com/focus/detail/501?catid=44</x:v>
      </x:c>
      <x:c r="J35" s="19" t="str">
        <x:v>行业研究</x:v>
      </x:c>
      <x:c r="K35" s="19" t="str">
        <x:v>YU7本身已国产化</x:v>
      </x:c>
      <x:c r="L35" s="19" t="n">
        <x:v>2025</x:v>
      </x:c>
      <x:c r="M35" s="19" t="str">
        <x:v>SENSITIVITY_ONLY</x:v>
      </x:c>
    </x:row>
    <x:row r="36" ht="72" customHeight="1">
      <x:c r="A36" s="584" t="str">
        <x:v>SRC-TOPGROUP-2025</x:v>
      </x:c>
      <x:c r="B36" s="584" t="str">
        <x:v>热管理/底盘</x:v>
      </x:c>
      <x:c r="C36" s="584" t="str">
        <x:v>披露热管理、底盘等收入成本及小米客户关系</x:v>
      </x:c>
      <x:c r="D36" s="584" t="str">
        <x:v>公司级价值量/效率</x:v>
      </x:c>
      <x:c r="E36" s="584" t="str">
        <x:v>N90具体定点</x:v>
      </x:c>
      <x:c r="F36" s="584" t="str">
        <x:v>MEDIUM</x:v>
      </x:c>
      <x:c r="G36" s="584" t="str">
        <x:v>5%</x:v>
      </x:c>
      <x:c r="H36" s="584" t="str">
        <x:v>10%</x:v>
      </x:c>
      <x:c r="I36" s="584" t="str">
        <x:v>https://static.cninfo.com.cn/finalpage/2026-03-24/1225026446.PDF</x:v>
      </x:c>
      <x:c r="J36" s="584" t="str">
        <x:v>公司年报混合口径</x:v>
      </x:c>
      <x:c r="K36" s="584" t="str">
        <x:v>不能写成拓普已供N90</x:v>
      </x:c>
      <x:c r="L36" s="584" t="n">
        <x:v>2025</x:v>
      </x:c>
      <x:c r="M36" s="584" t="str">
        <x:v>USED_AS_ANCHOR</x:v>
      </x:c>
    </x:row>
    <x:row r="37" ht="72" customHeight="1">
      <x:c r="A37" s="19" t="str">
        <x:v>SRC-DESAY-2025</x:v>
      </x:c>
      <x:c r="B37" s="19" t="str">
        <x:v>座舱电子</x:v>
      </x:c>
      <x:c r="C37" s="19" t="str">
        <x:v>销量增速高于收入；混合单位成本推算约下降8.5%</x:v>
      </x:c>
      <x:c r="D37" s="19" t="str">
        <x:v>规模化方向</x:v>
      </x:c>
      <x:c r="E37" s="19" t="str">
        <x:v>同产品精确降本</x:v>
      </x:c>
      <x:c r="F37" s="19" t="str">
        <x:v>MEDIUM</x:v>
      </x:c>
      <x:c r="G37" s="19" t="str">
        <x:v>8%</x:v>
      </x:c>
      <x:c r="H37" s="19" t="str">
        <x:v>12%</x:v>
      </x:c>
      <x:c r="I37" s="19" t="str">
        <x:v>https://vip.stock.finance.sina.com.cn/corp/view/vCB_AllBulletinDetail.php?id=11983521&amp;stockid=002920</x:v>
      </x:c>
      <x:c r="J37" s="19" t="str">
        <x:v>公司年报镜像/混合口径</x:v>
      </x:c>
      <x:c r="K37" s="19" t="str">
        <x:v>产品结构混杂</x:v>
      </x:c>
      <x:c r="L37" s="19" t="n">
        <x:v>2025</x:v>
      </x:c>
      <x:c r="M37" s="19" t="str">
        <x:v>USED_AS_ANCHOR</x:v>
      </x:c>
    </x:row>
    <x:row r="38" ht="72" customHeight="1">
      <x:c r="A38" s="584" t="str">
        <x:v>SRC-GHT-2025</x:v>
      </x:c>
      <x:c r="B38" s="584" t="str">
        <x:v>车身</x:v>
      </x:c>
      <x:c r="C38" s="584" t="str">
        <x:v>一体化项目与铝价成本压力并存</x:v>
      </x:c>
      <x:c r="D38" s="584" t="str">
        <x:v>0%—6%对称走廊</x:v>
      </x:c>
      <x:c r="E38" s="584" t="str">
        <x:v>N90工艺重构</x:v>
      </x:c>
      <x:c r="F38" s="584" t="str">
        <x:v>MEDIUM_LOW</x:v>
      </x:c>
      <x:c r="G38" s="584" t="str">
        <x:v>3%</x:v>
      </x:c>
      <x:c r="H38" s="584" t="str">
        <x:v>6%</x:v>
      </x:c>
      <x:c r="I38" s="584" t="str">
        <x:v>https://money.finance.sina.com.cn/corp/view/vCB_AllBulletinDetail.php?id=12231931&amp;stockid=002101</x:v>
      </x:c>
      <x:c r="J38" s="584" t="str">
        <x:v>公司年报镜像</x:v>
      </x:c>
      <x:c r="K38" s="584" t="str">
        <x:v>材料变化另算</x:v>
      </x:c>
      <x:c r="L38" s="584" t="n">
        <x:v>2025</x:v>
      </x:c>
      <x:c r="M38" s="584" t="str">
        <x:v>USED_AS_ANCHOR</x:v>
      </x:c>
    </x:row>
  </x:sheetData>
  <x:mergeCells>
    <x:mergeCell ref="A1:M1"/>
    <x:mergeCell ref="A2:M2"/>
    <x:mergeCell ref="A3:M3"/>
    <x:mergeCell ref="A29:M29"/>
  </x:mergeCells>
  <x:conditionalFormatting sqref="H6:I26">
    <x:cfRule type="containsText" dxfId="2949" priority="1" operator="containsText" text="PASS"/>
    <x:cfRule type="containsText" dxfId="2950" priority="2" operator="containsText" text="READY"/>
    <x:cfRule type="containsText" dxfId="2951" priority="3" operator="containsText" text="CONFIRMED"/>
    <x:cfRule type="containsText" dxfId="2952" priority="4" operator="containsText" text="OFFICIAL"/>
    <x:cfRule type="containsText" dxfId="2953" priority="5" operator="containsText" text="YES"/>
    <x:cfRule type="containsText" dxfId="2954" priority="6" operator="containsText" text="CENTRAL"/>
    <x:cfRule type="containsText" dxfId="2955" priority="7" operator="containsText" text="MODELLED"/>
    <x:cfRule type="containsText" dxfId="2956" priority="8" operator="containsText" text="CONDITIONAL"/>
    <x:cfRule type="containsText" dxfId="2957" priority="9" operator="containsText" text="SENSITIVITY"/>
    <x:cfRule type="containsText" dxfId="2958" priority="10" operator="containsText" text="MEDIUM"/>
    <x:cfRule type="containsText" dxfId="2959" priority="11" operator="containsText" text="LOW"/>
    <x:cfRule type="containsText" dxfId="2960" priority="12" operator="containsText" text="WATCH"/>
    <x:cfRule type="containsText" dxfId="2961" priority="13" operator="containsText" text="EXCLUDED"/>
    <x:cfRule type="containsText" dxfId="2962" priority="14" operator="containsText" text="NO"/>
    <x:cfRule type="containsText" dxfId="2963" priority="15" operator="containsText" text="HOLD"/>
    <x:cfRule type="containsText" dxfId="2964" priority="16" operator="containsText" text="FAIL"/>
    <x:cfRule type="containsText" dxfId="2965" priority="17" operator="containsText" text="BLOCKED"/>
  </x:conditionalFormatting>
  <x:conditionalFormatting sqref="F31:H38">
    <x:cfRule type="containsText" dxfId="2966" priority="18" operator="containsText" text="PASS"/>
    <x:cfRule type="containsText" dxfId="2967" priority="19" operator="containsText" text="READY"/>
    <x:cfRule type="containsText" dxfId="2968" priority="20" operator="containsText" text="CONFIRMED"/>
    <x:cfRule type="containsText" dxfId="2969" priority="21" operator="containsText" text="OFFICIAL"/>
    <x:cfRule type="containsText" dxfId="2970" priority="22" operator="containsText" text="YES"/>
    <x:cfRule type="containsText" dxfId="2971" priority="23" operator="containsText" text="CENTRAL"/>
    <x:cfRule type="containsText" dxfId="2972" priority="24" operator="containsText" text="MODELLED"/>
    <x:cfRule type="containsText" dxfId="2973" priority="25" operator="containsText" text="CONDITIONAL"/>
    <x:cfRule type="containsText" dxfId="2974" priority="26" operator="containsText" text="SENSITIVITY"/>
    <x:cfRule type="containsText" dxfId="2975" priority="27" operator="containsText" text="MEDIUM"/>
    <x:cfRule type="containsText" dxfId="2976" priority="28" operator="containsText" text="LOW"/>
    <x:cfRule type="containsText" dxfId="2977" priority="29" operator="containsText" text="WATCH"/>
    <x:cfRule type="containsText" dxfId="2978" priority="30" operator="containsText" text="EXCLUDED"/>
    <x:cfRule type="containsText" dxfId="2979" priority="31" operator="containsText" text="NO"/>
    <x:cfRule type="containsText" dxfId="2980" priority="32" operator="containsText" text="HOLD"/>
    <x:cfRule type="containsText" dxfId="2981" priority="33" operator="containsText" text="FAIL"/>
    <x:cfRule type="containsText" dxfId="2982" priority="34" operator="containsText" text="BLOCKED"/>
  </x:conditionalFormatting>
  <x:conditionalFormatting sqref="M31:M38">
    <x:cfRule type="containsText" dxfId="2983" priority="35" operator="containsText" text="PASS"/>
    <x:cfRule type="containsText" dxfId="2984" priority="36" operator="containsText" text="READY"/>
    <x:cfRule type="containsText" dxfId="2985" priority="37" operator="containsText" text="CONFIRMED"/>
    <x:cfRule type="containsText" dxfId="2986" priority="38" operator="containsText" text="OFFICIAL"/>
    <x:cfRule type="containsText" dxfId="2987" priority="39" operator="containsText" text="YES"/>
    <x:cfRule type="containsText" dxfId="2988" priority="40" operator="containsText" text="CENTRAL"/>
    <x:cfRule type="containsText" dxfId="2989" priority="41" operator="containsText" text="MODELLED"/>
    <x:cfRule type="containsText" dxfId="2990" priority="42" operator="containsText" text="CONDITIONAL"/>
    <x:cfRule type="containsText" dxfId="2991" priority="43" operator="containsText" text="SENSITIVITY"/>
    <x:cfRule type="containsText" dxfId="2992" priority="44" operator="containsText" text="MEDIUM"/>
    <x:cfRule type="containsText" dxfId="2993" priority="45" operator="containsText" text="LOW"/>
    <x:cfRule type="containsText" dxfId="2994" priority="46" operator="containsText" text="WATCH"/>
    <x:cfRule type="containsText" dxfId="2995" priority="47" operator="containsText" text="EXCLUDED"/>
    <x:cfRule type="containsText" dxfId="2996" priority="48" operator="containsText" text="NO"/>
    <x:cfRule type="containsText" dxfId="2997" priority="49" operator="containsText" text="HOLD"/>
    <x:cfRule type="containsText" dxfId="2998" priority="50" operator="containsText" text="FAIL"/>
    <x:cfRule type="containsText" dxfId="2999" priority="51" operator="containsText" text="BLOCKED"/>
  </x:conditionalFormatting>
  <x:pageMargins left="0.7" right="0.7" top="0.75" bottom="0.75" header="0.3" footer="0.3"/>
</x:worksheet>
</file>

<file path=xl/worksheets/sheet11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4" hidden="0" customWidth="1"/>
    <x:col min="3" max="3" width="18" hidden="0" customWidth="1"/>
    <x:col min="4" max="4" width="18" hidden="0" customWidth="1"/>
    <x:col min="5" max="5" width="18" hidden="0" customWidth="1"/>
    <x:col min="6" max="6" width="20" hidden="0" customWidth="1"/>
    <x:col min="7" max="7" width="18" hidden="0" customWidth="1"/>
    <x:col min="8" max="8" width="28" hidden="0" customWidth="1"/>
    <x:col min="9" max="9" width="31" hidden="0" customWidth="1"/>
    <x:col min="10" max="10" width="33" hidden="0" customWidth="1"/>
    <x:col min="11" max="11" width="41" hidden="0" customWidth="1"/>
    <x:col min="12" max="12" width="30" hidden="0" customWidth="1"/>
    <x:col min="13" max="13" width="29" hidden="0" customWidth="1"/>
    <x:col min="14" max="14" width="24" hidden="0" customWidth="1"/>
  </x:cols>
  <x:sheetData>
    <x:row r="1" ht="30" customHeight="1">
      <x:c r="A1" s="571" t="str">
        <x:v>114｜全供应链降本系数与电池净单位成本走廊</x:v>
      </x:c>
      <x:c r="B1" s="571"/>
      <x:c r="C1" s="571"/>
      <x:c r="D1" s="571"/>
      <x:c r="E1" s="571"/>
      <x:c r="F1" s="571"/>
      <x:c r="G1" s="571"/>
      <x:c r="H1" s="571"/>
      <x:c r="I1" s="571"/>
      <x:c r="J1" s="571"/>
      <x:c r="K1" s="571"/>
      <x:c r="L1" s="571"/>
      <x:c r="M1" s="571"/>
      <x:c r="N1" s="571"/>
    </x:row>
    <x:row r="2" ht="22" customHeight="1">
      <x:c r="A2" s="574" t="str">
        <x:v>保守/中心/进取三情景；电池只走净元/kWh，其他模块只乘可比核心BOM</x:v>
      </x:c>
      <x:c r="B2" s="574"/>
      <x:c r="C2" s="574"/>
      <x:c r="D2" s="574"/>
      <x:c r="E2" s="574"/>
      <x:c r="F2" s="574"/>
      <x:c r="G2" s="574"/>
      <x:c r="H2" s="574"/>
      <x:c r="I2" s="574"/>
      <x:c r="J2" s="574"/>
      <x:c r="K2" s="574"/>
      <x:c r="L2" s="574"/>
      <x:c r="M2" s="574"/>
      <x:c r="N2" s="574"/>
    </x:row>
    <x:row r="3" ht="94" customHeight="1">
      <x:c r="A3" s="578" t="str">
        <x:v>非电池系数来自行业年降、公司财务与国产化量级，并按车型定点未知下调；电池的化学体系、充电规格、供应商与行业价格变化已合并为一个净单位成本，不再分别叠加。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  <x:c r="N3" s="578"/>
    </x:row>
    <x:row r="5" ht="56" customHeight="1">
      <x:c r="A5" s="583" t="str">
        <x:v>rate_id</x:v>
      </x:c>
      <x:c r="B5" s="583" t="str">
        <x:v>模块</x:v>
      </x:c>
      <x:c r="C5" s="583" t="str">
        <x:v>保守降本率</x:v>
      </x:c>
      <x:c r="D5" s="583" t="str">
        <x:v>中心降本率</x:v>
      </x:c>
      <x:c r="E5" s="583" t="str">
        <x:v>进取降本率</x:v>
      </x:c>
      <x:c r="F5" s="583" t="str">
        <x:v>中心可用</x:v>
      </x:c>
      <x:c r="G5" s="583" t="str">
        <x:v>证据等级</x:v>
      </x:c>
      <x:c r="H5" s="583" t="str">
        <x:v>适用基数</x:v>
      </x:c>
      <x:c r="I5" s="583" t="str">
        <x:v>明确排除</x:v>
      </x:c>
      <x:c r="J5" s="583" t="str">
        <x:v>主要锚</x:v>
      </x:c>
      <x:c r="K5" s="583" t="str">
        <x:v>解释</x:v>
      </x:c>
      <x:c r="L5" s="583" t="str">
        <x:v>double_count_key</x:v>
      </x:c>
      <x:c r="M5" s="583" t="str">
        <x:v>更新触发</x:v>
      </x:c>
      <x:c r="N5" s="583" t="str">
        <x:v>状态</x:v>
      </x:c>
    </x:row>
    <x:row r="6" ht="60" customHeight="1">
      <x:c r="A6" s="19" t="str">
        <x:v>RATE-BAT</x:v>
      </x:c>
      <x:c r="B6" s="19" t="str">
        <x:v>电池</x:v>
      </x:c>
      <x:c r="C6" s="23" t="str"/>
      <x:c r="D6" s="23" t="str"/>
      <x:c r="E6" s="23" t="str"/>
      <x:c r="F6" s="19" t="str">
        <x:v>YES_NET_RATE</x:v>
      </x:c>
      <x:c r="G6" s="19" t="str">
        <x:v>MEDIUM_HIGH</x:v>
      </x:c>
      <x:c r="H6" s="19" t="str">
        <x:v>见18—20行</x:v>
      </x:c>
      <x:c r="I6" s="19" t="str">
        <x:v>另加化学/倍率/供应商折扣</x:v>
      </x:c>
      <x:c r="J6" s="19" t="str">
        <x:v>BNEF+MIIT+中创新航年报</x:v>
      </x:c>
      <x:c r="K6" s="19" t="str">
        <x:v>使用净元/kWh走廊</x:v>
      </x:c>
      <x:c r="L6" s="19" t="str">
        <x:v>PACK_NET_RATE_ONLY</x:v>
      </x:c>
      <x:c r="M6" s="19" t="str">
        <x:v>采购价/倍率/电芯型号</x:v>
      </x:c>
      <x:c r="N6" s="19" t="str">
        <x:v>READY</x:v>
      </x:c>
    </x:row>
    <x:row r="7" ht="60" customHeight="1">
      <x:c r="A7" s="584" t="str">
        <x:v>RATE-ED</x:v>
      </x:c>
      <x:c r="B7" s="584" t="str">
        <x:v>电驱</x:v>
      </x:c>
      <x:c r="C7" s="588" t="n">
        <x:v>0.03</x:v>
      </x:c>
      <x:c r="D7" s="588" t="n">
        <x:v>0.08</x:v>
      </x:c>
      <x:c r="E7" s="588" t="n">
        <x:v>0.15</x:v>
      </x:c>
      <x:c r="F7" s="584" t="str">
        <x:v>YES</x:v>
      </x:c>
      <x:c r="G7" s="584" t="str">
        <x:v>MEDIUM</x:v>
      </x:c>
      <x:c r="H7" s="584" t="str">
        <x:v>同规格电驱核心池</x:v>
      </x:c>
      <x:c r="I7" s="584" t="str">
        <x:v>电机数/功率/SiC差额</x:v>
      </x:c>
      <x:c r="J7" s="584" t="str">
        <x:v>汇川联合动力问询</x:v>
      </x:c>
      <x:c r="K7" s="584" t="str">
        <x:v>中心仅取公开降幅的一部分</x:v>
      </x:c>
      <x:c r="L7" s="584" t="str">
        <x:v>EDRIVE_COMPARABLE</x:v>
      </x:c>
      <x:c r="M7" s="584" t="str">
        <x:v>总成供应商/铭牌</x:v>
      </x:c>
      <x:c r="N7" s="584" t="str">
        <x:v>CENTRAL</x:v>
      </x:c>
    </x:row>
    <x:row r="8" ht="60" customHeight="1">
      <x:c r="A8" s="19" t="str">
        <x:v>RATE-CH</x:v>
      </x:c>
      <x:c r="B8" s="19" t="str">
        <x:v>底盘</x:v>
      </x:c>
      <x:c r="C8" s="23" t="n">
        <x:v>0.02</x:v>
      </x:c>
      <x:c r="D8" s="23" t="n">
        <x:v>0.05</x:v>
      </x:c>
      <x:c r="E8" s="23" t="n">
        <x:v>0.09</x:v>
      </x:c>
      <x:c r="F8" s="19" t="str">
        <x:v>YES</x:v>
      </x:c>
      <x:c r="G8" s="19" t="str">
        <x:v>MEDIUM_LOW</x:v>
      </x:c>
      <x:c r="H8" s="19" t="str">
        <x:v>共有同硬件池</x:v>
      </x:c>
      <x:c r="I8" s="19" t="str">
        <x:v>空悬/CDC/Brembo配置差</x:v>
      </x:c>
      <x:c r="J8" s="19" t="str">
        <x:v>瑞玛问询+车百智库</x:v>
      </x:c>
      <x:c r="K8" s="19" t="str">
        <x:v>不重套空悬国产化25%</x:v>
      </x:c>
      <x:c r="L8" s="19" t="str">
        <x:v>CHASSIS_COMPARABLE</x:v>
      </x:c>
      <x:c r="M8" s="19" t="str">
        <x:v>定点/拆车</x:v>
      </x:c>
      <x:c r="N8" s="19" t="str">
        <x:v>CENTRAL</x:v>
      </x:c>
    </x:row>
    <x:row r="9" ht="60" customHeight="1">
      <x:c r="A9" s="584" t="str">
        <x:v>RATE-TH</x:v>
      </x:c>
      <x:c r="B9" s="584" t="str">
        <x:v>热管理</x:v>
      </x:c>
      <x:c r="C9" s="588" t="n">
        <x:v>0.02</x:v>
      </x:c>
      <x:c r="D9" s="588" t="n">
        <x:v>0.05</x:v>
      </x:c>
      <x:c r="E9" s="588" t="n">
        <x:v>0.1</x:v>
      </x:c>
      <x:c r="F9" s="584" t="str">
        <x:v>YES</x:v>
      </x:c>
      <x:c r="G9" s="584" t="str">
        <x:v>MEDIUM</x:v>
      </x:c>
      <x:c r="H9" s="584" t="str">
        <x:v>可比热管理子BOM</x:v>
      </x:c>
      <x:c r="I9" s="584" t="str">
        <x:v>增程新增回路</x:v>
      </x:c>
      <x:c r="J9" s="584" t="str">
        <x:v>拓普/三花年报</x:v>
      </x:c>
      <x:c r="K9" s="584" t="str">
        <x:v>混合公司价值量只作量级</x:v>
      </x:c>
      <x:c r="L9" s="584" t="str">
        <x:v>THERMAL_COMPARABLE</x:v>
      </x:c>
      <x:c r="M9" s="584" t="str">
        <x:v>架构/定点</x:v>
      </x:c>
      <x:c r="N9" s="584" t="str">
        <x:v>CENTRAL</x:v>
      </x:c>
    </x:row>
    <x:row r="10" ht="60" customHeight="1">
      <x:c r="A10" s="19" t="str">
        <x:v>RATE-BD</x:v>
      </x:c>
      <x:c r="B10" s="19" t="str">
        <x:v>车身</x:v>
      </x:c>
      <x:c r="C10" s="23" t="n">
        <x:v>0</x:v>
      </x:c>
      <x:c r="D10" s="23" t="n">
        <x:v>0.03</x:v>
      </x:c>
      <x:c r="E10" s="23" t="n">
        <x:v>0.06</x:v>
      </x:c>
      <x:c r="F10" s="19" t="str">
        <x:v>YES_SENSITIVITY</x:v>
      </x:c>
      <x:c r="G10" s="19" t="str">
        <x:v>MEDIUM_LOW</x:v>
      </x:c>
      <x:c r="H10" s="19" t="str">
        <x:v>可比白车身制造池</x:v>
      </x:c>
      <x:c r="I10" s="19" t="str">
        <x:v>尺寸/材料/升顶</x:v>
      </x:c>
      <x:c r="J10" s="19" t="str">
        <x:v>广东鸿图年报</x:v>
      </x:c>
      <x:c r="K10" s="19" t="str">
        <x:v>材料涨价可能抵消</x:v>
      </x:c>
      <x:c r="L10" s="19" t="str">
        <x:v>BODY_COMPARABLE</x:v>
      </x:c>
      <x:c r="M10" s="19" t="str">
        <x:v>工艺/材料清单</x:v>
      </x:c>
      <x:c r="N10" s="19" t="str">
        <x:v>CENTRAL_LOW_CONF</x:v>
      </x:c>
    </x:row>
    <x:row r="11" ht="60" customHeight="1">
      <x:c r="A11" s="584" t="str">
        <x:v>RATE-ST</x:v>
      </x:c>
      <x:c r="B11" s="584" t="str">
        <x:v>座椅内饰</x:v>
      </x:c>
      <x:c r="C11" s="588" t="n">
        <x:v>0.03</x:v>
      </x:c>
      <x:c r="D11" s="588" t="n">
        <x:v>0.05</x:v>
      </x:c>
      <x:c r="E11" s="588" t="n">
        <x:v>0.1</x:v>
      </x:c>
      <x:c r="F11" s="584" t="str">
        <x:v>YES</x:v>
      </x:c>
      <x:c r="G11" s="584" t="str">
        <x:v>MEDIUM</x:v>
      </x:c>
      <x:c r="H11" s="584" t="str">
        <x:v>同功能可比池</x:v>
      </x:c>
      <x:c r="I11" s="584" t="str">
        <x:v>座位数/功能/面料差</x:v>
      </x:c>
      <x:c r="J11" s="584" t="str">
        <x:v>瑞玛问询</x:v>
      </x:c>
      <x:c r="K11" s="584" t="str">
        <x:v>配置删减另走桥</x:v>
      </x:c>
      <x:c r="L11" s="584" t="str">
        <x:v>SEAT_TRIM_COMPARABLE</x:v>
      </x:c>
      <x:c r="M11" s="584" t="str">
        <x:v>座椅定点/配置表</x:v>
      </x:c>
      <x:c r="N11" s="584" t="str">
        <x:v>CENTRAL</x:v>
      </x:c>
    </x:row>
    <x:row r="12" ht="60" customHeight="1">
      <x:c r="A12" s="19" t="str">
        <x:v>RATE-CP</x:v>
      </x:c>
      <x:c r="B12" s="19" t="str">
        <x:v>座舱电子</x:v>
      </x:c>
      <x:c r="C12" s="23" t="n">
        <x:v>0.04</x:v>
      </x:c>
      <x:c r="D12" s="23" t="n">
        <x:v>0.08</x:v>
      </x:c>
      <x:c r="E12" s="23" t="n">
        <x:v>0.12</x:v>
      </x:c>
      <x:c r="F12" s="19" t="str">
        <x:v>YES</x:v>
      </x:c>
      <x:c r="G12" s="19" t="str">
        <x:v>MEDIUM</x:v>
      </x:c>
      <x:c r="H12" s="19" t="str">
        <x:v>同屏/芯片/传感器核心池</x:v>
      </x:c>
      <x:c r="I12" s="19" t="str">
        <x:v>屏幕/SoC/音响/传感器差</x:v>
      </x:c>
      <x:c r="J12" s="19" t="str">
        <x:v>德赛西威年报</x:v>
      </x:c>
      <x:c r="K12" s="19" t="str">
        <x:v>产品组合混杂，12%仅压力尾</x:v>
      </x:c>
      <x:c r="L12" s="19" t="str">
        <x:v>COCKPIT_EE_COMPARABLE</x:v>
      </x:c>
      <x:c r="M12" s="19" t="str">
        <x:v>拆车/定点</x:v>
      </x:c>
      <x:c r="N12" s="19" t="str">
        <x:v>CENTRAL</x:v>
      </x:c>
    </x:row>
    <x:row r="13" ht="60" customHeight="1">
      <x:c r="A13" s="584" t="str">
        <x:v>RATE-RE</x:v>
      </x:c>
      <x:c r="B13" s="584" t="str">
        <x:v>增程器供应商</x:v>
      </x:c>
      <x:c r="C13" s="588" t="n">
        <x:v>0</x:v>
      </x:c>
      <x:c r="D13" s="588" t="n">
        <x:v>0</x:v>
      </x:c>
      <x:c r="E13" s="588" t="n">
        <x:v>0</x:v>
      </x:c>
      <x:c r="F13" s="584" t="str">
        <x:v>NO</x:v>
      </x:c>
      <x:c r="G13" s="584" t="str">
        <x:v>MEDIUM_HIGH</x:v>
      </x:c>
      <x:c r="H13" s="584" t="str">
        <x:v>无</x:v>
      </x:c>
      <x:c r="I13" s="584" t="str">
        <x:v>完整增程系统成本</x:v>
      </x:c>
      <x:c r="J13" s="584" t="str">
        <x:v>东安动力联合定制信息</x:v>
      </x:c>
      <x:c r="K13" s="584" t="str">
        <x:v>供应确认不等于节省</x:v>
      </x:c>
      <x:c r="L13" s="584" t="str">
        <x:v>RANGE_EXTENDER_EXCLUDED</x:v>
      </x:c>
      <x:c r="M13" s="584" t="str">
        <x:v>单车价值量</x:v>
      </x:c>
      <x:c r="N13" s="584" t="str">
        <x:v>EXCLUDED</x:v>
      </x:c>
    </x:row>
    <x:row r="14" ht="60" customHeight="1">
      <x:c r="A14" s="19" t="str">
        <x:v>RATE-BR</x:v>
      </x:c>
      <x:c r="B14" s="19" t="str">
        <x:v>博世制动供应商</x:v>
      </x:c>
      <x:c r="C14" s="23" t="n">
        <x:v>0</x:v>
      </x:c>
      <x:c r="D14" s="23" t="n">
        <x:v>0</x:v>
      </x:c>
      <x:c r="E14" s="23" t="n">
        <x:v>0</x:v>
      </x:c>
      <x:c r="F14" s="19" t="str">
        <x:v>NO</x:v>
      </x:c>
      <x:c r="G14" s="19" t="str">
        <x:v>HIGH_N90</x:v>
      </x:c>
      <x:c r="H14" s="19" t="str">
        <x:v>无</x:v>
      </x:c>
      <x:c r="I14" s="19" t="str">
        <x:v>ESP/DPB硬件配置差</x:v>
      </x:c>
      <x:c r="J14" s="19" t="str">
        <x:v>小米N90官方页</x:v>
      </x:c>
      <x:c r="K14" s="19" t="str">
        <x:v>成熟方案不自动低价</x:v>
      </x:c>
      <x:c r="L14" s="19" t="str">
        <x:v>BOSCH_SUPPLIER_EXCLUDED</x:v>
      </x:c>
      <x:c r="M14" s="19" t="str">
        <x:v>采购披露</x:v>
      </x:c>
      <x:c r="N14" s="19" t="str">
        <x:v>EXCLUDED</x:v>
      </x:c>
    </x:row>
    <x:row r="17" ht="24" customHeight="1">
      <x:c r="A17" s="587" t="str">
        <x:v>电池净单位成本：旧工程参考→澎程候选（化学体系/充电规格/供应商/市场变化合并）</x:v>
      </x:c>
      <x:c r="B17" s="587"/>
      <x:c r="C17" s="587"/>
      <x:c r="D17" s="587"/>
      <x:c r="E17" s="587"/>
      <x:c r="F17" s="587"/>
      <x:c r="G17" s="587"/>
      <x:c r="H17" s="587"/>
      <x:c r="I17" s="587"/>
      <x:c r="J17" s="587"/>
      <x:c r="K17" s="587"/>
      <x:c r="L17" s="587"/>
      <x:c r="M17" s="587"/>
      <x:c r="N17" s="587"/>
    </x:row>
    <x:row r="18" ht="54" customHeight="1">
      <x:c r="A18" s="583" t="str">
        <x:v>battery_case</x:v>
      </x:c>
      <x:c r="B18" s="583" t="str">
        <x:v>适用车型</x:v>
      </x:c>
      <x:c r="C18" s="583" t="str">
        <x:v>容量kWh</x:v>
      </x:c>
      <x:c r="D18" s="583" t="str">
        <x:v>旧参考元/kWh</x:v>
      </x:c>
      <x:c r="E18" s="583" t="str">
        <x:v>保守新元/kWh</x:v>
      </x:c>
      <x:c r="F18" s="583" t="str">
        <x:v>保守降本率</x:v>
      </x:c>
      <x:c r="G18" s="583" t="str">
        <x:v>中心新元/kWh</x:v>
      </x:c>
      <x:c r="H18" s="583" t="str">
        <x:v>中心降本率</x:v>
      </x:c>
      <x:c r="I18" s="583" t="str">
        <x:v>进取新元/kWh</x:v>
      </x:c>
      <x:c r="J18" s="583" t="str">
        <x:v>进取降本率</x:v>
      </x:c>
      <x:c r="K18" s="583" t="str">
        <x:v>中心新整包</x:v>
      </x:c>
      <x:c r="L18" s="583" t="str">
        <x:v>中心节省</x:v>
      </x:c>
      <x:c r="M18" s="583" t="str">
        <x:v>防重键</x:v>
      </x:c>
      <x:c r="N18" s="583" t="str">
        <x:v>解释</x:v>
      </x:c>
    </x:row>
    <x:row r="19" ht="58" customHeight="1">
      <x:c r="A19" s="19" t="str">
        <x:v>BAT-LFP52</x:v>
      </x:c>
      <x:c r="B19" s="19" t="str">
        <x:v>N70标准版工程候选</x:v>
      </x:c>
      <x:c r="C19" s="19" t="n">
        <x:v>52</x:v>
      </x:c>
      <x:c r="D19" s="106" t="n">
        <x:v>580</x:v>
      </x:c>
      <x:c r="E19" s="106" t="n">
        <x:v>560</x:v>
      </x:c>
      <x:c r="F19" s="23" t="n">
        <x:f>(D19-E19)/D19</x:f>
        <x:v>0.034482758620689655</x:v>
      </x:c>
      <x:c r="G19" s="106" t="n">
        <x:v>520</x:v>
      </x:c>
      <x:c r="H19" s="106" t="n">
        <x:f>(D19-G19)/D19</x:f>
        <x:v>0.10344827586206896</x:v>
      </x:c>
      <x:c r="I19" s="106" t="n">
        <x:v>480</x:v>
      </x:c>
      <x:c r="J19" s="23" t="n">
        <x:f>(D19-I19)/D19</x:f>
        <x:v>0.1724137931034483</x:v>
      </x:c>
      <x:c r="K19" s="460" t="n">
        <x:f>C19*G19</x:f>
        <x:v>27040</x:v>
      </x:c>
      <x:c r="L19" s="460" t="n">
        <x:f>C19*(D19-G19)</x:f>
        <x:v>3120</x:v>
      </x:c>
      <x:c r="M19" s="19" t="str">
        <x:v>PACK_NET_LFP52</x:v>
      </x:c>
      <x:c r="N19" s="19" t="str">
        <x:v>欣旺达LFP；净率已吸收行业与供应体系变化</x:v>
      </x:c>
    </x:row>
    <x:row r="20" ht="58" customHeight="1">
      <x:c r="A20" s="584" t="str">
        <x:v>BAT-NCM76-N70</x:v>
      </x:c>
      <x:c r="B20" s="584" t="str">
        <x:v>N70 Max</x:v>
      </x:c>
      <x:c r="C20" s="584" t="n">
        <x:v>76</x:v>
      </x:c>
      <x:c r="D20" s="590" t="n">
        <x:v>800</x:v>
      </x:c>
      <x:c r="E20" s="590" t="n">
        <x:v>760</x:v>
      </x:c>
      <x:c r="F20" s="588" t="n">
        <x:f>(D20-E20)/D20</x:f>
        <x:v>0.05</x:v>
      </x:c>
      <x:c r="G20" s="590" t="n">
        <x:v>700</x:v>
      </x:c>
      <x:c r="H20" s="590" t="n">
        <x:f>(D20-G20)/D20</x:f>
        <x:v>0.125</x:v>
      </x:c>
      <x:c r="I20" s="590" t="n">
        <x:v>640</x:v>
      </x:c>
      <x:c r="J20" s="588" t="n">
        <x:f>(D20-I20)/D20</x:f>
        <x:v>0.2</x:v>
      </x:c>
      <x:c r="K20" s="589" t="n">
        <x:f>C20*G20</x:f>
        <x:v>53200</x:v>
      </x:c>
      <x:c r="L20" s="589" t="n">
        <x:f>C20*(D20-G20)</x:f>
        <x:v>7600</x:v>
      </x:c>
      <x:c r="M20" s="584" t="str">
        <x:v>PACK_NET_NCM76</x:v>
      </x:c>
      <x:c r="N20" s="584" t="str">
        <x:v>中创新航NCM；不再另加供应商/倍率折扣</x:v>
      </x:c>
    </x:row>
    <x:row r="21" ht="58" customHeight="1">
      <x:c r="A21" s="19" t="str">
        <x:v>BAT-NCM76-N90</x:v>
      </x:c>
      <x:c r="B21" s="19" t="str">
        <x:v>N90固定顶家族</x:v>
      </x:c>
      <x:c r="C21" s="19" t="n">
        <x:v>76</x:v>
      </x:c>
      <x:c r="D21" s="106" t="n">
        <x:v>800</x:v>
      </x:c>
      <x:c r="E21" s="106" t="n">
        <x:v>760</x:v>
      </x:c>
      <x:c r="F21" s="23" t="n">
        <x:f>(D21-E21)/D21</x:f>
        <x:v>0.05</x:v>
      </x:c>
      <x:c r="G21" s="106" t="n">
        <x:v>700</x:v>
      </x:c>
      <x:c r="H21" s="106" t="n">
        <x:f>(D21-G21)/D21</x:f>
        <x:v>0.125</x:v>
      </x:c>
      <x:c r="I21" s="106" t="n">
        <x:v>640</x:v>
      </x:c>
      <x:c r="J21" s="23" t="n">
        <x:f>(D21-I21)/D21</x:f>
        <x:v>0.2</x:v>
      </x:c>
      <x:c r="K21" s="460" t="n">
        <x:f>C21*G21</x:f>
        <x:v>53200</x:v>
      </x:c>
      <x:c r="L21" s="460" t="n">
        <x:f>C21*(D21-G21)</x:f>
        <x:v>7600</x:v>
      </x:c>
      <x:c r="M21" s="19" t="str">
        <x:v>PACK_NET_NCM76</x:v>
      </x:c>
      <x:c r="N21" s="19" t="str">
        <x:v>与N70 Max共享净率；平台摊销不再加第二次</x:v>
      </x:c>
    </x:row>
    <x:row r="24" ht="24" customHeight="1">
      <x:c r="A24" s="587" t="str">
        <x:v>情景权重与现金价格传导</x:v>
      </x:c>
      <x:c r="B24" s="587"/>
      <x:c r="C24" s="587"/>
      <x:c r="D24" s="587"/>
      <x:c r="E24" s="587"/>
      <x:c r="F24" s="587"/>
      <x:c r="G24" s="587"/>
      <x:c r="H24" s="587"/>
      <x:c r="I24" s="587"/>
      <x:c r="J24" s="587"/>
      <x:c r="K24" s="587"/>
      <x:c r="L24" s="587"/>
      <x:c r="M24" s="587"/>
      <x:c r="N24" s="587"/>
    </x:row>
    <x:row r="25" ht="48" customHeight="1">
      <x:c r="A25" s="583" t="str">
        <x:v>情景</x:v>
      </x:c>
      <x:c r="B25" s="583" t="str">
        <x:v>决策权重</x:v>
      </x:c>
      <x:c r="C25" s="583" t="str">
        <x:v>现金价传导率</x:v>
      </x:c>
      <x:c r="D25" s="583" t="str">
        <x:v>κ</x:v>
      </x:c>
      <x:c r="E25" s="583" t="str">
        <x:v>VAT</x:v>
      </x:c>
      <x:c r="F25" s="583" t="str">
        <x:v>成本到含税价格上限倍数</x:v>
      </x:c>
      <x:c r="G25" s="583" t="str">
        <x:v>解释</x:v>
      </x:c>
      <x:c r="H25" s="583" t="str">
        <x:v>状态</x:v>
      </x:c>
    </x:row>
    <x:row r="26" ht="50" customHeight="1">
      <x:c r="A26" s="19" t="str">
        <x:v>保守</x:v>
      </x:c>
      <x:c r="B26" s="23" t="n">
        <x:v>0.35</x:v>
      </x:c>
      <x:c r="C26" s="23" t="n">
        <x:v>0.25</x:v>
      </x:c>
      <x:c r="D26" s="420" t="n">
        <x:v>1.0694836789414475</x:v>
      </x:c>
      <x:c r="E26" s="420" t="n">
        <x:v>0.13</x:v>
      </x:c>
      <x:c r="F26" s="420" t="n">
        <x:f>D26*(1+E26)</x:f>
        <x:v>1.2085165572038354</x:v>
      </x:c>
      <x:c r="G26" s="19" t="str">
        <x:v>成本节省大多留作毛利/风险缓冲</x:v>
      </x:c>
      <x:c r="H26" s="19" t="str">
        <x:v>SENSITIVITY</x:v>
      </x:c>
    </x:row>
    <x:row r="27" ht="50" customHeight="1">
      <x:c r="A27" s="584" t="str">
        <x:v>中心</x:v>
      </x:c>
      <x:c r="B27" s="588" t="n">
        <x:v>0.5</x:v>
      </x:c>
      <x:c r="C27" s="588" t="n">
        <x:v>0.5</x:v>
      </x:c>
      <x:c r="D27" s="591" t="n">
        <x:v>1.0694836789414475</x:v>
      </x:c>
      <x:c r="E27" s="591" t="n">
        <x:v>0.13</x:v>
      </x:c>
      <x:c r="F27" s="591" t="n">
        <x:f>D27*(1+E27)</x:f>
        <x:v>1.2085165572038354</x:v>
      </x:c>
      <x:c r="G27" s="584" t="str">
        <x:v>一半传给现金正式价</x:v>
      </x:c>
      <x:c r="H27" s="584" t="str">
        <x:v>CENTRAL</x:v>
      </x:c>
    </x:row>
    <x:row r="28" ht="50" customHeight="1">
      <x:c r="A28" s="19" t="str">
        <x:v>进取</x:v>
      </x:c>
      <x:c r="B28" s="23" t="n">
        <x:v>0.15</x:v>
      </x:c>
      <x:c r="C28" s="23" t="n">
        <x:v>0.75</x:v>
      </x:c>
      <x:c r="D28" s="420" t="n">
        <x:v>1.0694836789414475</x:v>
      </x:c>
      <x:c r="E28" s="420" t="n">
        <x:v>0.13</x:v>
      </x:c>
      <x:c r="F28" s="420" t="n">
        <x:f>D28*(1+E28)</x:f>
        <x:v>1.2085165572038354</x:v>
      </x:c>
      <x:c r="G28" s="19" t="str">
        <x:v>强竞争下大部分传导</x:v>
      </x:c>
      <x:c r="H28" s="19" t="str">
        <x:v>STRONG_TAIL</x:v>
      </x:c>
    </x:row>
  </x:sheetData>
  <x:mergeCells>
    <x:mergeCell ref="A1:N1"/>
    <x:mergeCell ref="A2:N2"/>
    <x:mergeCell ref="A3:N3"/>
    <x:mergeCell ref="A17:N17"/>
    <x:mergeCell ref="A24:N24"/>
  </x:mergeCells>
  <x:conditionalFormatting sqref="F6:G14">
    <x:cfRule type="containsText" dxfId="3000" priority="1" operator="containsText" text="PASS"/>
    <x:cfRule type="containsText" dxfId="3001" priority="2" operator="containsText" text="READY"/>
    <x:cfRule type="containsText" dxfId="3002" priority="3" operator="containsText" text="CONFIRMED"/>
    <x:cfRule type="containsText" dxfId="3003" priority="4" operator="containsText" text="OFFICIAL"/>
    <x:cfRule type="containsText" dxfId="3004" priority="5" operator="containsText" text="YES"/>
    <x:cfRule type="containsText" dxfId="3005" priority="6" operator="containsText" text="CENTRAL"/>
    <x:cfRule type="containsText" dxfId="3006" priority="7" operator="containsText" text="MODELLED"/>
    <x:cfRule type="containsText" dxfId="3007" priority="8" operator="containsText" text="CONDITIONAL"/>
    <x:cfRule type="containsText" dxfId="3008" priority="9" operator="containsText" text="SENSITIVITY"/>
    <x:cfRule type="containsText" dxfId="3009" priority="10" operator="containsText" text="MEDIUM"/>
    <x:cfRule type="containsText" dxfId="3010" priority="11" operator="containsText" text="LOW"/>
    <x:cfRule type="containsText" dxfId="3011" priority="12" operator="containsText" text="WATCH"/>
    <x:cfRule type="containsText" dxfId="3012" priority="13" operator="containsText" text="EXCLUDED"/>
    <x:cfRule type="containsText" dxfId="3013" priority="14" operator="containsText" text="NO"/>
    <x:cfRule type="containsText" dxfId="3014" priority="15" operator="containsText" text="HOLD"/>
    <x:cfRule type="containsText" dxfId="3015" priority="16" operator="containsText" text="FAIL"/>
    <x:cfRule type="containsText" dxfId="3016" priority="17" operator="containsText" text="BLOCKED"/>
  </x:conditionalFormatting>
  <x:conditionalFormatting sqref="N6:N14">
    <x:cfRule type="containsText" dxfId="3017" priority="18" operator="containsText" text="PASS"/>
    <x:cfRule type="containsText" dxfId="3018" priority="19" operator="containsText" text="READY"/>
    <x:cfRule type="containsText" dxfId="3019" priority="20" operator="containsText" text="CONFIRMED"/>
    <x:cfRule type="containsText" dxfId="3020" priority="21" operator="containsText" text="OFFICIAL"/>
    <x:cfRule type="containsText" dxfId="3021" priority="22" operator="containsText" text="YES"/>
    <x:cfRule type="containsText" dxfId="3022" priority="23" operator="containsText" text="CENTRAL"/>
    <x:cfRule type="containsText" dxfId="3023" priority="24" operator="containsText" text="MODELLED"/>
    <x:cfRule type="containsText" dxfId="3024" priority="25" operator="containsText" text="CONDITIONAL"/>
    <x:cfRule type="containsText" dxfId="3025" priority="26" operator="containsText" text="SENSITIVITY"/>
    <x:cfRule type="containsText" dxfId="3026" priority="27" operator="containsText" text="MEDIUM"/>
    <x:cfRule type="containsText" dxfId="3027" priority="28" operator="containsText" text="LOW"/>
    <x:cfRule type="containsText" dxfId="3028" priority="29" operator="containsText" text="WATCH"/>
    <x:cfRule type="containsText" dxfId="3029" priority="30" operator="containsText" text="EXCLUDED"/>
    <x:cfRule type="containsText" dxfId="3030" priority="31" operator="containsText" text="NO"/>
    <x:cfRule type="containsText" dxfId="3031" priority="32" operator="containsText" text="HOLD"/>
    <x:cfRule type="containsText" dxfId="3032" priority="33" operator="containsText" text="FAIL"/>
    <x:cfRule type="containsText" dxfId="3033" priority="34" operator="containsText" text="BLOCKED"/>
  </x:conditionalFormatting>
  <x:conditionalFormatting sqref="H26:H28">
    <x:cfRule type="containsText" dxfId="3034" priority="35" operator="containsText" text="PASS"/>
    <x:cfRule type="containsText" dxfId="3035" priority="36" operator="containsText" text="READY"/>
    <x:cfRule type="containsText" dxfId="3036" priority="37" operator="containsText" text="CONFIRMED"/>
    <x:cfRule type="containsText" dxfId="3037" priority="38" operator="containsText" text="OFFICIAL"/>
    <x:cfRule type="containsText" dxfId="3038" priority="39" operator="containsText" text="YES"/>
    <x:cfRule type="containsText" dxfId="3039" priority="40" operator="containsText" text="CENTRAL"/>
    <x:cfRule type="containsText" dxfId="3040" priority="41" operator="containsText" text="MODELLED"/>
    <x:cfRule type="containsText" dxfId="3041" priority="42" operator="containsText" text="CONDITIONAL"/>
    <x:cfRule type="containsText" dxfId="3042" priority="43" operator="containsText" text="SENSITIVITY"/>
    <x:cfRule type="containsText" dxfId="3043" priority="44" operator="containsText" text="MEDIUM"/>
    <x:cfRule type="containsText" dxfId="3044" priority="45" operator="containsText" text="LOW"/>
    <x:cfRule type="containsText" dxfId="3045" priority="46" operator="containsText" text="WATCH"/>
    <x:cfRule type="containsText" dxfId="3046" priority="47" operator="containsText" text="EXCLUDED"/>
    <x:cfRule type="containsText" dxfId="3047" priority="48" operator="containsText" text="NO"/>
    <x:cfRule type="containsText" dxfId="3048" priority="49" operator="containsText" text="HOLD"/>
    <x:cfRule type="containsText" dxfId="3049" priority="50" operator="containsText" text="FAIL"/>
    <x:cfRule type="containsText" dxfId="3050" priority="51" operator="containsText" text="BLOCKED"/>
  </x:conditionalFormatting>
  <x:pageMargins left="0.7" right="0.7" top="0.75" bottom="0.75" header="0.3" footer="0.3"/>
</x:worksheet>
</file>

<file path=xl/worksheets/sheet11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0" hidden="0" customWidth="1"/>
    <x:col min="3" max="3" width="30" hidden="0" customWidth="1"/>
    <x:col min="4" max="4" width="31" hidden="0" customWidth="1"/>
    <x:col min="5" max="5" width="26" hidden="0" customWidth="1"/>
    <x:col min="6" max="6" width="31" hidden="0" customWidth="1"/>
    <x:col min="7" max="7" width="21" hidden="0" customWidth="1"/>
    <x:col min="8" max="8" width="23" hidden="0" customWidth="1"/>
    <x:col min="9" max="9" width="26" hidden="0" customWidth="1"/>
    <x:col min="10" max="10" width="39" hidden="0" customWidth="1"/>
    <x:col min="11" max="11" width="42" hidden="0" customWidth="1"/>
    <x:col min="12" max="12" width="26" hidden="0" customWidth="1"/>
    <x:col min="13" max="13" width="19" hidden="0" customWidth="1"/>
  </x:cols>
  <x:sheetData>
    <x:row r="1" ht="30" customHeight="1">
      <x:c r="A1" s="571" t="str">
        <x:v>115｜防重复计数：供应链效率只能在一个层级进入</x:v>
      </x:c>
      <x:c r="B1" s="571"/>
      <x:c r="C1" s="571"/>
      <x:c r="D1" s="571"/>
      <x:c r="E1" s="571"/>
      <x:c r="F1" s="571"/>
      <x:c r="G1" s="571"/>
      <x:c r="H1" s="571"/>
      <x:c r="I1" s="571"/>
      <x:c r="J1" s="571"/>
      <x:c r="K1" s="571"/>
      <x:c r="L1" s="571"/>
      <x:c r="M1" s="571"/>
    </x:row>
    <x:row r="2" ht="22" customHeight="1">
      <x:c r="A2" s="574" t="str">
        <x:v>统一公式：模块成本＝可比核心BOM×供应链系数＋明确架构/配置差额</x:v>
      </x:c>
      <x:c r="B2" s="574"/>
      <x:c r="C2" s="574"/>
      <x:c r="D2" s="574"/>
      <x:c r="E2" s="574"/>
      <x:c r="F2" s="574"/>
      <x:c r="G2" s="574"/>
      <x:c r="H2" s="574"/>
      <x:c r="I2" s="574"/>
      <x:c r="J2" s="574"/>
      <x:c r="K2" s="574"/>
      <x:c r="L2" s="574"/>
      <x:c r="M2" s="574"/>
    </x:row>
    <x:row r="3" ht="94" customHeight="1">
      <x:c r="A3" s="578" t="str">
        <x:v>最危险的错误是把行业电池降价、中创新航供应商差、化学体系差和充电倍率差四次叠加；第二类错误是把空悬国产化年降与“是否有空悬”同时当供应链节省；第三类错误是把新增增程器系统误写成供应商降本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</x:row>
    <x:row r="5" ht="58" customHeight="1">
      <x:c r="A5" s="583" t="str">
        <x:v>dc_id</x:v>
      </x:c>
      <x:c r="B5" s="583" t="str">
        <x:v>模块</x:v>
      </x:c>
      <x:c r="C5" s="583" t="str">
        <x:v>潜在重复项A</x:v>
      </x:c>
      <x:c r="D5" s="583" t="str">
        <x:v>潜在重复项B</x:v>
      </x:c>
      <x:c r="E5" s="583" t="str">
        <x:v>唯一入模层</x:v>
      </x:c>
      <x:c r="F5" s="583" t="str">
        <x:v>主键</x:v>
      </x:c>
      <x:c r="G5" s="583" t="str">
        <x:v>配置桥是否另算</x:v>
      </x:c>
      <x:c r="H5" s="583" t="str">
        <x:v>供应链率是否可用</x:v>
      </x:c>
      <x:c r="I5" s="583" t="str">
        <x:v>中心处理</x:v>
      </x:c>
      <x:c r="J5" s="583" t="str">
        <x:v>错误示例</x:v>
      </x:c>
      <x:c r="K5" s="583" t="str">
        <x:v>正确示例</x:v>
      </x:c>
      <x:c r="L5" s="583" t="str">
        <x:v>检查</x:v>
      </x:c>
      <x:c r="M5" s="583" t="str">
        <x:v>状态</x:v>
      </x:c>
    </x:row>
    <x:row r="6" ht="66" customHeight="1">
      <x:c r="A6" s="19" t="str">
        <x:v>DC-01</x:v>
      </x:c>
      <x:c r="B6" s="19" t="str">
        <x:v>电池</x:v>
      </x:c>
      <x:c r="C6" s="19" t="str">
        <x:v>行业包价下降</x:v>
      </x:c>
      <x:c r="D6" s="19" t="str">
        <x:v>供应商/化学/倍率差</x:v>
      </x:c>
      <x:c r="E6" s="19" t="str">
        <x:v>净元/kWh</x:v>
      </x:c>
      <x:c r="F6" s="19" t="str">
        <x:v>PACK_NET_LFP52 / PACK_NET_NCM76</x:v>
      </x:c>
      <x:c r="G6" s="19" t="str">
        <x:v>容量差另算</x:v>
      </x:c>
      <x:c r="H6" s="19" t="str">
        <x:v>NO_SEPARATE_RATE</x:v>
      </x:c>
      <x:c r="I6" s="19" t="str">
        <x:v>只用114表净率</x:v>
      </x:c>
      <x:c r="J6" s="19" t="str">
        <x:v>800×(1-13%)再减中航15%</x:v>
      </x:c>
      <x:c r="K6" s="19" t="str">
        <x:v>76×700一次</x:v>
      </x:c>
      <x:c r="L6" s="19" t="str">
        <x:v>同车只出现一个PACK_NET</x:v>
      </x:c>
      <x:c r="M6" s="19" t="str">
        <x:v>PASS_RULE</x:v>
      </x:c>
    </x:row>
    <x:row r="7" ht="66" customHeight="1">
      <x:c r="A7" s="584" t="str">
        <x:v>DC-02</x:v>
      </x:c>
      <x:c r="B7" s="584" t="str">
        <x:v>电驱</x:v>
      </x:c>
      <x:c r="C7" s="584" t="str">
        <x:v>行业年降</x:v>
      </x:c>
      <x:c r="D7" s="584" t="str">
        <x:v>电机数/功率差</x:v>
      </x:c>
      <x:c r="E7" s="584" t="str">
        <x:v>可比核心池×率</x:v>
      </x:c>
      <x:c r="F7" s="584" t="str">
        <x:v>EDRIVE_COMPARABLE</x:v>
      </x:c>
      <x:c r="G7" s="584" t="str">
        <x:v>YES</x:v>
      </x:c>
      <x:c r="H7" s="584" t="str">
        <x:v>YES</x:v>
      </x:c>
      <x:c r="I7" s="584" t="str">
        <x:v>3%/8%/15%</x:v>
      </x:c>
      <x:c r="J7" s="584" t="str">
        <x:v>双电机差额再乘整套成本</x:v>
      </x:c>
      <x:c r="K7" s="584" t="str">
        <x:v>同规格池降本+新增电机差额</x:v>
      </x:c>
      <x:c r="L7" s="584" t="str">
        <x:v>功率差回85表</x:v>
      </x:c>
      <x:c r="M7" s="584" t="str">
        <x:v>PASS_RULE</x:v>
      </x:c>
    </x:row>
    <x:row r="8" ht="66" customHeight="1">
      <x:c r="A8" s="19" t="str">
        <x:v>DC-03</x:v>
      </x:c>
      <x:c r="B8" s="19" t="str">
        <x:v>底盘</x:v>
      </x:c>
      <x:c r="C8" s="19" t="str">
        <x:v>空悬国产化年降</x:v>
      </x:c>
      <x:c r="D8" s="19" t="str">
        <x:v>有无空悬/CDC</x:v>
      </x:c>
      <x:c r="E8" s="19" t="str">
        <x:v>共有底盘池×率</x:v>
      </x:c>
      <x:c r="F8" s="19" t="str">
        <x:v>CHASSIS_COMPARABLE</x:v>
      </x:c>
      <x:c r="G8" s="19" t="str">
        <x:v>YES</x:v>
      </x:c>
      <x:c r="H8" s="19" t="str">
        <x:v>YES</x:v>
      </x:c>
      <x:c r="I8" s="19" t="str">
        <x:v>2%/5%/9%</x:v>
      </x:c>
      <x:c r="J8" s="19" t="str">
        <x:v>25%国产化+取消空悬成本</x:v>
      </x:c>
      <x:c r="K8" s="19" t="str">
        <x:v>同硬件5%；有无空悬走105表</x:v>
      </x:c>
      <x:c r="L8" s="19" t="str">
        <x:v>空悬差额不进本表</x:v>
      </x:c>
      <x:c r="M8" s="19" t="str">
        <x:v>PASS_RULE</x:v>
      </x:c>
    </x:row>
    <x:row r="9" ht="66" customHeight="1">
      <x:c r="A9" s="584" t="str">
        <x:v>DC-04</x:v>
      </x:c>
      <x:c r="B9" s="584" t="str">
        <x:v>制动</x:v>
      </x:c>
      <x:c r="C9" s="584" t="str">
        <x:v>Bosch供应商身份</x:v>
      </x:c>
      <x:c r="D9" s="584" t="str">
        <x:v>Brembo/卡钳/DPB配置</x:v>
      </x:c>
      <x:c r="E9" s="584" t="str">
        <x:v>配置事实</x:v>
      </x:c>
      <x:c r="F9" s="584" t="str">
        <x:v>BOSCH_SUPPLIER_EXCLUDED</x:v>
      </x:c>
      <x:c r="G9" s="584" t="str">
        <x:v>YES</x:v>
      </x:c>
      <x:c r="H9" s="584" t="str">
        <x:v>NO</x:v>
      </x:c>
      <x:c r="I9" s="584" t="str">
        <x:v>供应折扣0</x:v>
      </x:c>
      <x:c r="J9" s="584" t="str">
        <x:v>看到Bosch就降价</x:v>
      </x:c>
      <x:c r="K9" s="584" t="str">
        <x:v>硬件有无按配置桥</x:v>
      </x:c>
      <x:c r="L9" s="584" t="str">
        <x:v>供应率=0</x:v>
      </x:c>
      <x:c r="M9" s="584" t="str">
        <x:v>PASS_RULE</x:v>
      </x:c>
    </x:row>
    <x:row r="10" ht="66" customHeight="1">
      <x:c r="A10" s="19" t="str">
        <x:v>DC-05</x:v>
      </x:c>
      <x:c r="B10" s="19" t="str">
        <x:v>热管理</x:v>
      </x:c>
      <x:c r="C10" s="19" t="str">
        <x:v>同功能年降</x:v>
      </x:c>
      <x:c r="D10" s="19" t="str">
        <x:v>EREV新增回路</x:v>
      </x:c>
      <x:c r="E10" s="19" t="str">
        <x:v>可比子BOM×率</x:v>
      </x:c>
      <x:c r="F10" s="19" t="str">
        <x:v>THERMAL_COMPARABLE</x:v>
      </x:c>
      <x:c r="G10" s="19" t="str">
        <x:v>YES</x:v>
      </x:c>
      <x:c r="H10" s="19" t="str">
        <x:v>YES</x:v>
      </x:c>
      <x:c r="I10" s="19" t="str">
        <x:v>2%/5%/10%</x:v>
      </x:c>
      <x:c r="J10" s="19" t="str">
        <x:v>用5%抵掉发动机冷却回路</x:v>
      </x:c>
      <x:c r="K10" s="19" t="str">
        <x:v>可比池5%+新增回路正成本</x:v>
      </x:c>
      <x:c r="L10" s="19" t="str">
        <x:v>增程器排除</x:v>
      </x:c>
      <x:c r="M10" s="19" t="str">
        <x:v>PASS_RULE</x:v>
      </x:c>
    </x:row>
    <x:row r="11" ht="66" customHeight="1">
      <x:c r="A11" s="584" t="str">
        <x:v>DC-06</x:v>
      </x:c>
      <x:c r="B11" s="584" t="str">
        <x:v>车身</x:v>
      </x:c>
      <x:c r="C11" s="584" t="str">
        <x:v>平台制造效率</x:v>
      </x:c>
      <x:c r="D11" s="584" t="str">
        <x:v>尺寸/材料/升顶结构</x:v>
      </x:c>
      <x:c r="E11" s="584" t="str">
        <x:v>可比白车身池×率</x:v>
      </x:c>
      <x:c r="F11" s="584" t="str">
        <x:v>BODY_COMPARABLE</x:v>
      </x:c>
      <x:c r="G11" s="584" t="str">
        <x:v>YES</x:v>
      </x:c>
      <x:c r="H11" s="584" t="str">
        <x:v>YES</x:v>
      </x:c>
      <x:c r="I11" s="584" t="str">
        <x:v>0%/3%/6%</x:v>
      </x:c>
      <x:c r="J11" s="584" t="str">
        <x:v>升顶重量也乘-6%</x:v>
      </x:c>
      <x:c r="K11" s="584" t="str">
        <x:v>固定顶可比池降本；升顶独立桥</x:v>
      </x:c>
      <x:c r="L11" s="584" t="str">
        <x:v>升顶回75—81表</x:v>
      </x:c>
      <x:c r="M11" s="584" t="str">
        <x:v>PASS_RULE</x:v>
      </x:c>
    </x:row>
    <x:row r="12" ht="66" customHeight="1">
      <x:c r="A12" s="19" t="str">
        <x:v>DC-07</x:v>
      </x:c>
      <x:c r="B12" s="19" t="str">
        <x:v>座椅内饰</x:v>
      </x:c>
      <x:c r="C12" s="19" t="str">
        <x:v>供应商年降</x:v>
      </x:c>
      <x:c r="D12" s="19" t="str">
        <x:v>座位数/功能/面料</x:v>
      </x:c>
      <x:c r="E12" s="19" t="str">
        <x:v>同功能池×率</x:v>
      </x:c>
      <x:c r="F12" s="19" t="str">
        <x:v>SEAT_TRIM_COMPARABLE</x:v>
      </x:c>
      <x:c r="G12" s="19" t="str">
        <x:v>YES</x:v>
      </x:c>
      <x:c r="H12" s="19" t="str">
        <x:v>YES</x:v>
      </x:c>
      <x:c r="I12" s="19" t="str">
        <x:v>3%/5%/10%</x:v>
      </x:c>
      <x:c r="J12" s="19" t="str">
        <x:v>取消按摩后再把全座椅降10%</x:v>
      </x:c>
      <x:c r="K12" s="19" t="str">
        <x:v>同功能5%+明确功能差</x:v>
      </x:c>
      <x:c r="L12" s="19" t="str">
        <x:v>回104/105表</x:v>
      </x:c>
      <x:c r="M12" s="19" t="str">
        <x:v>PASS_RULE</x:v>
      </x:c>
    </x:row>
    <x:row r="13" ht="66" customHeight="1">
      <x:c r="A13" s="584" t="str">
        <x:v>DC-08</x:v>
      </x:c>
      <x:c r="B13" s="584" t="str">
        <x:v>座舱电子</x:v>
      </x:c>
      <x:c r="C13" s="584" t="str">
        <x:v>规模年降</x:v>
      </x:c>
      <x:c r="D13" s="584" t="str">
        <x:v>屏幕/SoC/音响/传感器差</x:v>
      </x:c>
      <x:c r="E13" s="584" t="str">
        <x:v>同规格池×率</x:v>
      </x:c>
      <x:c r="F13" s="584" t="str">
        <x:v>COCKPIT_EE_COMPARABLE</x:v>
      </x:c>
      <x:c r="G13" s="584" t="str">
        <x:v>YES</x:v>
      </x:c>
      <x:c r="H13" s="584" t="str">
        <x:v>YES</x:v>
      </x:c>
      <x:c r="I13" s="584" t="str">
        <x:v>4%/8%/12%</x:v>
      </x:c>
      <x:c r="J13" s="584" t="str">
        <x:v>25音响差额再乘整车电子</x:v>
      </x:c>
      <x:c r="K13" s="584" t="str">
        <x:v>同规格8%+音响差额一次</x:v>
      </x:c>
      <x:c r="L13" s="584" t="str">
        <x:v>回01/105表</x:v>
      </x:c>
      <x:c r="M13" s="584" t="str">
        <x:v>PASS_RULE</x:v>
      </x:c>
    </x:row>
    <x:row r="14" ht="66" customHeight="1">
      <x:c r="A14" s="19" t="str">
        <x:v>DC-09</x:v>
      </x:c>
      <x:c r="B14" s="19" t="str">
        <x:v>增程器</x:v>
      </x:c>
      <x:c r="C14" s="19" t="str">
        <x:v>东安联合定制</x:v>
      </x:c>
      <x:c r="D14" s="19" t="str">
        <x:v>新增发动机/发电机</x:v>
      </x:c>
      <x:c r="E14" s="19" t="str">
        <x:v>供应映射</x:v>
      </x:c>
      <x:c r="F14" s="19" t="str">
        <x:v>RANGE_EXTENDER_EXCLUDED</x:v>
      </x:c>
      <x:c r="G14" s="19" t="str">
        <x:v>YES_POSITIVE_COST</x:v>
      </x:c>
      <x:c r="H14" s="19" t="str">
        <x:v>NO</x:v>
      </x:c>
      <x:c r="I14" s="19" t="str">
        <x:v>供应折扣0</x:v>
      </x:c>
      <x:c r="J14" s="19" t="str">
        <x:v>新供应商=整车节省</x:v>
      </x:c>
      <x:c r="K14" s="19" t="str">
        <x:v>新增系统正成本另建桥</x:v>
      </x:c>
      <x:c r="L14" s="19" t="str">
        <x:v>本阶段不减</x:v>
      </x:c>
      <x:c r="M14" s="19" t="str">
        <x:v>PASS_RULE</x:v>
      </x:c>
    </x:row>
    <x:row r="15" ht="66" customHeight="1">
      <x:c r="A15" s="584" t="str">
        <x:v>DC-10</x:v>
      </x:c>
      <x:c r="B15" s="584" t="str">
        <x:v>制造/质保覆盖</x:v>
      </x:c>
      <x:c r="C15" s="584" t="str">
        <x:v>模块降本</x:v>
      </x:c>
      <x:c r="D15" s="584" t="str">
        <x:v>原有M09/M10覆盖</x:v>
      </x:c>
      <x:c r="E15" s="584" t="str">
        <x:v>物理BOM后一次</x:v>
      </x:c>
      <x:c r="F15" s="584" t="str">
        <x:v>M09_M10_ONCE</x:v>
      </x:c>
      <x:c r="G15" s="584" t="str">
        <x:v>NO_NEW_OVERLAY</x:v>
      </x:c>
      <x:c r="H15" s="584" t="str">
        <x:v>NO</x:v>
      </x:c>
      <x:c r="I15" s="584" t="str">
        <x:v>本阶段不再加覆盖</x:v>
      </x:c>
      <x:c r="J15" s="584" t="str">
        <x:v>节省额再乘制造率</x:v>
      </x:c>
      <x:c r="K15" s="584" t="str">
        <x:v>维持原桥覆盖</x:v>
      </x:c>
      <x:c r="L15" s="584" t="str">
        <x:v>覆盖次数=1</x:v>
      </x:c>
      <x:c r="M15" s="584" t="str">
        <x:v>PASS_RULE</x:v>
      </x:c>
    </x:row>
    <x:row r="16" ht="66" customHeight="1">
      <x:c r="A16" s="19" t="str">
        <x:v>DC-11</x:v>
      </x:c>
      <x:c r="B16" s="19" t="str">
        <x:v>价格传导</x:v>
      </x:c>
      <x:c r="C16" s="19" t="str">
        <x:v>κ</x:v>
      </x:c>
      <x:c r="D16" s="19" t="str">
        <x:v>VAT/现金传导率</x:v>
      </x:c>
      <x:c r="E16" s="19" t="str">
        <x:v>成本汇总后一次</x:v>
      </x:c>
      <x:c r="F16" s="19" t="str">
        <x:v>KAPPA_VAT_PASS_ONCE</x:v>
      </x:c>
      <x:c r="G16" s="19" t="str">
        <x:v>NO</x:v>
      </x:c>
      <x:c r="H16" s="19" t="str">
        <x:v>YES_ONCE</x:v>
      </x:c>
      <x:c r="I16" s="19" t="str">
        <x:v>κ×1.13后再乘传导率</x:v>
      </x:c>
      <x:c r="J16" s="19" t="str">
        <x:v>各模块分别含税再叠加</x:v>
      </x:c>
      <x:c r="K16" s="19" t="str">
        <x:v>汇总成本后末端一次</x:v>
      </x:c>
      <x:c r="L16" s="19" t="str">
        <x:v>倍数唯一</x:v>
      </x:c>
      <x:c r="M16" s="19" t="str">
        <x:v>PASS_RULE</x:v>
      </x:c>
    </x:row>
    <x:row r="17" ht="66" customHeight="1">
      <x:c r="A17" s="584" t="str">
        <x:v>DC-12</x:v>
      </x:c>
      <x:c r="B17" s="584" t="str">
        <x:v>版本树</x:v>
      </x:c>
      <x:c r="C17" s="584" t="str">
        <x:v>同版Max价格</x:v>
      </x:c>
      <x:c r="D17" s="584" t="str">
        <x:v>Standard/Pro出现概率</x:v>
      </x:c>
      <x:c r="E17" s="584" t="str">
        <x:v>下一阶段联合</x:v>
      </x:c>
      <x:c r="F17" s="584" t="str">
        <x:v>VERSION_TREE_SEPARATE</x:v>
      </x:c>
      <x:c r="G17" s="584" t="str">
        <x:v>YES_NEXT_PHASE</x:v>
      </x:c>
      <x:c r="H17" s="584" t="str">
        <x:v>NO</x:v>
      </x:c>
      <x:c r="I17" s="584" t="str">
        <x:v>3.3C不改103权重</x:v>
      </x:c>
      <x:c r="J17" s="584" t="str">
        <x:v>把69%写成最终全系概率</x:v>
      </x:c>
      <x:c r="K17" s="584" t="str">
        <x:v>先价格边际、后阵容联合</x:v>
      </x:c>
      <x:c r="L17" s="584" t="str">
        <x:v>等待3.4A</x:v>
      </x:c>
      <x:c r="M17" s="584" t="str">
        <x:v>PASS_RULE</x:v>
      </x:c>
    </x:row>
    <x:row r="20" ht="24" customHeight="1">
      <x:c r="A20" s="587" t="str">
        <x:v>公式边界</x:v>
      </x:c>
      <x:c r="B20" s="587"/>
      <x:c r="C20" s="587"/>
      <x:c r="D20" s="587"/>
      <x:c r="E20" s="587"/>
      <x:c r="F20" s="587"/>
      <x:c r="G20" s="587"/>
      <x:c r="H20" s="587"/>
      <x:c r="I20" s="587"/>
      <x:c r="J20" s="587"/>
      <x:c r="K20" s="587"/>
      <x:c r="L20" s="587"/>
      <x:c r="M20" s="587"/>
    </x:row>
    <x:row r="21" ht="52" customHeight="1">
      <x:c r="A21" s="19" t="str">
        <x:v>1</x:v>
      </x:c>
      <x:c r="B21" s="19" t="str">
        <x:v>成本层</x:v>
      </x:c>
      <x:c r="C21" s="19" t="str">
        <x:v>供应链节省＝Σ（可比基数×模块降本率），电池＝容量×（旧净率−新净率）</x:v>
      </x:c>
      <x:c r="D21" s="19" t="str"/>
      <x:c r="E21" s="19" t="str"/>
      <x:c r="F21" s="19" t="str"/>
      <x:c r="G21" s="19" t="str"/>
      <x:c r="H21" s="19" t="str"/>
      <x:c r="I21" s="19" t="str"/>
      <x:c r="J21" s="19" t="str"/>
      <x:c r="K21" s="19" t="str"/>
      <x:c r="L21" s="19" t="str"/>
      <x:c r="M21" s="19" t="str"/>
    </x:row>
    <x:row r="22" ht="52" customHeight="1">
      <x:c r="A22" s="584" t="str">
        <x:v>2</x:v>
      </x:c>
      <x:c r="B22" s="584" t="str">
        <x:v>价格上限层</x:v>
      </x:c>
      <x:c r="C22" s="584" t="str">
        <x:v>含税零售灵活度上限＝供应链节省×普通κ×（1+VAT）</x:v>
      </x:c>
      <x:c r="D22" s="584" t="str"/>
      <x:c r="E22" s="584" t="str"/>
      <x:c r="F22" s="584" t="str"/>
      <x:c r="G22" s="584" t="str"/>
      <x:c r="H22" s="584" t="str"/>
      <x:c r="I22" s="584" t="str"/>
      <x:c r="J22" s="584" t="str"/>
      <x:c r="K22" s="584" t="str"/>
      <x:c r="L22" s="584" t="str"/>
      <x:c r="M22" s="584" t="str"/>
    </x:row>
    <x:row r="23" ht="52" customHeight="1">
      <x:c r="A23" s="19" t="str">
        <x:v>3</x:v>
      </x:c>
      <x:c r="B23" s="19" t="str">
        <x:v>现金传导层</x:v>
      </x:c>
      <x:c r="C23" s="19" t="str">
        <x:v>预期现金价格支持＝含税零售灵活度上限×情景传导率</x:v>
      </x:c>
      <x:c r="D23" s="19" t="str"/>
      <x:c r="E23" s="19" t="str"/>
      <x:c r="F23" s="19" t="str"/>
      <x:c r="G23" s="19" t="str"/>
      <x:c r="H23" s="19" t="str"/>
      <x:c r="I23" s="19" t="str"/>
      <x:c r="J23" s="19" t="str"/>
      <x:c r="K23" s="19" t="str"/>
      <x:c r="L23" s="19" t="str"/>
      <x:c r="M23" s="19" t="str"/>
    </x:row>
    <x:row r="24" ht="52" customHeight="1">
      <x:c r="A24" s="584" t="str">
        <x:v>4</x:v>
      </x:c>
      <x:c r="B24" s="584" t="str">
        <x:v>联合层</x:v>
      </x:c>
      <x:c r="C24" s="584" t="str">
        <x:v>最终售价概率＝版本树条件×同版价格边际×市场/产能更新；本阶段不完成最后一步</x:v>
      </x:c>
      <x:c r="D24" s="584" t="str"/>
      <x:c r="E24" s="584" t="str"/>
      <x:c r="F24" s="584" t="str"/>
      <x:c r="G24" s="584" t="str"/>
      <x:c r="H24" s="584" t="str"/>
      <x:c r="I24" s="584" t="str"/>
      <x:c r="J24" s="584" t="str"/>
      <x:c r="K24" s="584" t="str"/>
      <x:c r="L24" s="584" t="str"/>
      <x:c r="M24" s="584" t="str"/>
    </x:row>
  </x:sheetData>
  <x:mergeCells>
    <x:mergeCell ref="A1:M1"/>
    <x:mergeCell ref="A2:M2"/>
    <x:mergeCell ref="A3:M3"/>
    <x:mergeCell ref="A20:M20"/>
  </x:mergeCells>
  <x:conditionalFormatting sqref="G6:I17">
    <x:cfRule type="containsText" dxfId="3051" priority="1" operator="containsText" text="PASS"/>
    <x:cfRule type="containsText" dxfId="3052" priority="2" operator="containsText" text="READY"/>
    <x:cfRule type="containsText" dxfId="3053" priority="3" operator="containsText" text="CONFIRMED"/>
    <x:cfRule type="containsText" dxfId="3054" priority="4" operator="containsText" text="OFFICIAL"/>
    <x:cfRule type="containsText" dxfId="3055" priority="5" operator="containsText" text="YES"/>
    <x:cfRule type="containsText" dxfId="3056" priority="6" operator="containsText" text="CENTRAL"/>
    <x:cfRule type="containsText" dxfId="3057" priority="7" operator="containsText" text="MODELLED"/>
    <x:cfRule type="containsText" dxfId="3058" priority="8" operator="containsText" text="CONDITIONAL"/>
    <x:cfRule type="containsText" dxfId="3059" priority="9" operator="containsText" text="SENSITIVITY"/>
    <x:cfRule type="containsText" dxfId="3060" priority="10" operator="containsText" text="MEDIUM"/>
    <x:cfRule type="containsText" dxfId="3061" priority="11" operator="containsText" text="LOW"/>
    <x:cfRule type="containsText" dxfId="3062" priority="12" operator="containsText" text="WATCH"/>
    <x:cfRule type="containsText" dxfId="3063" priority="13" operator="containsText" text="EXCLUDED"/>
    <x:cfRule type="containsText" dxfId="3064" priority="14" operator="containsText" text="NO"/>
    <x:cfRule type="containsText" dxfId="3065" priority="15" operator="containsText" text="HOLD"/>
    <x:cfRule type="containsText" dxfId="3066" priority="16" operator="containsText" text="FAIL"/>
    <x:cfRule type="containsText" dxfId="3067" priority="17" operator="containsText" text="BLOCKED"/>
  </x:conditionalFormatting>
  <x:conditionalFormatting sqref="M6:M17">
    <x:cfRule type="containsText" dxfId="3068" priority="18" operator="containsText" text="PASS"/>
    <x:cfRule type="containsText" dxfId="3069" priority="19" operator="containsText" text="READY"/>
    <x:cfRule type="containsText" dxfId="3070" priority="20" operator="containsText" text="CONFIRMED"/>
    <x:cfRule type="containsText" dxfId="3071" priority="21" operator="containsText" text="OFFICIAL"/>
    <x:cfRule type="containsText" dxfId="3072" priority="22" operator="containsText" text="YES"/>
    <x:cfRule type="containsText" dxfId="3073" priority="23" operator="containsText" text="CENTRAL"/>
    <x:cfRule type="containsText" dxfId="3074" priority="24" operator="containsText" text="MODELLED"/>
    <x:cfRule type="containsText" dxfId="3075" priority="25" operator="containsText" text="CONDITIONAL"/>
    <x:cfRule type="containsText" dxfId="3076" priority="26" operator="containsText" text="SENSITIVITY"/>
    <x:cfRule type="containsText" dxfId="3077" priority="27" operator="containsText" text="MEDIUM"/>
    <x:cfRule type="containsText" dxfId="3078" priority="28" operator="containsText" text="LOW"/>
    <x:cfRule type="containsText" dxfId="3079" priority="29" operator="containsText" text="WATCH"/>
    <x:cfRule type="containsText" dxfId="3080" priority="30" operator="containsText" text="EXCLUDED"/>
    <x:cfRule type="containsText" dxfId="3081" priority="31" operator="containsText" text="NO"/>
    <x:cfRule type="containsText" dxfId="3082" priority="32" operator="containsText" text="HOLD"/>
    <x:cfRule type="containsText" dxfId="3083" priority="33" operator="containsText" text="FAIL"/>
    <x:cfRule type="containsText" dxfId="3084" priority="34" operator="containsText" text="BLOCKED"/>
  </x:conditionalFormatting>
  <x:pageMargins left="0.7" right="0.7" top="0.75" bottom="0.75" header="0.3" footer="0.3"/>
</x:worksheet>
</file>

<file path=xl/worksheets/sheet11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28" hidden="0" customWidth="1"/>
    <x:col min="3" max="3" width="19" hidden="0" customWidth="1"/>
    <x:col min="4" max="4" width="18" hidden="0" customWidth="1"/>
    <x:col min="5" max="5" width="15" hidden="0" customWidth="1"/>
    <x:col min="6" max="6" width="18" hidden="0" customWidth="1"/>
    <x:col min="7" max="7" width="15" hidden="0" customWidth="1"/>
    <x:col min="8" max="8" width="18" hidden="0" customWidth="1"/>
    <x:col min="9" max="9" width="15" hidden="0" customWidth="1"/>
    <x:col min="10" max="10" width="18" hidden="0" customWidth="1"/>
    <x:col min="11" max="11" width="29" hidden="0" customWidth="1"/>
    <x:col min="12" max="12" width="18" hidden="0" customWidth="1"/>
    <x:col min="13" max="13" width="40" hidden="0" customWidth="1"/>
    <x:col min="14" max="14" width="20" hidden="0" customWidth="1"/>
  </x:cols>
  <x:sheetData>
    <x:row r="1" ht="30" customHeight="1">
      <x:c r="A1" s="571" t="str">
        <x:v>116｜N70/N90车型供应链成本修正</x:v>
      </x:c>
      <x:c r="B1" s="571"/>
      <x:c r="C1" s="571"/>
      <x:c r="D1" s="571"/>
      <x:c r="E1" s="571"/>
      <x:c r="F1" s="571"/>
      <x:c r="G1" s="571"/>
      <x:c r="H1" s="571"/>
      <x:c r="I1" s="571"/>
      <x:c r="J1" s="571"/>
      <x:c r="K1" s="571"/>
      <x:c r="L1" s="571"/>
      <x:c r="M1" s="571"/>
      <x:c r="N1" s="571"/>
    </x:row>
    <x:row r="2" ht="22" customHeight="1">
      <x:c r="A2" s="574" t="str">
        <x:v>三车型工程底座×七模块；电池净率一次，非电池可比池一次；κ、VAT与现金传导只在汇总后进入</x:v>
      </x:c>
      <x:c r="B2" s="574"/>
      <x:c r="C2" s="574"/>
      <x:c r="D2" s="574"/>
      <x:c r="E2" s="574"/>
      <x:c r="F2" s="574"/>
      <x:c r="G2" s="574"/>
      <x:c r="H2" s="574"/>
      <x:c r="I2" s="574"/>
      <x:c r="J2" s="574"/>
      <x:c r="K2" s="574"/>
      <x:c r="L2" s="574"/>
      <x:c r="M2" s="574"/>
      <x:c r="N2" s="574"/>
    </x:row>
    <x:row r="3" ht="94" customHeight="1">
      <x:c r="A3" s="578" t="str">
        <x:v>这是对原有配置成本桥的公共成本底座修正，不替代N70标准版→Max、N70→N90、固定顶→升顶等配置与架构差额。所有金额为工程量级，不是供应商报价。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  <x:c r="N3" s="578"/>
    </x:row>
    <x:row r="5" ht="58" customHeight="1">
      <x:c r="A5" s="583" t="str">
        <x:v>detail_id</x:v>
      </x:c>
      <x:c r="B5" s="583" t="str">
        <x:v>车型</x:v>
      </x:c>
      <x:c r="C5" s="583" t="str">
        <x:v>模块</x:v>
      </x:c>
      <x:c r="D5" s="583" t="str">
        <x:v>可比基数</x:v>
      </x:c>
      <x:c r="E5" s="583" t="str">
        <x:v>保守率</x:v>
      </x:c>
      <x:c r="F5" s="583" t="str">
        <x:v>保守节省</x:v>
      </x:c>
      <x:c r="G5" s="583" t="str">
        <x:v>中心率</x:v>
      </x:c>
      <x:c r="H5" s="583" t="str">
        <x:v>中心节省</x:v>
      </x:c>
      <x:c r="I5" s="583" t="str">
        <x:v>进取率</x:v>
      </x:c>
      <x:c r="J5" s="583" t="str">
        <x:v>进取节省</x:v>
      </x:c>
      <x:c r="K5" s="583" t="str">
        <x:v>防重键</x:v>
      </x:c>
      <x:c r="L5" s="583" t="str">
        <x:v>证据等级</x:v>
      </x:c>
      <x:c r="M5" s="583" t="str">
        <x:v>解释</x:v>
      </x:c>
      <x:c r="N5" s="583" t="str">
        <x:v>状态</x:v>
      </x:c>
    </x:row>
    <x:row r="6" ht="52" customHeight="1">
      <x:c r="A6" s="19" t="str">
        <x:v>C-1</x:v>
      </x:c>
      <x:c r="B6" s="19" t="str">
        <x:v>N70标准版工程候选</x:v>
      </x:c>
      <x:c r="C6" s="19" t="str">
        <x:v>电池</x:v>
      </x:c>
      <x:c r="D6" s="460" t="n">
        <x:f>'113_模块成本锚'!D6</x:f>
        <x:v>30160</x:v>
      </x:c>
      <x:c r="E6" s="23" t="n">
        <x:f>'114_降本系数'!F19</x:f>
        <x:v>0.034482758620689655</x:v>
      </x:c>
      <x:c r="F6" s="460" t="n">
        <x:f>D6*E6</x:f>
        <x:v>1040</x:v>
      </x:c>
      <x:c r="G6" s="23" t="n">
        <x:f>'114_降本系数'!H19</x:f>
        <x:v>0.10344827586206896</x:v>
      </x:c>
      <x:c r="H6" s="460" t="n">
        <x:f>D6*G6</x:f>
        <x:v>3120</x:v>
      </x:c>
      <x:c r="I6" s="23" t="n">
        <x:f>'114_降本系数'!J19</x:f>
        <x:v>0.1724137931034483</x:v>
      </x:c>
      <x:c r="J6" s="460" t="n">
        <x:f>D6*I6</x:f>
        <x:v>5200</x:v>
      </x:c>
      <x:c r="K6" s="19" t="str">
        <x:v>PACK_NET_ONLY</x:v>
      </x:c>
      <x:c r="L6" s="19" t="str">
        <x:v>MEDIUM_HIGH</x:v>
      </x:c>
      <x:c r="M6" s="19" t="str">
        <x:v>净元/kWh；供应商/化学/倍率不再另加</x:v>
      </x:c>
      <x:c r="N6" s="19" t="str">
        <x:v>NET_RATE</x:v>
      </x:c>
    </x:row>
    <x:row r="7" ht="52" customHeight="1">
      <x:c r="A7" s="584" t="str">
        <x:v>C-2</x:v>
      </x:c>
      <x:c r="B7" s="584" t="str">
        <x:v>N70标准版工程候选</x:v>
      </x:c>
      <x:c r="C7" s="584" t="str">
        <x:v>电驱</x:v>
      </x:c>
      <x:c r="D7" s="589" t="n">
        <x:f>'113_模块成本锚'!D7</x:f>
        <x:v>7200</x:v>
      </x:c>
      <x:c r="E7" s="588" t="n">
        <x:f>'114_降本系数'!C7</x:f>
        <x:v>0.03</x:v>
      </x:c>
      <x:c r="F7" s="589" t="n">
        <x:f>D7*E7</x:f>
        <x:v>216</x:v>
      </x:c>
      <x:c r="G7" s="588" t="n">
        <x:f>'114_降本系数'!D7</x:f>
        <x:v>0.08</x:v>
      </x:c>
      <x:c r="H7" s="589" t="n">
        <x:f>D7*G7</x:f>
        <x:v>576</x:v>
      </x:c>
      <x:c r="I7" s="588" t="n">
        <x:f>'114_降本系数'!E7</x:f>
        <x:v>0.15</x:v>
      </x:c>
      <x:c r="J7" s="589" t="n">
        <x:f>D7*I7</x:f>
        <x:v>1080</x:v>
      </x:c>
      <x:c r="K7" s="584" t="str">
        <x:v>EDRIVE_COMPARABLE</x:v>
      </x:c>
      <x:c r="L7" s="584" t="str">
        <x:v>MEDIUM</x:v>
      </x:c>
      <x:c r="M7" s="584" t="str">
        <x:v>同规格核心池</x:v>
      </x:c>
      <x:c r="N7" s="584" t="str">
        <x:v>MODELLED</x:v>
      </x:c>
    </x:row>
    <x:row r="8" ht="52" customHeight="1">
      <x:c r="A8" s="19" t="str">
        <x:v>C-3</x:v>
      </x:c>
      <x:c r="B8" s="19" t="str">
        <x:v>N70标准版工程候选</x:v>
      </x:c>
      <x:c r="C8" s="19" t="str">
        <x:v>底盘</x:v>
      </x:c>
      <x:c r="D8" s="460" t="n">
        <x:f>'113_模块成本锚'!D8</x:f>
        <x:v>5000</x:v>
      </x:c>
      <x:c r="E8" s="23" t="n">
        <x:f>'114_降本系数'!C8</x:f>
        <x:v>0.02</x:v>
      </x:c>
      <x:c r="F8" s="460" t="n">
        <x:f>D8*E8</x:f>
        <x:v>100</x:v>
      </x:c>
      <x:c r="G8" s="23" t="n">
        <x:f>'114_降本系数'!D8</x:f>
        <x:v>0.05</x:v>
      </x:c>
      <x:c r="H8" s="460" t="n">
        <x:f>D8*G8</x:f>
        <x:v>250</x:v>
      </x:c>
      <x:c r="I8" s="23" t="n">
        <x:f>'114_降本系数'!E8</x:f>
        <x:v>0.09</x:v>
      </x:c>
      <x:c r="J8" s="460" t="n">
        <x:f>D8*I8</x:f>
        <x:v>450</x:v>
      </x:c>
      <x:c r="K8" s="19" t="str">
        <x:v>CHASSIS_COMPARABLE</x:v>
      </x:c>
      <x:c r="L8" s="19" t="str">
        <x:v>MEDIUM_LOW</x:v>
      </x:c>
      <x:c r="M8" s="19" t="str">
        <x:v>不含空悬/CDC有无差</x:v>
      </x:c>
      <x:c r="N8" s="19" t="str">
        <x:v>MODELLED</x:v>
      </x:c>
    </x:row>
    <x:row r="9" ht="52" customHeight="1">
      <x:c r="A9" s="584" t="str">
        <x:v>C-4</x:v>
      </x:c>
      <x:c r="B9" s="584" t="str">
        <x:v>N70标准版工程候选</x:v>
      </x:c>
      <x:c r="C9" s="584" t="str">
        <x:v>热管理</x:v>
      </x:c>
      <x:c r="D9" s="589" t="n">
        <x:f>'113_模块成本锚'!D9</x:f>
        <x:v>7000</x:v>
      </x:c>
      <x:c r="E9" s="588" t="n">
        <x:f>'114_降本系数'!C9</x:f>
        <x:v>0.02</x:v>
      </x:c>
      <x:c r="F9" s="589" t="n">
        <x:f>D9*E9</x:f>
        <x:v>140</x:v>
      </x:c>
      <x:c r="G9" s="588" t="n">
        <x:f>'114_降本系数'!D9</x:f>
        <x:v>0.05</x:v>
      </x:c>
      <x:c r="H9" s="589" t="n">
        <x:f>D9*G9</x:f>
        <x:v>350</x:v>
      </x:c>
      <x:c r="I9" s="588" t="n">
        <x:f>'114_降本系数'!E9</x:f>
        <x:v>0.1</x:v>
      </x:c>
      <x:c r="J9" s="589" t="n">
        <x:f>D9*I9</x:f>
        <x:v>700</x:v>
      </x:c>
      <x:c r="K9" s="584" t="str">
        <x:v>THERMAL_COMPARABLE</x:v>
      </x:c>
      <x:c r="L9" s="584" t="str">
        <x:v>MEDIUM</x:v>
      </x:c>
      <x:c r="M9" s="584" t="str">
        <x:v>不含增程新增回路</x:v>
      </x:c>
      <x:c r="N9" s="584" t="str">
        <x:v>MODELLED</x:v>
      </x:c>
    </x:row>
    <x:row r="10" ht="52" customHeight="1">
      <x:c r="A10" s="19" t="str">
        <x:v>C-5</x:v>
      </x:c>
      <x:c r="B10" s="19" t="str">
        <x:v>N70标准版工程候选</x:v>
      </x:c>
      <x:c r="C10" s="19" t="str">
        <x:v>车身</x:v>
      </x:c>
      <x:c r="D10" s="460" t="n">
        <x:f>'113_模块成本锚'!D10</x:f>
        <x:v>28000</x:v>
      </x:c>
      <x:c r="E10" s="23" t="n">
        <x:f>'114_降本系数'!C10</x:f>
        <x:v>0</x:v>
      </x:c>
      <x:c r="F10" s="460" t="n">
        <x:f>D10*E10</x:f>
        <x:v>0</x:v>
      </x:c>
      <x:c r="G10" s="23" t="n">
        <x:f>'114_降本系数'!D10</x:f>
        <x:v>0.03</x:v>
      </x:c>
      <x:c r="H10" s="460" t="n">
        <x:f>D10*G10</x:f>
        <x:v>840</x:v>
      </x:c>
      <x:c r="I10" s="23" t="n">
        <x:f>'114_降本系数'!E10</x:f>
        <x:v>0.06</x:v>
      </x:c>
      <x:c r="J10" s="460" t="n">
        <x:f>D10*I10</x:f>
        <x:v>1680</x:v>
      </x:c>
      <x:c r="K10" s="19" t="str">
        <x:v>BODY_COMPARABLE</x:v>
      </x:c>
      <x:c r="L10" s="19" t="str">
        <x:v>MEDIUM_LOW</x:v>
      </x:c>
      <x:c r="M10" s="19" t="str">
        <x:v>不含尺寸/材料/升顶差</x:v>
      </x:c>
      <x:c r="N10" s="19" t="str">
        <x:v>MODELLED</x:v>
      </x:c>
    </x:row>
    <x:row r="11" ht="52" customHeight="1">
      <x:c r="A11" s="584" t="str">
        <x:v>C-6</x:v>
      </x:c>
      <x:c r="B11" s="584" t="str">
        <x:v>N70标准版工程候选</x:v>
      </x:c>
      <x:c r="C11" s="584" t="str">
        <x:v>座椅内饰</x:v>
      </x:c>
      <x:c r="D11" s="589" t="n">
        <x:f>'113_模块成本锚'!D11</x:f>
        <x:v>10000</x:v>
      </x:c>
      <x:c r="E11" s="588" t="n">
        <x:f>'114_降本系数'!C11</x:f>
        <x:v>0.03</x:v>
      </x:c>
      <x:c r="F11" s="589" t="n">
        <x:f>D11*E11</x:f>
        <x:v>300</x:v>
      </x:c>
      <x:c r="G11" s="588" t="n">
        <x:f>'114_降本系数'!D11</x:f>
        <x:v>0.05</x:v>
      </x:c>
      <x:c r="H11" s="589" t="n">
        <x:f>D11*G11</x:f>
        <x:v>500</x:v>
      </x:c>
      <x:c r="I11" s="588" t="n">
        <x:f>'114_降本系数'!E11</x:f>
        <x:v>0.1</x:v>
      </x:c>
      <x:c r="J11" s="589" t="n">
        <x:f>D11*I11</x:f>
        <x:v>1000</x:v>
      </x:c>
      <x:c r="K11" s="584" t="str">
        <x:v>SEAT_TRIM_COMPARABLE</x:v>
      </x:c>
      <x:c r="L11" s="584" t="str">
        <x:v>MEDIUM</x:v>
      </x:c>
      <x:c r="M11" s="584" t="str">
        <x:v>不含座位数/功能/面料差</x:v>
      </x:c>
      <x:c r="N11" s="584" t="str">
        <x:v>MODELLED</x:v>
      </x:c>
    </x:row>
    <x:row r="12" ht="52" customHeight="1">
      <x:c r="A12" s="19" t="str">
        <x:v>C-7</x:v>
      </x:c>
      <x:c r="B12" s="19" t="str">
        <x:v>N70标准版工程候选</x:v>
      </x:c>
      <x:c r="C12" s="19" t="str">
        <x:v>座舱电子</x:v>
      </x:c>
      <x:c r="D12" s="460" t="n">
        <x:f>'113_模块成本锚'!D12</x:f>
        <x:v>18000</x:v>
      </x:c>
      <x:c r="E12" s="23" t="n">
        <x:f>'114_降本系数'!C12</x:f>
        <x:v>0.04</x:v>
      </x:c>
      <x:c r="F12" s="460" t="n">
        <x:f>D12*E12</x:f>
        <x:v>720</x:v>
      </x:c>
      <x:c r="G12" s="23" t="n">
        <x:f>'114_降本系数'!D12</x:f>
        <x:v>0.08</x:v>
      </x:c>
      <x:c r="H12" s="460" t="n">
        <x:f>D12*G12</x:f>
        <x:v>1440</x:v>
      </x:c>
      <x:c r="I12" s="23" t="n">
        <x:f>'114_降本系数'!E12</x:f>
        <x:v>0.12</x:v>
      </x:c>
      <x:c r="J12" s="460" t="n">
        <x:f>D12*I12</x:f>
        <x:v>2160</x:v>
      </x:c>
      <x:c r="K12" s="19" t="str">
        <x:v>COCKPIT_EE_COMPARABLE</x:v>
      </x:c>
      <x:c r="L12" s="19" t="str">
        <x:v>MEDIUM</x:v>
      </x:c>
      <x:c r="M12" s="19" t="str">
        <x:v>不含屏幕/音响/传感器差</x:v>
      </x:c>
      <x:c r="N12" s="19" t="str">
        <x:v>MODELLED</x:v>
      </x:c>
    </x:row>
    <x:row r="13" ht="52" customHeight="1">
      <x:c r="A13" s="584" t="str">
        <x:v>C-8</x:v>
      </x:c>
      <x:c r="B13" s="584" t="str">
        <x:v>N70 Max</x:v>
      </x:c>
      <x:c r="C13" s="584" t="str">
        <x:v>电池</x:v>
      </x:c>
      <x:c r="D13" s="589" t="n">
        <x:f>'113_模块成本锚'!D13</x:f>
        <x:v>60800</x:v>
      </x:c>
      <x:c r="E13" s="588" t="n">
        <x:f>'114_降本系数'!F20</x:f>
        <x:v>0.05</x:v>
      </x:c>
      <x:c r="F13" s="589" t="n">
        <x:f>D13*E13</x:f>
        <x:v>3040</x:v>
      </x:c>
      <x:c r="G13" s="588" t="n">
        <x:f>'114_降本系数'!H20</x:f>
        <x:v>0.125</x:v>
      </x:c>
      <x:c r="H13" s="589" t="n">
        <x:f>D13*G13</x:f>
        <x:v>7600</x:v>
      </x:c>
      <x:c r="I13" s="588" t="n">
        <x:f>'114_降本系数'!J20</x:f>
        <x:v>0.2</x:v>
      </x:c>
      <x:c r="J13" s="589" t="n">
        <x:f>D13*I13</x:f>
        <x:v>12160</x:v>
      </x:c>
      <x:c r="K13" s="584" t="str">
        <x:v>PACK_NET_ONLY</x:v>
      </x:c>
      <x:c r="L13" s="584" t="str">
        <x:v>MEDIUM_HIGH</x:v>
      </x:c>
      <x:c r="M13" s="584" t="str">
        <x:v>净元/kWh；供应商/化学/倍率不再另加</x:v>
      </x:c>
      <x:c r="N13" s="584" t="str">
        <x:v>NET_RATE</x:v>
      </x:c>
    </x:row>
    <x:row r="14" ht="52" customHeight="1">
      <x:c r="A14" s="19" t="str">
        <x:v>C-9</x:v>
      </x:c>
      <x:c r="B14" s="19" t="str">
        <x:v>N70 Max</x:v>
      </x:c>
      <x:c r="C14" s="19" t="str">
        <x:v>电驱</x:v>
      </x:c>
      <x:c r="D14" s="460" t="n">
        <x:f>'113_模块成本锚'!D14</x:f>
        <x:v>11400</x:v>
      </x:c>
      <x:c r="E14" s="23" t="n">
        <x:f>'114_降本系数'!C7</x:f>
        <x:v>0.03</x:v>
      </x:c>
      <x:c r="F14" s="460" t="n">
        <x:f>D14*E14</x:f>
        <x:v>342</x:v>
      </x:c>
      <x:c r="G14" s="23" t="n">
        <x:f>'114_降本系数'!D7</x:f>
        <x:v>0.08</x:v>
      </x:c>
      <x:c r="H14" s="460" t="n">
        <x:f>D14*G14</x:f>
        <x:v>912</x:v>
      </x:c>
      <x:c r="I14" s="23" t="n">
        <x:f>'114_降本系数'!E7</x:f>
        <x:v>0.15</x:v>
      </x:c>
      <x:c r="J14" s="460" t="n">
        <x:f>D14*I14</x:f>
        <x:v>1710</x:v>
      </x:c>
      <x:c r="K14" s="19" t="str">
        <x:v>EDRIVE_COMPARABLE</x:v>
      </x:c>
      <x:c r="L14" s="19" t="str">
        <x:v>MEDIUM</x:v>
      </x:c>
      <x:c r="M14" s="19" t="str">
        <x:v>同规格核心池</x:v>
      </x:c>
      <x:c r="N14" s="19" t="str">
        <x:v>MODELLED</x:v>
      </x:c>
    </x:row>
    <x:row r="15" ht="52" customHeight="1">
      <x:c r="A15" s="584" t="str">
        <x:v>C-10</x:v>
      </x:c>
      <x:c r="B15" s="584" t="str">
        <x:v>N70 Max</x:v>
      </x:c>
      <x:c r="C15" s="584" t="str">
        <x:v>底盘</x:v>
      </x:c>
      <x:c r="D15" s="589" t="n">
        <x:f>'113_模块成本锚'!D15</x:f>
        <x:v>5000</x:v>
      </x:c>
      <x:c r="E15" s="588" t="n">
        <x:f>'114_降本系数'!C8</x:f>
        <x:v>0.02</x:v>
      </x:c>
      <x:c r="F15" s="589" t="n">
        <x:f>D15*E15</x:f>
        <x:v>100</x:v>
      </x:c>
      <x:c r="G15" s="588" t="n">
        <x:f>'114_降本系数'!D8</x:f>
        <x:v>0.05</x:v>
      </x:c>
      <x:c r="H15" s="589" t="n">
        <x:f>D15*G15</x:f>
        <x:v>250</x:v>
      </x:c>
      <x:c r="I15" s="588" t="n">
        <x:f>'114_降本系数'!E8</x:f>
        <x:v>0.09</x:v>
      </x:c>
      <x:c r="J15" s="589" t="n">
        <x:f>D15*I15</x:f>
        <x:v>450</x:v>
      </x:c>
      <x:c r="K15" s="584" t="str">
        <x:v>CHASSIS_COMPARABLE</x:v>
      </x:c>
      <x:c r="L15" s="584" t="str">
        <x:v>MEDIUM_LOW</x:v>
      </x:c>
      <x:c r="M15" s="584" t="str">
        <x:v>不含空悬/CDC有无差</x:v>
      </x:c>
      <x:c r="N15" s="584" t="str">
        <x:v>MODELLED</x:v>
      </x:c>
    </x:row>
    <x:row r="16" ht="52" customHeight="1">
      <x:c r="A16" s="19" t="str">
        <x:v>C-11</x:v>
      </x:c>
      <x:c r="B16" s="19" t="str">
        <x:v>N70 Max</x:v>
      </x:c>
      <x:c r="C16" s="19" t="str">
        <x:v>热管理</x:v>
      </x:c>
      <x:c r="D16" s="460" t="n">
        <x:f>'113_模块成本锚'!D16</x:f>
        <x:v>7000</x:v>
      </x:c>
      <x:c r="E16" s="23" t="n">
        <x:f>'114_降本系数'!C9</x:f>
        <x:v>0.02</x:v>
      </x:c>
      <x:c r="F16" s="460" t="n">
        <x:f>D16*E16</x:f>
        <x:v>140</x:v>
      </x:c>
      <x:c r="G16" s="23" t="n">
        <x:f>'114_降本系数'!D9</x:f>
        <x:v>0.05</x:v>
      </x:c>
      <x:c r="H16" s="460" t="n">
        <x:f>D16*G16</x:f>
        <x:v>350</x:v>
      </x:c>
      <x:c r="I16" s="23" t="n">
        <x:f>'114_降本系数'!E9</x:f>
        <x:v>0.1</x:v>
      </x:c>
      <x:c r="J16" s="460" t="n">
        <x:f>D16*I16</x:f>
        <x:v>700</x:v>
      </x:c>
      <x:c r="K16" s="19" t="str">
        <x:v>THERMAL_COMPARABLE</x:v>
      </x:c>
      <x:c r="L16" s="19" t="str">
        <x:v>MEDIUM</x:v>
      </x:c>
      <x:c r="M16" s="19" t="str">
        <x:v>不含增程新增回路</x:v>
      </x:c>
      <x:c r="N16" s="19" t="str">
        <x:v>MODELLED</x:v>
      </x:c>
    </x:row>
    <x:row r="17" ht="52" customHeight="1">
      <x:c r="A17" s="584" t="str">
        <x:v>C-12</x:v>
      </x:c>
      <x:c r="B17" s="584" t="str">
        <x:v>N70 Max</x:v>
      </x:c>
      <x:c r="C17" s="584" t="str">
        <x:v>车身</x:v>
      </x:c>
      <x:c r="D17" s="589" t="n">
        <x:f>'113_模块成本锚'!D17</x:f>
        <x:v>30000</x:v>
      </x:c>
      <x:c r="E17" s="588" t="n">
        <x:f>'114_降本系数'!C10</x:f>
        <x:v>0</x:v>
      </x:c>
      <x:c r="F17" s="589" t="n">
        <x:f>D17*E17</x:f>
        <x:v>0</x:v>
      </x:c>
      <x:c r="G17" s="588" t="n">
        <x:f>'114_降本系数'!D10</x:f>
        <x:v>0.03</x:v>
      </x:c>
      <x:c r="H17" s="589" t="n">
        <x:f>D17*G17</x:f>
        <x:v>900</x:v>
      </x:c>
      <x:c r="I17" s="588" t="n">
        <x:f>'114_降本系数'!E10</x:f>
        <x:v>0.06</x:v>
      </x:c>
      <x:c r="J17" s="589" t="n">
        <x:f>D17*I17</x:f>
        <x:v>1800</x:v>
      </x:c>
      <x:c r="K17" s="584" t="str">
        <x:v>BODY_COMPARABLE</x:v>
      </x:c>
      <x:c r="L17" s="584" t="str">
        <x:v>MEDIUM_LOW</x:v>
      </x:c>
      <x:c r="M17" s="584" t="str">
        <x:v>不含尺寸/材料/升顶差</x:v>
      </x:c>
      <x:c r="N17" s="584" t="str">
        <x:v>MODELLED</x:v>
      </x:c>
    </x:row>
    <x:row r="18" ht="52" customHeight="1">
      <x:c r="A18" s="19" t="str">
        <x:v>C-13</x:v>
      </x:c>
      <x:c r="B18" s="19" t="str">
        <x:v>N70 Max</x:v>
      </x:c>
      <x:c r="C18" s="19" t="str">
        <x:v>座椅内饰</x:v>
      </x:c>
      <x:c r="D18" s="460" t="n">
        <x:f>'113_模块成本锚'!D18</x:f>
        <x:v>10000</x:v>
      </x:c>
      <x:c r="E18" s="23" t="n">
        <x:f>'114_降本系数'!C11</x:f>
        <x:v>0.03</x:v>
      </x:c>
      <x:c r="F18" s="460" t="n">
        <x:f>D18*E18</x:f>
        <x:v>300</x:v>
      </x:c>
      <x:c r="G18" s="23" t="n">
        <x:f>'114_降本系数'!D11</x:f>
        <x:v>0.05</x:v>
      </x:c>
      <x:c r="H18" s="460" t="n">
        <x:f>D18*G18</x:f>
        <x:v>500</x:v>
      </x:c>
      <x:c r="I18" s="23" t="n">
        <x:f>'114_降本系数'!E11</x:f>
        <x:v>0.1</x:v>
      </x:c>
      <x:c r="J18" s="460" t="n">
        <x:f>D18*I18</x:f>
        <x:v>1000</x:v>
      </x:c>
      <x:c r="K18" s="19" t="str">
        <x:v>SEAT_TRIM_COMPARABLE</x:v>
      </x:c>
      <x:c r="L18" s="19" t="str">
        <x:v>MEDIUM</x:v>
      </x:c>
      <x:c r="M18" s="19" t="str">
        <x:v>不含座位数/功能/面料差</x:v>
      </x:c>
      <x:c r="N18" s="19" t="str">
        <x:v>MODELLED</x:v>
      </x:c>
    </x:row>
    <x:row r="19" ht="52" customHeight="1">
      <x:c r="A19" s="584" t="str">
        <x:v>C-14</x:v>
      </x:c>
      <x:c r="B19" s="584" t="str">
        <x:v>N70 Max</x:v>
      </x:c>
      <x:c r="C19" s="584" t="str">
        <x:v>座舱电子</x:v>
      </x:c>
      <x:c r="D19" s="589" t="n">
        <x:f>'113_模块成本锚'!D19</x:f>
        <x:v>20000</x:v>
      </x:c>
      <x:c r="E19" s="588" t="n">
        <x:f>'114_降本系数'!C12</x:f>
        <x:v>0.04</x:v>
      </x:c>
      <x:c r="F19" s="589" t="n">
        <x:f>D19*E19</x:f>
        <x:v>800</x:v>
      </x:c>
      <x:c r="G19" s="588" t="n">
        <x:f>'114_降本系数'!D12</x:f>
        <x:v>0.08</x:v>
      </x:c>
      <x:c r="H19" s="589" t="n">
        <x:f>D19*G19</x:f>
        <x:v>1600</x:v>
      </x:c>
      <x:c r="I19" s="588" t="n">
        <x:f>'114_降本系数'!E12</x:f>
        <x:v>0.12</x:v>
      </x:c>
      <x:c r="J19" s="589" t="n">
        <x:f>D19*I19</x:f>
        <x:v>2400</x:v>
      </x:c>
      <x:c r="K19" s="584" t="str">
        <x:v>COCKPIT_EE_COMPARABLE</x:v>
      </x:c>
      <x:c r="L19" s="584" t="str">
        <x:v>MEDIUM</x:v>
      </x:c>
      <x:c r="M19" s="584" t="str">
        <x:v>不含屏幕/音响/传感器差</x:v>
      </x:c>
      <x:c r="N19" s="584" t="str">
        <x:v>MODELLED</x:v>
      </x:c>
    </x:row>
    <x:row r="20" ht="52" customHeight="1">
      <x:c r="A20" s="19" t="str">
        <x:v>C-15</x:v>
      </x:c>
      <x:c r="B20" s="19" t="str">
        <x:v>N90固定顶家族</x:v>
      </x:c>
      <x:c r="C20" s="19" t="str">
        <x:v>电池</x:v>
      </x:c>
      <x:c r="D20" s="460" t="n">
        <x:f>'113_模块成本锚'!D20</x:f>
        <x:v>60800</x:v>
      </x:c>
      <x:c r="E20" s="23" t="n">
        <x:f>'114_降本系数'!F21</x:f>
        <x:v>0.05</x:v>
      </x:c>
      <x:c r="F20" s="460" t="n">
        <x:f>D20*E20</x:f>
        <x:v>3040</x:v>
      </x:c>
      <x:c r="G20" s="23" t="n">
        <x:f>'114_降本系数'!H21</x:f>
        <x:v>0.125</x:v>
      </x:c>
      <x:c r="H20" s="460" t="n">
        <x:f>D20*G20</x:f>
        <x:v>7600</x:v>
      </x:c>
      <x:c r="I20" s="23" t="n">
        <x:f>'114_降本系数'!J21</x:f>
        <x:v>0.2</x:v>
      </x:c>
      <x:c r="J20" s="460" t="n">
        <x:f>D20*I20</x:f>
        <x:v>12160</x:v>
      </x:c>
      <x:c r="K20" s="19" t="str">
        <x:v>PACK_NET_ONLY</x:v>
      </x:c>
      <x:c r="L20" s="19" t="str">
        <x:v>MEDIUM_HIGH</x:v>
      </x:c>
      <x:c r="M20" s="19" t="str">
        <x:v>净元/kWh；供应商/化学/倍率不再另加</x:v>
      </x:c>
      <x:c r="N20" s="19" t="str">
        <x:v>NET_RATE</x:v>
      </x:c>
    </x:row>
    <x:row r="21" ht="52" customHeight="1">
      <x:c r="A21" s="584" t="str">
        <x:v>C-16</x:v>
      </x:c>
      <x:c r="B21" s="584" t="str">
        <x:v>N90固定顶家族</x:v>
      </x:c>
      <x:c r="C21" s="584" t="str">
        <x:v>电驱</x:v>
      </x:c>
      <x:c r="D21" s="589" t="n">
        <x:f>'113_模块成本锚'!D21</x:f>
        <x:v>11400</x:v>
      </x:c>
      <x:c r="E21" s="588" t="n">
        <x:f>'114_降本系数'!C7</x:f>
        <x:v>0.03</x:v>
      </x:c>
      <x:c r="F21" s="589" t="n">
        <x:f>D21*E21</x:f>
        <x:v>342</x:v>
      </x:c>
      <x:c r="G21" s="588" t="n">
        <x:f>'114_降本系数'!D7</x:f>
        <x:v>0.08</x:v>
      </x:c>
      <x:c r="H21" s="589" t="n">
        <x:f>D21*G21</x:f>
        <x:v>912</x:v>
      </x:c>
      <x:c r="I21" s="588" t="n">
        <x:f>'114_降本系数'!E7</x:f>
        <x:v>0.15</x:v>
      </x:c>
      <x:c r="J21" s="589" t="n">
        <x:f>D21*I21</x:f>
        <x:v>1710</x:v>
      </x:c>
      <x:c r="K21" s="584" t="str">
        <x:v>EDRIVE_COMPARABLE</x:v>
      </x:c>
      <x:c r="L21" s="584" t="str">
        <x:v>MEDIUM</x:v>
      </x:c>
      <x:c r="M21" s="584" t="str">
        <x:v>同规格核心池</x:v>
      </x:c>
      <x:c r="N21" s="584" t="str">
        <x:v>MODELLED</x:v>
      </x:c>
    </x:row>
    <x:row r="22" ht="52" customHeight="1">
      <x:c r="A22" s="19" t="str">
        <x:v>C-17</x:v>
      </x:c>
      <x:c r="B22" s="19" t="str">
        <x:v>N90固定顶家族</x:v>
      </x:c>
      <x:c r="C22" s="19" t="str">
        <x:v>底盘</x:v>
      </x:c>
      <x:c r="D22" s="460" t="n">
        <x:f>'113_模块成本锚'!D22</x:f>
        <x:v>5000</x:v>
      </x:c>
      <x:c r="E22" s="23" t="n">
        <x:f>'114_降本系数'!C8</x:f>
        <x:v>0.02</x:v>
      </x:c>
      <x:c r="F22" s="460" t="n">
        <x:f>D22*E22</x:f>
        <x:v>100</x:v>
      </x:c>
      <x:c r="G22" s="23" t="n">
        <x:f>'114_降本系数'!D8</x:f>
        <x:v>0.05</x:v>
      </x:c>
      <x:c r="H22" s="460" t="n">
        <x:f>D22*G22</x:f>
        <x:v>250</x:v>
      </x:c>
      <x:c r="I22" s="23" t="n">
        <x:f>'114_降本系数'!E8</x:f>
        <x:v>0.09</x:v>
      </x:c>
      <x:c r="J22" s="460" t="n">
        <x:f>D22*I22</x:f>
        <x:v>450</x:v>
      </x:c>
      <x:c r="K22" s="19" t="str">
        <x:v>CHASSIS_COMPARABLE</x:v>
      </x:c>
      <x:c r="L22" s="19" t="str">
        <x:v>MEDIUM_LOW</x:v>
      </x:c>
      <x:c r="M22" s="19" t="str">
        <x:v>不含空悬/CDC有无差</x:v>
      </x:c>
      <x:c r="N22" s="19" t="str">
        <x:v>MODELLED</x:v>
      </x:c>
    </x:row>
    <x:row r="23" ht="52" customHeight="1">
      <x:c r="A23" s="584" t="str">
        <x:v>C-18</x:v>
      </x:c>
      <x:c r="B23" s="584" t="str">
        <x:v>N90固定顶家族</x:v>
      </x:c>
      <x:c r="C23" s="584" t="str">
        <x:v>热管理</x:v>
      </x:c>
      <x:c r="D23" s="589" t="n">
        <x:f>'113_模块成本锚'!D23</x:f>
        <x:v>7000</x:v>
      </x:c>
      <x:c r="E23" s="588" t="n">
        <x:f>'114_降本系数'!C9</x:f>
        <x:v>0.02</x:v>
      </x:c>
      <x:c r="F23" s="589" t="n">
        <x:f>D23*E23</x:f>
        <x:v>140</x:v>
      </x:c>
      <x:c r="G23" s="588" t="n">
        <x:f>'114_降本系数'!D9</x:f>
        <x:v>0.05</x:v>
      </x:c>
      <x:c r="H23" s="589" t="n">
        <x:f>D23*G23</x:f>
        <x:v>350</x:v>
      </x:c>
      <x:c r="I23" s="588" t="n">
        <x:f>'114_降本系数'!E9</x:f>
        <x:v>0.1</x:v>
      </x:c>
      <x:c r="J23" s="589" t="n">
        <x:f>D23*I23</x:f>
        <x:v>700</x:v>
      </x:c>
      <x:c r="K23" s="584" t="str">
        <x:v>THERMAL_COMPARABLE</x:v>
      </x:c>
      <x:c r="L23" s="584" t="str">
        <x:v>MEDIUM</x:v>
      </x:c>
      <x:c r="M23" s="584" t="str">
        <x:v>不含增程新增回路</x:v>
      </x:c>
      <x:c r="N23" s="584" t="str">
        <x:v>MODELLED</x:v>
      </x:c>
    </x:row>
    <x:row r="24" ht="52" customHeight="1">
      <x:c r="A24" s="19" t="str">
        <x:v>C-19</x:v>
      </x:c>
      <x:c r="B24" s="19" t="str">
        <x:v>N90固定顶家族</x:v>
      </x:c>
      <x:c r="C24" s="19" t="str">
        <x:v>车身</x:v>
      </x:c>
      <x:c r="D24" s="460" t="n">
        <x:f>'113_模块成本锚'!D24</x:f>
        <x:v>35000</x:v>
      </x:c>
      <x:c r="E24" s="23" t="n">
        <x:f>'114_降本系数'!C10</x:f>
        <x:v>0</x:v>
      </x:c>
      <x:c r="F24" s="460" t="n">
        <x:f>D24*E24</x:f>
        <x:v>0</x:v>
      </x:c>
      <x:c r="G24" s="23" t="n">
        <x:f>'114_降本系数'!D10</x:f>
        <x:v>0.03</x:v>
      </x:c>
      <x:c r="H24" s="460" t="n">
        <x:f>D24*G24</x:f>
        <x:v>1050</x:v>
      </x:c>
      <x:c r="I24" s="23" t="n">
        <x:f>'114_降本系数'!E10</x:f>
        <x:v>0.06</x:v>
      </x:c>
      <x:c r="J24" s="460" t="n">
        <x:f>D24*I24</x:f>
        <x:v>2100</x:v>
      </x:c>
      <x:c r="K24" s="19" t="str">
        <x:v>BODY_COMPARABLE</x:v>
      </x:c>
      <x:c r="L24" s="19" t="str">
        <x:v>MEDIUM_LOW</x:v>
      </x:c>
      <x:c r="M24" s="19" t="str">
        <x:v>不含尺寸/材料/升顶差</x:v>
      </x:c>
      <x:c r="N24" s="19" t="str">
        <x:v>MODELLED</x:v>
      </x:c>
    </x:row>
    <x:row r="25" ht="52" customHeight="1">
      <x:c r="A25" s="584" t="str">
        <x:v>C-20</x:v>
      </x:c>
      <x:c r="B25" s="584" t="str">
        <x:v>N90固定顶家族</x:v>
      </x:c>
      <x:c r="C25" s="584" t="str">
        <x:v>座椅内饰</x:v>
      </x:c>
      <x:c r="D25" s="589" t="n">
        <x:f>'113_模块成本锚'!D25</x:f>
        <x:v>16000</x:v>
      </x:c>
      <x:c r="E25" s="588" t="n">
        <x:f>'114_降本系数'!C11</x:f>
        <x:v>0.03</x:v>
      </x:c>
      <x:c r="F25" s="589" t="n">
        <x:f>D25*E25</x:f>
        <x:v>480</x:v>
      </x:c>
      <x:c r="G25" s="588" t="n">
        <x:f>'114_降本系数'!D11</x:f>
        <x:v>0.05</x:v>
      </x:c>
      <x:c r="H25" s="589" t="n">
        <x:f>D25*G25</x:f>
        <x:v>800</x:v>
      </x:c>
      <x:c r="I25" s="588" t="n">
        <x:f>'114_降本系数'!E11</x:f>
        <x:v>0.1</x:v>
      </x:c>
      <x:c r="J25" s="589" t="n">
        <x:f>D25*I25</x:f>
        <x:v>1600</x:v>
      </x:c>
      <x:c r="K25" s="584" t="str">
        <x:v>SEAT_TRIM_COMPARABLE</x:v>
      </x:c>
      <x:c r="L25" s="584" t="str">
        <x:v>MEDIUM</x:v>
      </x:c>
      <x:c r="M25" s="584" t="str">
        <x:v>不含座位数/功能/面料差</x:v>
      </x:c>
      <x:c r="N25" s="584" t="str">
        <x:v>MODELLED</x:v>
      </x:c>
    </x:row>
    <x:row r="26" ht="52" customHeight="1">
      <x:c r="A26" s="19" t="str">
        <x:v>C-21</x:v>
      </x:c>
      <x:c r="B26" s="19" t="str">
        <x:v>N90固定顶家族</x:v>
      </x:c>
      <x:c r="C26" s="19" t="str">
        <x:v>座舱电子</x:v>
      </x:c>
      <x:c r="D26" s="460" t="n">
        <x:f>'113_模块成本锚'!D26</x:f>
        <x:v>22000</x:v>
      </x:c>
      <x:c r="E26" s="23" t="n">
        <x:f>'114_降本系数'!C12</x:f>
        <x:v>0.04</x:v>
      </x:c>
      <x:c r="F26" s="460" t="n">
        <x:f>D26*E26</x:f>
        <x:v>880</x:v>
      </x:c>
      <x:c r="G26" s="23" t="n">
        <x:f>'114_降本系数'!D12</x:f>
        <x:v>0.08</x:v>
      </x:c>
      <x:c r="H26" s="460" t="n">
        <x:f>D26*G26</x:f>
        <x:v>1760</x:v>
      </x:c>
      <x:c r="I26" s="23" t="n">
        <x:f>'114_降本系数'!E12</x:f>
        <x:v>0.12</x:v>
      </x:c>
      <x:c r="J26" s="460" t="n">
        <x:f>D26*I26</x:f>
        <x:v>2640</x:v>
      </x:c>
      <x:c r="K26" s="19" t="str">
        <x:v>COCKPIT_EE_COMPARABLE</x:v>
      </x:c>
      <x:c r="L26" s="19" t="str">
        <x:v>MEDIUM</x:v>
      </x:c>
      <x:c r="M26" s="19" t="str">
        <x:v>不含屏幕/音响/传感器差</x:v>
      </x:c>
      <x:c r="N26" s="19" t="str">
        <x:v>MODELLED</x:v>
      </x:c>
    </x:row>
    <x:row r="30" ht="24" customHeight="1">
      <x:c r="A30" s="587" t="str">
        <x:v>车型汇总：成本节省→含税零售灵活度上限→预期现金价支持</x:v>
      </x:c>
      <x:c r="B30" s="587"/>
      <x:c r="C30" s="587"/>
      <x:c r="D30" s="587"/>
      <x:c r="E30" s="587"/>
      <x:c r="F30" s="587"/>
      <x:c r="G30" s="587"/>
      <x:c r="H30" s="587"/>
      <x:c r="I30" s="587"/>
      <x:c r="J30" s="587"/>
      <x:c r="K30" s="587"/>
      <x:c r="L30" s="587"/>
      <x:c r="M30" s="587"/>
      <x:c r="N30" s="587"/>
    </x:row>
    <x:row r="31" ht="58" customHeight="1">
      <x:c r="A31" s="583" t="str">
        <x:v>车型</x:v>
      </x:c>
      <x:c r="B31" s="583" t="str">
        <x:v>保守成本节省</x:v>
      </x:c>
      <x:c r="C31" s="583" t="str">
        <x:v>保守零售上限</x:v>
      </x:c>
      <x:c r="D31" s="583" t="str">
        <x:v>保守传导率</x:v>
      </x:c>
      <x:c r="E31" s="583" t="str">
        <x:v>保守现金支持</x:v>
      </x:c>
      <x:c r="F31" s="583" t="str">
        <x:v>中心成本节省</x:v>
      </x:c>
      <x:c r="G31" s="583" t="str">
        <x:v>中心零售上限</x:v>
      </x:c>
      <x:c r="H31" s="583" t="str">
        <x:v>中心传导率</x:v>
      </x:c>
      <x:c r="I31" s="583" t="str">
        <x:v>中心现金支持</x:v>
      </x:c>
      <x:c r="J31" s="583" t="str">
        <x:v>进取成本节省</x:v>
      </x:c>
      <x:c r="K31" s="583" t="str">
        <x:v>进取零售上限</x:v>
      </x:c>
      <x:c r="L31" s="583" t="str">
        <x:v>进取传导率</x:v>
      </x:c>
      <x:c r="M31" s="583" t="str">
        <x:v>进取现金支持</x:v>
      </x:c>
      <x:c r="N31" s="583" t="str">
        <x:v>中心电池占比</x:v>
      </x:c>
    </x:row>
    <x:row r="32" ht="60" customHeight="1">
      <x:c r="A32" s="19" t="str">
        <x:v>N70标准版工程候选</x:v>
      </x:c>
      <x:c r="B32" s="460" t="n">
        <x:f>SUMIF($B$6:$B$26,A32,$F$6:$F$26)</x:f>
        <x:v>2516</x:v>
      </x:c>
      <x:c r="C32" s="460" t="n">
        <x:f>B32*'114_降本系数'!F26</x:f>
        <x:v>3040.62765792485</x:v>
      </x:c>
      <x:c r="D32" s="23" t="n">
        <x:f>'114_降本系数'!C26</x:f>
        <x:v>0.25</x:v>
      </x:c>
      <x:c r="E32" s="460" t="n">
        <x:f>C32*D32</x:f>
        <x:v>760.1569144812125</x:v>
      </x:c>
      <x:c r="F32" s="460" t="n">
        <x:f>SUMIF($B$6:$B$26,A32,$H$6:$H$26)</x:f>
        <x:v>7076</x:v>
      </x:c>
      <x:c r="G32" s="460" t="n">
        <x:f>F32*'114_降本系数'!F27</x:f>
        <x:v>8551.463158774339</x:v>
      </x:c>
      <x:c r="H32" s="23" t="n">
        <x:f>'114_降本系数'!C27</x:f>
        <x:v>0.5</x:v>
      </x:c>
      <x:c r="I32" s="460" t="n">
        <x:f>G32*H32</x:f>
        <x:v>4275.731579387169</x:v>
      </x:c>
      <x:c r="J32" s="460" t="n">
        <x:f>SUMIF($B$6:$B$26,A32,$J$6:$J$26)</x:f>
        <x:v>12270</x:v>
      </x:c>
      <x:c r="K32" s="460" t="n">
        <x:f>J32*'114_降本系数'!F28</x:f>
        <x:v>14828.49815689106</x:v>
      </x:c>
      <x:c r="L32" s="23" t="n">
        <x:f>'114_降本系数'!C28</x:f>
        <x:v>0.75</x:v>
      </x:c>
      <x:c r="M32" s="460" t="n">
        <x:f>K32*L32</x:f>
        <x:v>11121.373617668296</x:v>
      </x:c>
      <x:c r="N32" s="23" t="n">
        <x:f>SUMIFS($H$6:$H$26,$B$6:$B$26,A32,$C$6:$C$26,"电池")/F32</x:f>
        <x:v>0.44092707744488413</x:v>
      </x:c>
    </x:row>
    <x:row r="33" ht="60" customHeight="1">
      <x:c r="A33" s="584" t="str">
        <x:v>N70 Max</x:v>
      </x:c>
      <x:c r="B33" s="589" t="n">
        <x:f>SUMIF($B$6:$B$26,A33,$F$6:$F$26)</x:f>
        <x:v>4722</x:v>
      </x:c>
      <x:c r="C33" s="589" t="n">
        <x:f>B33*'114_降本系数'!F26</x:f>
        <x:v>5706.615183116511</x:v>
      </x:c>
      <x:c r="D33" s="588" t="n">
        <x:f>'114_降本系数'!C26</x:f>
        <x:v>0.25</x:v>
      </x:c>
      <x:c r="E33" s="589" t="n">
        <x:f>C33*D33</x:f>
        <x:v>1426.6537957791277</x:v>
      </x:c>
      <x:c r="F33" s="589" t="n">
        <x:f>SUMIF($B$6:$B$26,A33,$H$6:$H$26)</x:f>
        <x:v>12112</x:v>
      </x:c>
      <x:c r="G33" s="589" t="n">
        <x:f>F33*'114_降本系数'!F27</x:f>
        <x:v>14637.552540852856</x:v>
      </x:c>
      <x:c r="H33" s="588" t="n">
        <x:f>'114_降本系数'!C27</x:f>
        <x:v>0.5</x:v>
      </x:c>
      <x:c r="I33" s="589" t="n">
        <x:f>G33*H33</x:f>
        <x:v>7318.776270426428</x:v>
      </x:c>
      <x:c r="J33" s="589" t="n">
        <x:f>SUMIF($B$6:$B$26,A33,$J$6:$J$26)</x:f>
        <x:v>20220</x:v>
      </x:c>
      <x:c r="K33" s="589" t="n">
        <x:f>J33*'114_降本系数'!F28</x:f>
        <x:v>24436.204786661554</x:v>
      </x:c>
      <x:c r="L33" s="588" t="n">
        <x:f>'114_降本系数'!C28</x:f>
        <x:v>0.75</x:v>
      </x:c>
      <x:c r="M33" s="589" t="n">
        <x:f>K33*L33</x:f>
        <x:v>18327.153589996167</x:v>
      </x:c>
      <x:c r="N33" s="588" t="n">
        <x:f>SUMIFS($H$6:$H$26,$B$6:$B$26,A33,$C$6:$C$26,"电池")/F33</x:f>
        <x:v>0.6274768824306473</x:v>
      </x:c>
    </x:row>
    <x:row r="34" ht="60" customHeight="1">
      <x:c r="A34" s="19" t="str">
        <x:v>N90固定顶家族</x:v>
      </x:c>
      <x:c r="B34" s="460" t="n">
        <x:f>SUMIF($B$6:$B$26,A34,$F$6:$F$26)</x:f>
        <x:v>4982</x:v>
      </x:c>
      <x:c r="C34" s="460" t="n">
        <x:f>B34*'114_降本系数'!F26</x:f>
        <x:v>6020.829487989508</x:v>
      </x:c>
      <x:c r="D34" s="23" t="n">
        <x:f>'114_降本系数'!C26</x:f>
        <x:v>0.25</x:v>
      </x:c>
      <x:c r="E34" s="460" t="n">
        <x:f>C34*D34</x:f>
        <x:v>1505.207371997377</x:v>
      </x:c>
      <x:c r="F34" s="460" t="n">
        <x:f>SUMIF($B$6:$B$26,A34,$H$6:$H$26)</x:f>
        <x:v>12722</x:v>
      </x:c>
      <x:c r="G34" s="460" t="n">
        <x:f>F34*'114_降本系数'!F27</x:f>
        <x:v>15374.747640747195</x:v>
      </x:c>
      <x:c r="H34" s="23" t="n">
        <x:f>'114_降本系数'!C27</x:f>
        <x:v>0.5</x:v>
      </x:c>
      <x:c r="I34" s="460" t="n">
        <x:f>G34*H34</x:f>
        <x:v>7687.3738203735975</x:v>
      </x:c>
      <x:c r="J34" s="460" t="n">
        <x:f>SUMIF($B$6:$B$26,A34,$J$6:$J$26)</x:f>
        <x:v>21360</x:v>
      </x:c>
      <x:c r="K34" s="460" t="n">
        <x:f>J34*'114_降本系数'!F28</x:f>
        <x:v>25813.913661873925</x:v>
      </x:c>
      <x:c r="L34" s="23" t="n">
        <x:f>'114_降本系数'!C28</x:f>
        <x:v>0.75</x:v>
      </x:c>
      <x:c r="M34" s="460" t="n">
        <x:f>K34*L34</x:f>
        <x:v>19360.435246405443</x:v>
      </x:c>
      <x:c r="N34" s="23" t="n">
        <x:f>SUMIFS($H$6:$H$26,$B$6:$B$26,A34,$C$6:$C$26,"电池")/F34</x:f>
        <x:v>0.5973903474296495</x:v>
      </x:c>
    </x:row>
    <x:row r="37" ht="24" customHeight="1">
      <x:c r="A37" s="587" t="str">
        <x:v>判读</x:v>
      </x:c>
      <x:c r="B37" s="587"/>
      <x:c r="C37" s="587"/>
      <x:c r="D37" s="587"/>
      <x:c r="E37" s="587"/>
      <x:c r="F37" s="587"/>
      <x:c r="G37" s="587"/>
      <x:c r="H37" s="587"/>
      <x:c r="I37" s="587"/>
      <x:c r="J37" s="587"/>
      <x:c r="K37" s="587"/>
      <x:c r="L37" s="587"/>
      <x:c r="M37" s="587"/>
      <x:c r="N37" s="587"/>
    </x:row>
    <x:row r="38" ht="54" customHeight="1">
      <x:c r="A38" s="19" t="str">
        <x:v>N90中心成本节省</x:v>
      </x:c>
      <x:c r="B38" s="460" t="n">
        <x:f>F34</x:f>
        <x:v>12722</x:v>
      </x:c>
      <x:c r="C38" s="19" t="str"/>
      <x:c r="D38" s="19" t="str"/>
      <x:c r="E38" s="19" t="str"/>
      <x:c r="F38" s="19" t="str"/>
      <x:c r="G38" s="19" t="str"/>
      <x:c r="H38" s="19" t="str"/>
      <x:c r="I38" s="19" t="str"/>
      <x:c r="J38" s="19" t="str"/>
      <x:c r="K38" s="19" t="str"/>
      <x:c r="L38" s="19" t="str"/>
      <x:c r="M38" s="19" t="str"/>
      <x:c r="N38" s="19" t="str"/>
    </x:row>
    <x:row r="39" ht="54" customHeight="1">
      <x:c r="A39" s="584" t="str">
        <x:v>N90中心现金正式价支持</x:v>
      </x:c>
      <x:c r="B39" s="589" t="n">
        <x:f>I34</x:f>
        <x:v>7687.3738203735975</x:v>
      </x:c>
      <x:c r="C39" s="584" t="str"/>
      <x:c r="D39" s="584" t="str"/>
      <x:c r="E39" s="584" t="str"/>
      <x:c r="F39" s="584" t="str"/>
      <x:c r="G39" s="584" t="str"/>
      <x:c r="H39" s="584" t="str"/>
      <x:c r="I39" s="584" t="str"/>
      <x:c r="J39" s="584" t="str"/>
      <x:c r="K39" s="584" t="str"/>
      <x:c r="L39" s="584" t="str"/>
      <x:c r="M39" s="584" t="str"/>
      <x:c r="N39" s="584" t="str"/>
    </x:row>
    <x:row r="40" ht="54" customHeight="1">
      <x:c r="A40" s="19" t="str">
        <x:v>N90中心电池贡献</x:v>
      </x:c>
      <x:c r="B40" s="23" t="n">
        <x:f>N34</x:f>
        <x:v>0.5973903474296495</x:v>
      </x:c>
      <x:c r="C40" s="19" t="str"/>
      <x:c r="D40" s="19" t="str"/>
      <x:c r="E40" s="19" t="str"/>
      <x:c r="F40" s="19" t="str"/>
      <x:c r="G40" s="19" t="str"/>
      <x:c r="H40" s="19" t="str"/>
      <x:c r="I40" s="19" t="str"/>
      <x:c r="J40" s="19" t="str"/>
      <x:c r="K40" s="19" t="str"/>
      <x:c r="L40" s="19" t="str"/>
      <x:c r="M40" s="19" t="str"/>
      <x:c r="N40" s="19" t="str"/>
    </x:row>
    <x:row r="41" ht="54" customHeight="1">
      <x:c r="A41" s="584" t="str">
        <x:v>N90进取现金正式价支持</x:v>
      </x:c>
      <x:c r="B41" s="589" t="n">
        <x:f>M34</x:f>
        <x:v>19360.435246405443</x:v>
      </x:c>
      <x:c r="C41" s="584" t="str"/>
      <x:c r="D41" s="584" t="str"/>
      <x:c r="E41" s="584" t="str"/>
      <x:c r="F41" s="584" t="str"/>
      <x:c r="G41" s="584" t="str"/>
      <x:c r="H41" s="584" t="str"/>
      <x:c r="I41" s="584" t="str"/>
      <x:c r="J41" s="584" t="str"/>
      <x:c r="K41" s="584" t="str"/>
      <x:c r="L41" s="584" t="str"/>
      <x:c r="M41" s="584" t="str"/>
      <x:c r="N41" s="584" t="str"/>
    </x:row>
    <x:row r="42" ht="54" customHeight="1">
      <x:c r="A42" s="19" t="str">
        <x:v>含义</x:v>
      </x:c>
      <x:c r="B42" s="19" t="str">
        <x:v>中心情景已允许非电池模块合计贡献约0.51万元；但这仍不等于正式价必降同额，现金传导中心只取50%。</x:v>
      </x:c>
      <x:c r="C42" s="19" t="str"/>
      <x:c r="D42" s="19" t="str"/>
      <x:c r="E42" s="19" t="str"/>
      <x:c r="F42" s="19" t="str"/>
      <x:c r="G42" s="19" t="str"/>
      <x:c r="H42" s="19" t="str"/>
      <x:c r="I42" s="19" t="str"/>
      <x:c r="J42" s="19" t="str"/>
      <x:c r="K42" s="19" t="str"/>
      <x:c r="L42" s="19" t="str"/>
      <x:c r="M42" s="19" t="str"/>
      <x:c r="N42" s="19" t="str"/>
    </x:row>
  </x:sheetData>
  <x:mergeCells>
    <x:mergeCell ref="A1:N1"/>
    <x:mergeCell ref="A2:N2"/>
    <x:mergeCell ref="A3:N3"/>
    <x:mergeCell ref="A30:N30"/>
    <x:mergeCell ref="A37:N37"/>
  </x:mergeCells>
  <x:conditionalFormatting sqref="L6:N26">
    <x:cfRule type="containsText" dxfId="3085" priority="1" operator="containsText" text="PASS"/>
    <x:cfRule type="containsText" dxfId="3086" priority="2" operator="containsText" text="READY"/>
    <x:cfRule type="containsText" dxfId="3087" priority="3" operator="containsText" text="CONFIRMED"/>
    <x:cfRule type="containsText" dxfId="3088" priority="4" operator="containsText" text="OFFICIAL"/>
    <x:cfRule type="containsText" dxfId="3089" priority="5" operator="containsText" text="YES"/>
    <x:cfRule type="containsText" dxfId="3090" priority="6" operator="containsText" text="CENTRAL"/>
    <x:cfRule type="containsText" dxfId="3091" priority="7" operator="containsText" text="MODELLED"/>
    <x:cfRule type="containsText" dxfId="3092" priority="8" operator="containsText" text="CONDITIONAL"/>
    <x:cfRule type="containsText" dxfId="3093" priority="9" operator="containsText" text="SENSITIVITY"/>
    <x:cfRule type="containsText" dxfId="3094" priority="10" operator="containsText" text="MEDIUM"/>
    <x:cfRule type="containsText" dxfId="3095" priority="11" operator="containsText" text="LOW"/>
    <x:cfRule type="containsText" dxfId="3096" priority="12" operator="containsText" text="WATCH"/>
    <x:cfRule type="containsText" dxfId="3097" priority="13" operator="containsText" text="EXCLUDED"/>
    <x:cfRule type="containsText" dxfId="3098" priority="14" operator="containsText" text="NO"/>
    <x:cfRule type="containsText" dxfId="3099" priority="15" operator="containsText" text="HOLD"/>
    <x:cfRule type="containsText" dxfId="3100" priority="16" operator="containsText" text="FAIL"/>
    <x:cfRule type="containsText" dxfId="3101" priority="17" operator="containsText" text="BLOCKED"/>
  </x:conditionalFormatting>
  <x:pageMargins left="0.7" right="0.7" top="0.75" bottom="0.75" header="0.3" footer="0.3"/>
  <x:drawing xmlns:r="http://schemas.openxmlformats.org/officeDocument/2006/relationships" r:id="R7d91f50f7c014d2b"/>
</x:worksheet>
</file>

<file path=xl/worksheets/sheet11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2" hidden="0" customWidth="1"/>
    <x:col min="3" max="3" width="16" hidden="0" customWidth="1"/>
    <x:col min="4" max="4" width="16" hidden="0" customWidth="1"/>
    <x:col min="5" max="5" width="16" hidden="0" customWidth="1"/>
    <x:col min="6" max="6" width="17" hidden="0" customWidth="1"/>
    <x:col min="7" max="7" width="17" hidden="0" customWidth="1"/>
    <x:col min="8" max="8" width="17" hidden="0" customWidth="1"/>
    <x:col min="9" max="9" width="22" hidden="0" customWidth="1"/>
    <x:col min="10" max="10" width="34" hidden="0" customWidth="1"/>
    <x:col min="11" max="11" width="24" hidden="0" customWidth="1"/>
    <x:col min="12" max="12" width="22" hidden="0" customWidth="1"/>
    <x:col min="13" max="13" width="17" hidden="0" customWidth="1"/>
    <x:col min="14" max="14" width="17" hidden="0" customWidth="1"/>
  </x:cols>
  <x:sheetData>
    <x:row r="1" ht="36" customHeight="1">
      <x:c r="A1" s="626" t="str">
        <x:v>【历史阶段｜不得作为最终结论】117_价格概率传导</x:v>
      </x:c>
      <x:c r="B1" s="626"/>
      <x:c r="C1" s="626"/>
      <x:c r="D1" s="626"/>
      <x:c r="E1" s="626"/>
      <x:c r="F1" s="626"/>
      <x:c r="G1" s="626"/>
      <x:c r="H1" s="626"/>
      <x:c r="I1" s="626"/>
      <x:c r="J1" s="626"/>
      <x:c r="K1" s="626"/>
      <x:c r="L1" s="626"/>
      <x:c r="M1" s="626"/>
      <x:c r="N1" s="626"/>
      <x:c r="O1" s="626"/>
      <x:c r="P1" s="626"/>
      <x:c r="Q1" s="626"/>
      <x:c r="R1" s="626"/>
      <x:c r="S1" s="626"/>
      <x:c r="T1" s="626"/>
      <x:c r="U1" s="626"/>
      <x:c r="V1" s="626"/>
      <x:c r="W1" s="626"/>
      <x:c r="X1" s="626"/>
      <x:c r="Y1" s="626"/>
      <x:c r="Z1" s="626"/>
    </x:row>
    <x:row r="2" ht="30" customHeight="1">
      <x:c r="A2" s="626" t="str">
        <x:v>本表保留用于审计追溯；最终结论以142_最终反证审计与134_全系结论为准。</x:v>
      </x:c>
      <x:c r="B2" s="626"/>
      <x:c r="C2" s="626"/>
      <x:c r="D2" s="626"/>
      <x:c r="E2" s="626"/>
      <x:c r="F2" s="626"/>
      <x:c r="G2" s="626"/>
      <x:c r="H2" s="626"/>
      <x:c r="I2" s="626"/>
      <x:c r="J2" s="626"/>
      <x:c r="K2" s="626"/>
      <x:c r="L2" s="626"/>
      <x:c r="M2" s="626"/>
      <x:c r="N2" s="626"/>
      <x:c r="O2" s="626"/>
      <x:c r="P2" s="626"/>
      <x:c r="Q2" s="626"/>
      <x:c r="R2" s="626"/>
      <x:c r="S2" s="626"/>
      <x:c r="T2" s="626"/>
      <x:c r="U2" s="626"/>
      <x:c r="V2" s="626"/>
      <x:c r="W2" s="626"/>
      <x:c r="X2" s="626"/>
      <x:c r="Y2" s="626"/>
      <x:c r="Z2" s="626"/>
    </x:row>
    <x:row r="3" ht="94" customHeight="1">
      <x:c r="A3" s="578" t="str">
        <x:v>供应链成本并不机械决定价格。本表把116表的现金价格支持转译成离散价格权重：成本节省越大、传导越强，越多权重从“只降0—1万元”迁移到“降2—4万元”。这是决策权重，不是统计频率。N90固定顶阵容若出现Standard/Pro，仍须回到103/106表进行条件联合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  <x:c r="N3" s="578"/>
    </x:row>
    <x:row r="5" ht="58" customHeight="1">
      <x:c r="A5" s="583" t="str">
        <x:v>N70 Max正式价</x:v>
      </x:c>
      <x:c r="B5" s="583" t="str">
        <x:v>相对25.99预售降幅</x:v>
      </x:c>
      <x:c r="C5" s="583" t="str">
        <x:v>保守权重</x:v>
      </x:c>
      <x:c r="D5" s="583" t="str">
        <x:v>中心权重</x:v>
      </x:c>
      <x:c r="E5" s="583" t="str">
        <x:v>进取权重</x:v>
      </x:c>
      <x:c r="F5" s="583" t="str">
        <x:v>供应链加权</x:v>
      </x:c>
      <x:c r="G5" s="583" t="str">
        <x:v>旧3.3A权重</x:v>
      </x:c>
      <x:c r="H5" s="583" t="str">
        <x:v>变化</x:v>
      </x:c>
      <x:c r="I5" s="583" t="str">
        <x:v>证据支持</x:v>
      </x:c>
      <x:c r="J5" s="583" t="str">
        <x:v>解释</x:v>
      </x:c>
      <x:c r="K5" s="583" t="str">
        <x:v>N90 Max正式价</x:v>
      </x:c>
      <x:c r="L5" s="583" t="str">
        <x:v>相对29.99预售降幅</x:v>
      </x:c>
      <x:c r="M5" s="583" t="str">
        <x:v>供应链加权</x:v>
      </x:c>
      <x:c r="N5" s="583" t="str">
        <x:v>旧3.3A权重</x:v>
      </x:c>
    </x:row>
    <x:row r="6" ht="54" customHeight="1">
      <x:c r="A6" s="460" t="n">
        <x:v>259900</x:v>
      </x:c>
      <x:c r="B6" s="460" t="n">
        <x:v>0</x:v>
      </x:c>
      <x:c r="C6" s="23" t="n">
        <x:v>0.06</x:v>
      </x:c>
      <x:c r="D6" s="23" t="n">
        <x:v>0.03</x:v>
      </x:c>
      <x:c r="E6" s="23" t="n">
        <x:v>0.01</x:v>
      </x:c>
      <x:c r="F6" s="23" t="n">
        <x:f>C6*'114_降本系数'!B26+D6*'114_降本系数'!B27+E6*'114_降本系数'!B28</x:f>
        <x:v>0.0375</x:v>
      </x:c>
      <x:c r="G6" s="23" t="n">
        <x:v>0.05</x:v>
      </x:c>
      <x:c r="H6" s="23" t="n">
        <x:f>F6-G6</x:f>
        <x:v>-0.012500000000000004</x:v>
      </x:c>
      <x:c r="I6" s="19" t="str">
        <x:v>中心/保守覆盖</x:v>
      </x:c>
      <x:c r="J6" s="19" t="str">
        <x:v>仍保留有限降幅</x:v>
      </x:c>
      <x:c r="K6" s="460" t="n">
        <x:v>299900</x:v>
      </x:c>
      <x:c r="L6" s="460" t="n">
        <x:v>0</x:v>
      </x:c>
      <x:c r="M6" s="23" t="n">
        <x:f>0.05*'114_降本系数'!B26+0.02*'114_降本系数'!B27+0.01*'114_降本系数'!B28</x:f>
        <x:v>0.028999999999999998</x:v>
      </x:c>
      <x:c r="N6" s="23" t="n">
        <x:v>0.03</x:v>
      </x:c>
    </x:row>
    <x:row r="7" ht="54" customHeight="1">
      <x:c r="A7" s="589" t="n">
        <x:v>253900</x:v>
      </x:c>
      <x:c r="B7" s="589" t="n">
        <x:v>6000</x:v>
      </x:c>
      <x:c r="C7" s="588" t="n">
        <x:v>0.07</x:v>
      </x:c>
      <x:c r="D7" s="588" t="n">
        <x:v>0.05</x:v>
      </x:c>
      <x:c r="E7" s="588" t="n">
        <x:v>0.02</x:v>
      </x:c>
      <x:c r="F7" s="588" t="n">
        <x:f>C7*'114_降本系数'!B26+D7*'114_降本系数'!B27+E7*'114_降本系数'!B28</x:f>
        <x:v>0.052500000000000005</x:v>
      </x:c>
      <x:c r="G7" s="588" t="n">
        <x:v>0.07</x:v>
      </x:c>
      <x:c r="H7" s="588" t="n">
        <x:f>F7-G7</x:f>
        <x:v>-0.0175</x:v>
      </x:c>
      <x:c r="I7" s="584" t="str">
        <x:v>中心/保守覆盖</x:v>
      </x:c>
      <x:c r="J7" s="584" t="str">
        <x:v>仍保留有限降幅</x:v>
      </x:c>
      <x:c r="K7" s="589" t="n">
        <x:v>293900</x:v>
      </x:c>
      <x:c r="L7" s="589" t="n">
        <x:v>6000</x:v>
      </x:c>
      <x:c r="M7" s="588" t="n">
        <x:f>0.06*'114_降本系数'!B26+0.03*'114_降本系数'!B27+0.01*'114_降本系数'!B28</x:f>
        <x:v>0.0375</x:v>
      </x:c>
      <x:c r="N7" s="588" t="n">
        <x:v>0.04</x:v>
      </x:c>
    </x:row>
    <x:row r="8" ht="54" customHeight="1">
      <x:c r="A8" s="460" t="n">
        <x:v>249900</x:v>
      </x:c>
      <x:c r="B8" s="460" t="n">
        <x:v>10000</x:v>
      </x:c>
      <x:c r="C8" s="23" t="n">
        <x:v>0.54</x:v>
      </x:c>
      <x:c r="D8" s="23" t="n">
        <x:v>0.42</x:v>
      </x:c>
      <x:c r="E8" s="23" t="n">
        <x:v>0.22</x:v>
      </x:c>
      <x:c r="F8" s="23" t="n">
        <x:f>C8*'114_降本系数'!B26+D8*'114_降本系数'!B27+E8*'114_降本系数'!B28</x:f>
        <x:v>0.43200000000000005</x:v>
      </x:c>
      <x:c r="G8" s="23" t="n">
        <x:v>0.5</x:v>
      </x:c>
      <x:c r="H8" s="23" t="n">
        <x:f>F8-G8</x:f>
        <x:v>-0.06799999999999995</x:v>
      </x:c>
      <x:c r="I8" s="19" t="str">
        <x:v>中心/保守覆盖</x:v>
      </x:c>
      <x:c r="J8" s="19" t="str">
        <x:v>仍保留有限降幅</x:v>
      </x:c>
      <x:c r="K8" s="460" t="n">
        <x:v>289900</x:v>
      </x:c>
      <x:c r="L8" s="460" t="n">
        <x:v>10000</x:v>
      </x:c>
      <x:c r="M8" s="23" t="n">
        <x:f>0.34*'114_降本系数'!B26+0.22*'114_降本系数'!B27+0.1*'114_降本系数'!B28</x:f>
        <x:v>0.244</x:v>
      </x:c>
      <x:c r="N8" s="23" t="n">
        <x:v>0.28</x:v>
      </x:c>
    </x:row>
    <x:row r="9" ht="54" customHeight="1">
      <x:c r="A9" s="589" t="n">
        <x:v>239900</x:v>
      </x:c>
      <x:c r="B9" s="589" t="n">
        <x:v>20000</x:v>
      </x:c>
      <x:c r="C9" s="588" t="n">
        <x:v>0.26</x:v>
      </x:c>
      <x:c r="D9" s="588" t="n">
        <x:v>0.34</x:v>
      </x:c>
      <x:c r="E9" s="588" t="n">
        <x:v>0.32</x:v>
      </x:c>
      <x:c r="F9" s="588" t="n">
        <x:f>C9*'114_降本系数'!B26+D9*'114_降本系数'!B27+E9*'114_降本系数'!B28</x:f>
        <x:v>0.309</x:v>
      </x:c>
      <x:c r="G9" s="588" t="n">
        <x:v>0.3</x:v>
      </x:c>
      <x:c r="H9" s="588" t="n">
        <x:f>F9-G9</x:f>
        <x:v>0.009000000000000008</x:v>
      </x:c>
      <x:c r="I9" s="584" t="str">
        <x:v>中心/进取覆盖</x:v>
      </x:c>
      <x:c r="J9" s="584" t="str">
        <x:v>供应链与竞争共同支持</x:v>
      </x:c>
      <x:c r="K9" s="589" t="n">
        <x:v>279900</x:v>
      </x:c>
      <x:c r="L9" s="589" t="n">
        <x:v>20000</x:v>
      </x:c>
      <x:c r="M9" s="588" t="n">
        <x:f>0.39*'114_降本系数'!B26+0.44*'114_降本系数'!B27+0.3*'114_降本系数'!B28</x:f>
        <x:v>0.40149999999999997</x:v>
      </x:c>
      <x:c r="N9" s="588" t="n">
        <x:v>0.44</x:v>
      </x:c>
    </x:row>
    <x:row r="10" ht="54" customHeight="1">
      <x:c r="A10" s="460" t="n">
        <x:v>229900</x:v>
      </x:c>
      <x:c r="B10" s="460" t="n">
        <x:v>30000</x:v>
      </x:c>
      <x:c r="C10" s="23" t="n">
        <x:v>0.06</x:v>
      </x:c>
      <x:c r="D10" s="23" t="n">
        <x:v>0.13</x:v>
      </x:c>
      <x:c r="E10" s="23" t="n">
        <x:v>0.28</x:v>
      </x:c>
      <x:c r="F10" s="23" t="n">
        <x:f>C10*'114_降本系数'!B26+D10*'114_降本系数'!B27+E10*'114_降本系数'!B28</x:f>
        <x:v>0.128</x:v>
      </x:c>
      <x:c r="G10" s="23" t="n">
        <x:v>0.07</x:v>
      </x:c>
      <x:c r="H10" s="23" t="n">
        <x:f>F10-G10</x:f>
        <x:v>0.057999999999999996</x:v>
      </x:c>
      <x:c r="I10" s="19" t="str">
        <x:v>中心/进取覆盖</x:v>
      </x:c>
      <x:c r="J10" s="19" t="str">
        <x:v>供应链与竞争共同支持</x:v>
      </x:c>
      <x:c r="K10" s="460" t="n">
        <x:v>269900</x:v>
      </x:c>
      <x:c r="L10" s="460" t="n">
        <x:v>30000</x:v>
      </x:c>
      <x:c r="M10" s="23" t="n">
        <x:f>0.13*'114_降本系数'!B26+0.23*'114_降本系数'!B27+0.38*'114_降本系数'!B28</x:f>
        <x:v>0.2175</x:v>
      </x:c>
      <x:c r="N10" s="23" t="n">
        <x:v>0.18</x:v>
      </x:c>
    </x:row>
    <x:row r="11" ht="54" customHeight="1">
      <x:c r="A11" s="589" t="n">
        <x:v>219900</x:v>
      </x:c>
      <x:c r="B11" s="589" t="n">
        <x:v>40000</x:v>
      </x:c>
      <x:c r="C11" s="588" t="n">
        <x:v>0.01</x:v>
      </x:c>
      <x:c r="D11" s="588" t="n">
        <x:v>0.03</x:v>
      </x:c>
      <x:c r="E11" s="588" t="n">
        <x:v>0.15</x:v>
      </x:c>
      <x:c r="F11" s="588" t="n">
        <x:f>C11*'114_降本系数'!B26+D11*'114_降本系数'!B27+E11*'114_降本系数'!B28</x:f>
        <x:v>0.040999999999999995</x:v>
      </x:c>
      <x:c r="G11" s="588" t="n">
        <x:v>0.01</x:v>
      </x:c>
      <x:c r="H11" s="588" t="n">
        <x:f>F11-G11</x:f>
        <x:v>0.030999999999999993</x:v>
      </x:c>
      <x:c r="I11" s="584" t="str">
        <x:v>进取尾部</x:v>
      </x:c>
      <x:c r="J11" s="584" t="str">
        <x:v>不是零概率，但需强传导</x:v>
      </x:c>
      <x:c r="K11" s="589" t="n">
        <x:v>259900</x:v>
      </x:c>
      <x:c r="L11" s="589" t="n">
        <x:v>40000</x:v>
      </x:c>
      <x:c r="M11" s="588" t="n">
        <x:f>0.03*'114_降本系数'!B26+0.06*'114_降本系数'!B27+0.2*'114_降本系数'!B28</x:f>
        <x:v>0.0705</x:v>
      </x:c>
      <x:c r="N11" s="588" t="n">
        <x:v>0.03</x:v>
      </x:c>
    </x:row>
    <x:row r="14" ht="24" customHeight="1">
      <x:c r="A14" s="587" t="str">
        <x:v>N90保守/中心/进取明细（用于审计加权结果）</x:v>
      </x:c>
      <x:c r="B14" s="587"/>
      <x:c r="C14" s="587"/>
      <x:c r="D14" s="587"/>
      <x:c r="E14" s="587"/>
      <x:c r="F14" s="587"/>
      <x:c r="G14" s="587"/>
      <x:c r="H14" s="587"/>
      <x:c r="I14" s="587"/>
      <x:c r="J14" s="587"/>
      <x:c r="K14" s="587"/>
      <x:c r="L14" s="587"/>
      <x:c r="M14" s="587"/>
      <x:c r="N14" s="587"/>
    </x:row>
    <x:row r="15" ht="46" customHeight="1">
      <x:c r="A15" s="583" t="str">
        <x:v>正式价</x:v>
      </x:c>
      <x:c r="B15" s="583" t="str">
        <x:v>降幅</x:v>
      </x:c>
      <x:c r="C15" s="583" t="str">
        <x:v>保守</x:v>
      </x:c>
      <x:c r="D15" s="583" t="str">
        <x:v>中心</x:v>
      </x:c>
      <x:c r="E15" s="583" t="str">
        <x:v>进取</x:v>
      </x:c>
      <x:c r="F15" s="583" t="str">
        <x:v>加权</x:v>
      </x:c>
    </x:row>
    <x:row r="16" ht="48" customHeight="1">
      <x:c r="A16" s="460" t="n">
        <x:v>299900</x:v>
      </x:c>
      <x:c r="B16" s="460" t="n">
        <x:v>0</x:v>
      </x:c>
      <x:c r="C16" s="23" t="n">
        <x:v>0.05</x:v>
      </x:c>
      <x:c r="D16" s="23" t="n">
        <x:v>0.02</x:v>
      </x:c>
      <x:c r="E16" s="23" t="n">
        <x:v>0.01</x:v>
      </x:c>
      <x:c r="F16" s="23" t="n">
        <x:f>C16*'114_降本系数'!B26+D16*'114_降本系数'!B27+E16*'114_降本系数'!B28</x:f>
        <x:v>0.028999999999999998</x:v>
      </x:c>
    </x:row>
    <x:row r="17" ht="48" customHeight="1">
      <x:c r="A17" s="589" t="n">
        <x:v>293900</x:v>
      </x:c>
      <x:c r="B17" s="589" t="n">
        <x:v>6000</x:v>
      </x:c>
      <x:c r="C17" s="588" t="n">
        <x:v>0.06</x:v>
      </x:c>
      <x:c r="D17" s="588" t="n">
        <x:v>0.03</x:v>
      </x:c>
      <x:c r="E17" s="588" t="n">
        <x:v>0.01</x:v>
      </x:c>
      <x:c r="F17" s="588" t="n">
        <x:f>C17*'114_降本系数'!B26+D17*'114_降本系数'!B27+E17*'114_降本系数'!B28</x:f>
        <x:v>0.0375</x:v>
      </x:c>
    </x:row>
    <x:row r="18" ht="48" customHeight="1">
      <x:c r="A18" s="460" t="n">
        <x:v>289900</x:v>
      </x:c>
      <x:c r="B18" s="460" t="n">
        <x:v>10000</x:v>
      </x:c>
      <x:c r="C18" s="23" t="n">
        <x:v>0.34</x:v>
      </x:c>
      <x:c r="D18" s="23" t="n">
        <x:v>0.22</x:v>
      </x:c>
      <x:c r="E18" s="23" t="n">
        <x:v>0.1</x:v>
      </x:c>
      <x:c r="F18" s="23" t="n">
        <x:f>C18*'114_降本系数'!B26+D18*'114_降本系数'!B27+E18*'114_降本系数'!B28</x:f>
        <x:v>0.244</x:v>
      </x:c>
    </x:row>
    <x:row r="19" ht="48" customHeight="1">
      <x:c r="A19" s="589" t="n">
        <x:v>279900</x:v>
      </x:c>
      <x:c r="B19" s="589" t="n">
        <x:v>20000</x:v>
      </x:c>
      <x:c r="C19" s="588" t="n">
        <x:v>0.39</x:v>
      </x:c>
      <x:c r="D19" s="588" t="n">
        <x:v>0.44</x:v>
      </x:c>
      <x:c r="E19" s="588" t="n">
        <x:v>0.3</x:v>
      </x:c>
      <x:c r="F19" s="588" t="n">
        <x:f>C19*'114_降本系数'!B26+D19*'114_降本系数'!B27+E19*'114_降本系数'!B28</x:f>
        <x:v>0.40149999999999997</x:v>
      </x:c>
    </x:row>
    <x:row r="20" ht="48" customHeight="1">
      <x:c r="A20" s="460" t="n">
        <x:v>269900</x:v>
      </x:c>
      <x:c r="B20" s="460" t="n">
        <x:v>30000</x:v>
      </x:c>
      <x:c r="C20" s="23" t="n">
        <x:v>0.13</x:v>
      </x:c>
      <x:c r="D20" s="23" t="n">
        <x:v>0.23</x:v>
      </x:c>
      <x:c r="E20" s="23" t="n">
        <x:v>0.38</x:v>
      </x:c>
      <x:c r="F20" s="23" t="n">
        <x:f>C20*'114_降本系数'!B26+D20*'114_降本系数'!B27+E20*'114_降本系数'!B28</x:f>
        <x:v>0.2175</x:v>
      </x:c>
    </x:row>
    <x:row r="21" ht="48" customHeight="1">
      <x:c r="A21" s="589" t="n">
        <x:v>259900</x:v>
      </x:c>
      <x:c r="B21" s="589" t="n">
        <x:v>40000</x:v>
      </x:c>
      <x:c r="C21" s="588" t="n">
        <x:v>0.03</x:v>
      </x:c>
      <x:c r="D21" s="588" t="n">
        <x:v>0.06</x:v>
      </x:c>
      <x:c r="E21" s="588" t="n">
        <x:v>0.2</x:v>
      </x:c>
      <x:c r="F21" s="588" t="n">
        <x:f>C21*'114_降本系数'!B26+D21*'114_降本系数'!B27+E21*'114_降本系数'!B28</x:f>
        <x:v>0.0705</x:v>
      </x:c>
    </x:row>
    <x:row r="24" ht="24" customHeight="1">
      <x:c r="A24" s="587" t="str">
        <x:v>概率与众数摘要（均为同版边际，非最终联合售价）</x:v>
      </x:c>
      <x:c r="B24" s="587"/>
      <x:c r="C24" s="587"/>
      <x:c r="D24" s="587"/>
      <x:c r="E24" s="587"/>
      <x:c r="F24" s="587"/>
      <x:c r="G24" s="587"/>
      <x:c r="H24" s="587"/>
      <x:c r="I24" s="587"/>
      <x:c r="J24" s="587"/>
      <x:c r="K24" s="587"/>
      <x:c r="L24" s="587"/>
      <x:c r="M24" s="587"/>
      <x:c r="N24" s="587"/>
    </x:row>
    <x:row r="25" ht="46" customHeight="1">
      <x:c r="A25" s="583" t="str">
        <x:v>指标</x:v>
      </x:c>
      <x:c r="B25" s="583" t="str">
        <x:v>N70 Max</x:v>
      </x:c>
      <x:c r="C25" s="583" t="str">
        <x:v>N90 Max</x:v>
      </x:c>
      <x:c r="D25" s="583" t="str">
        <x:v>解释</x:v>
      </x:c>
    </x:row>
    <x:row r="26" ht="50" customHeight="1">
      <x:c r="A26" s="19" t="str">
        <x:v>权重合计</x:v>
      </x:c>
      <x:c r="B26" s="23" t="n">
        <x:f>SUM(F6:F11)</x:f>
        <x:v>1</x:v>
      </x:c>
      <x:c r="C26" s="23" t="n">
        <x:f>SUM(F16:F21)</x:f>
        <x:v>1</x:v>
      </x:c>
      <x:c r="D26" s="19" t="str">
        <x:v>应为100%</x:v>
      </x:c>
    </x:row>
    <x:row r="27" ht="50" customHeight="1">
      <x:c r="A27" s="584" t="str">
        <x:v>正式价众数</x:v>
      </x:c>
      <x:c r="B27" s="589" t="n">
        <x:f>INDEX(A6:A11,MATCH(MAX(F6:F11),F6:F11,0))</x:f>
        <x:v>249900</x:v>
      </x:c>
      <x:c r="C27" s="589" t="n">
        <x:f>INDEX(A16:A21,MATCH(MAX(F16:F21),F16:F21,0))</x:f>
        <x:v>279900</x:v>
      </x:c>
      <x:c r="D27" s="584" t="str">
        <x:v>概率最高的离散价位</x:v>
      </x:c>
    </x:row>
    <x:row r="28" ht="50" customHeight="1">
      <x:c r="A28" s="19" t="str">
        <x:v>期望正式价</x:v>
      </x:c>
      <x:c r="B28" s="460" t="n">
        <x:f>SUMPRODUCT(A6:A11,F6:F11)</x:f>
        <x:v>243605.00000000003</x:v>
      </x:c>
      <x:c r="C28" s="460" t="n">
        <x:f>SUMPRODUCT(A16:A21,F16:F21)</x:f>
        <x:v>279860</x:v>
      </x:c>
      <x:c r="D28" s="19" t="str">
        <x:v>仅作权重均值</x:v>
      </x:c>
    </x:row>
    <x:row r="29" ht="50" customHeight="1">
      <x:c r="A29" s="584" t="str">
        <x:v>降2万元或更多</x:v>
      </x:c>
      <x:c r="B29" s="588" t="n">
        <x:f>SUM(F9:F11)</x:f>
        <x:v>0.478</x:v>
      </x:c>
      <x:c r="C29" s="588" t="n">
        <x:f>SUM(F19:F21)</x:f>
        <x:v>0.6895</x:v>
      </x:c>
      <x:c r="D29" s="584" t="str">
        <x:v>N70≤23.99；N90≤27.99</x:v>
      </x:c>
    </x:row>
    <x:row r="30" ht="50" customHeight="1">
      <x:c r="A30" s="19" t="str">
        <x:v>降3万元或更多</x:v>
      </x:c>
      <x:c r="B30" s="23" t="n">
        <x:f>SUM(F10:F11)</x:f>
        <x:v>0.16899999999999998</x:v>
      </x:c>
      <x:c r="C30" s="23" t="n">
        <x:f>SUM(F20:F21)</x:f>
        <x:v>0.288</x:v>
      </x:c>
      <x:c r="D30" s="19" t="str">
        <x:v>N70≤22.99；N90≤26.99</x:v>
      </x:c>
    </x:row>
    <x:row r="31" ht="50" customHeight="1">
      <x:c r="A31" s="584" t="str">
        <x:v>降4万元或更多</x:v>
      </x:c>
      <x:c r="B31" s="588" t="n">
        <x:f>F11</x:f>
        <x:v>0.040999999999999995</x:v>
      </x:c>
      <x:c r="C31" s="588" t="n">
        <x:f>F21</x:f>
        <x:v>0.0705</x:v>
      </x:c>
      <x:c r="D31" s="584" t="str">
        <x:v>N70≤21.99；N90≤25.99</x:v>
      </x:c>
    </x:row>
    <x:row r="32" ht="50" customHeight="1">
      <x:c r="A32" s="19" t="str">
        <x:v>旧降2万元或更多</x:v>
      </x:c>
      <x:c r="B32" s="23" t="n">
        <x:f>SUM(G9:G11)</x:f>
        <x:v>0.38</x:v>
      </x:c>
      <x:c r="C32" s="23" t="n">
        <x:f>SUM(N9:N11)</x:f>
        <x:v>0.65</x:v>
      </x:c>
      <x:c r="D32" s="19" t="str">
        <x:v>Phase3.3A基准</x:v>
      </x:c>
    </x:row>
    <x:row r="33" ht="50" customHeight="1">
      <x:c r="A33" s="584" t="str">
        <x:v>变化</x:v>
      </x:c>
      <x:c r="B33" s="588" t="n">
        <x:f>B29-B32</x:f>
        <x:v>0.09799999999999998</x:v>
      </x:c>
      <x:c r="C33" s="588" t="n">
        <x:f>C29-C32</x:f>
        <x:v>0.03949999999999998</x:v>
      </x:c>
      <x:c r="D33" s="584" t="str">
        <x:v>供应链校准后减旧基准</x:v>
      </x:c>
    </x:row>
    <x:row r="34" ht="50" customHeight="1">
      <x:c r="A34" s="19" t="str">
        <x:v>官方正式价格数量</x:v>
      </x:c>
      <x:c r="B34" s="19" t="n">
        <x:v>0</x:v>
      </x:c>
      <x:c r="C34" s="19" t="n">
        <x:v>0</x:v>
      </x:c>
      <x:c r="D34" s="19" t="str">
        <x:v>仍未公布</x:v>
      </x:c>
    </x:row>
    <x:row r="35" ht="50" customHeight="1">
      <x:c r="A35" s="584" t="str">
        <x:v>适用边界</x:v>
      </x:c>
      <x:c r="B35" s="584" t="str">
        <x:v>N70 Max同版</x:v>
      </x:c>
      <x:c r="C35" s="584" t="str">
        <x:v>N90 Max同版</x:v>
      </x:c>
      <x:c r="D35" s="584" t="str">
        <x:v>N90阵容条件留待3.4A</x:v>
      </x:c>
    </x:row>
    <x:row r="38" ht="24" customHeight="1">
      <x:c r="A38" s="587" t="str">
        <x:v>供后续阶段直接引用的签核单元格</x:v>
      </x:c>
      <x:c r="B38" s="587"/>
      <x:c r="C38" s="587"/>
      <x:c r="D38" s="587"/>
      <x:c r="E38" s="587"/>
      <x:c r="F38" s="587"/>
      <x:c r="G38" s="587"/>
      <x:c r="H38" s="587"/>
      <x:c r="I38" s="587"/>
      <x:c r="J38" s="587"/>
      <x:c r="K38" s="587"/>
      <x:c r="L38" s="587"/>
      <x:c r="M38" s="587"/>
      <x:c r="N38" s="587"/>
    </x:row>
    <x:row r="39" ht="42" customHeight="1">
      <x:c r="A39" s="19" t="str">
        <x:v>N70权重合计</x:v>
      </x:c>
      <x:c r="B39" s="23" t="n">
        <x:f>B26</x:f>
        <x:v>1</x:v>
      </x:c>
      <x:c r="I39" s="583" t="str">
        <x:v>正式价标签</x:v>
      </x:c>
      <x:c r="J39" s="583" t="str">
        <x:v>保守</x:v>
      </x:c>
      <x:c r="K39" s="583" t="str">
        <x:v>中心</x:v>
      </x:c>
      <x:c r="L39" s="583" t="str">
        <x:v>进取</x:v>
      </x:c>
      <x:c r="M39" s="583" t="str">
        <x:v>加权</x:v>
      </x:c>
    </x:row>
    <x:row r="40" ht="42" customHeight="1">
      <x:c r="A40" s="584" t="str">
        <x:v>N70众数</x:v>
      </x:c>
      <x:c r="B40" s="589" t="n">
        <x:f>B27</x:f>
        <x:v>249900</x:v>
      </x:c>
      <x:c r="I40" s="19" t="str">
        <x:v>29.99万</x:v>
      </x:c>
      <x:c r="J40" s="23" t="n">
        <x:v>0.05</x:v>
      </x:c>
      <x:c r="K40" s="23" t="n">
        <x:v>0.02</x:v>
      </x:c>
      <x:c r="L40" s="23" t="n">
        <x:v>0.01</x:v>
      </x:c>
      <x:c r="M40" s="23" t="n">
        <x:f>J40*'114_降本系数'!B26+K40*'114_降本系数'!B27+L40*'114_降本系数'!B28</x:f>
        <x:v>0.028999999999999998</x:v>
      </x:c>
    </x:row>
    <x:row r="41" ht="42" customHeight="1">
      <x:c r="A41" s="584" t="str">
        <x:v>N70降2万或更多</x:v>
      </x:c>
      <x:c r="B41" s="588" t="n">
        <x:f>B29</x:f>
        <x:v>0.478</x:v>
      </x:c>
      <x:c r="C41" s="592"/>
      <x:c r="D41" s="592"/>
      <x:c r="E41" s="592"/>
      <x:c r="F41" s="592"/>
      <x:c r="G41" s="592"/>
      <x:c r="H41" s="592"/>
      <x:c r="I41" s="584" t="str">
        <x:v>29.39万</x:v>
      </x:c>
      <x:c r="J41" s="588" t="n">
        <x:v>0.06</x:v>
      </x:c>
      <x:c r="K41" s="588" t="n">
        <x:v>0.03</x:v>
      </x:c>
      <x:c r="L41" s="588" t="n">
        <x:v>0.01</x:v>
      </x:c>
      <x:c r="M41" s="588" t="n">
        <x:f>J41*'114_降本系数'!B26+K41*'114_降本系数'!B27+L41*'114_降本系数'!B28</x:f>
        <x:v>0.0375</x:v>
      </x:c>
    </x:row>
    <x:row r="42" ht="42" customHeight="1">
      <x:c r="A42" s="584" t="str">
        <x:v>N70降3万或更多</x:v>
      </x:c>
      <x:c r="B42" s="588" t="n">
        <x:f>B30</x:f>
        <x:v>0.16899999999999998</x:v>
      </x:c>
      <x:c r="I42" s="19" t="str">
        <x:v>28.99万</x:v>
      </x:c>
      <x:c r="J42" s="23" t="n">
        <x:v>0.34</x:v>
      </x:c>
      <x:c r="K42" s="23" t="n">
        <x:v>0.22</x:v>
      </x:c>
      <x:c r="L42" s="23" t="n">
        <x:v>0.1</x:v>
      </x:c>
      <x:c r="M42" s="23" t="n">
        <x:f>J42*'114_降本系数'!B26+K42*'114_降本系数'!B27+L42*'114_降本系数'!B28</x:f>
        <x:v>0.244</x:v>
      </x:c>
    </x:row>
    <x:row r="43" ht="42" customHeight="1">
      <x:c r="A43" s="584" t="str">
        <x:v>N90众数</x:v>
      </x:c>
      <x:c r="B43" s="589" t="n">
        <x:f>C27</x:f>
        <x:v>279900</x:v>
      </x:c>
      <x:c r="C43" s="592"/>
      <x:c r="D43" s="592"/>
      <x:c r="E43" s="592"/>
      <x:c r="F43" s="592"/>
      <x:c r="G43" s="592"/>
      <x:c r="H43" s="592"/>
      <x:c r="I43" s="584" t="str">
        <x:v>27.99万</x:v>
      </x:c>
      <x:c r="J43" s="588" t="n">
        <x:v>0.39</x:v>
      </x:c>
      <x:c r="K43" s="588" t="n">
        <x:v>0.44</x:v>
      </x:c>
      <x:c r="L43" s="588" t="n">
        <x:v>0.3</x:v>
      </x:c>
      <x:c r="M43" s="588" t="n">
        <x:f>J43*'114_降本系数'!B26+K43*'114_降本系数'!B27+L43*'114_降本系数'!B28</x:f>
        <x:v>0.40149999999999997</x:v>
      </x:c>
    </x:row>
    <x:row r="44" ht="42" customHeight="1">
      <x:c r="A44" s="584" t="str">
        <x:v>N90降2万或更多</x:v>
      </x:c>
      <x:c r="B44" s="588" t="n">
        <x:f>C29</x:f>
        <x:v>0.6895</x:v>
      </x:c>
      <x:c r="I44" s="19" t="str">
        <x:v>26.99万</x:v>
      </x:c>
      <x:c r="J44" s="23" t="n">
        <x:v>0.13</x:v>
      </x:c>
      <x:c r="K44" s="23" t="n">
        <x:v>0.23</x:v>
      </x:c>
      <x:c r="L44" s="23" t="n">
        <x:v>0.38</x:v>
      </x:c>
      <x:c r="M44" s="23" t="n">
        <x:f>J44*'114_降本系数'!B26+K44*'114_降本系数'!B27+L44*'114_降本系数'!B28</x:f>
        <x:v>0.2175</x:v>
      </x:c>
    </x:row>
    <x:row r="45" ht="42" customHeight="1">
      <x:c r="A45" s="584" t="str">
        <x:v>N90降3万或更多</x:v>
      </x:c>
      <x:c r="B45" s="588" t="n">
        <x:f>C30</x:f>
        <x:v>0.288</x:v>
      </x:c>
      <x:c r="C45" s="592"/>
      <x:c r="D45" s="592"/>
      <x:c r="E45" s="592"/>
      <x:c r="F45" s="592"/>
      <x:c r="G45" s="592"/>
      <x:c r="H45" s="592"/>
      <x:c r="I45" s="584" t="str">
        <x:v>25.99万</x:v>
      </x:c>
      <x:c r="J45" s="588" t="n">
        <x:v>0.03</x:v>
      </x:c>
      <x:c r="K45" s="588" t="n">
        <x:v>0.06</x:v>
      </x:c>
      <x:c r="L45" s="588" t="n">
        <x:v>0.2</x:v>
      </x:c>
      <x:c r="M45" s="588" t="n">
        <x:f>J45*'114_降本系数'!B26+K45*'114_降本系数'!B27+L45*'114_降本系数'!B28</x:f>
        <x:v>0.0705</x:v>
      </x:c>
    </x:row>
    <x:row r="46" ht="42" customHeight="1">
      <x:c r="A46" s="584" t="str">
        <x:v>N90降4万或更多</x:v>
      </x:c>
      <x:c r="B46" s="588" t="n">
        <x:f>C31</x:f>
        <x:v>0.0705</x:v>
      </x:c>
    </x:row>
  </x:sheetData>
  <x:mergeCells>
    <x:mergeCell ref="A1:N1"/>
    <x:mergeCell ref="A2:N2"/>
    <x:mergeCell ref="A3:N3"/>
    <x:mergeCell ref="A14:N14"/>
    <x:mergeCell ref="A24:N24"/>
    <x:mergeCell ref="A38:N38"/>
  </x:mergeCells>
  <x:pageMargins left="0.7" right="0.7" top="0.75" bottom="0.75" header="0.3" footer="0.3"/>
  <x:drawing xmlns:r="http://schemas.openxmlformats.org/officeDocument/2006/relationships" r:id="R49e361487ead4f54"/>
</x:worksheet>
</file>

<file path=xl/worksheets/sheet11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23" hidden="0" customWidth="1"/>
    <x:col min="3" max="3" width="35" hidden="0" customWidth="1"/>
    <x:col min="4" max="4" width="42" hidden="0" customWidth="1"/>
    <x:col min="5" max="5" width="24" hidden="0" customWidth="1"/>
    <x:col min="6" max="6" width="27" hidden="0" customWidth="1"/>
    <x:col min="7" max="7" width="24" hidden="0" customWidth="1"/>
    <x:col min="8" max="8" width="19" hidden="0" customWidth="1"/>
    <x:col min="9" max="9" width="34" hidden="0" customWidth="1"/>
    <x:col min="10" max="10" width="41" hidden="0" customWidth="1"/>
    <x:col min="11" max="11" width="34" hidden="0" customWidth="1"/>
    <x:col min="12" max="12" width="29" hidden="0" customWidth="1"/>
    <x:col min="13" max="13" width="34" hidden="0" customWidth="1"/>
    <x:col min="14" max="14" width="18" hidden="0" customWidth="1"/>
  </x:cols>
  <x:sheetData>
    <x:row r="1" ht="30" customHeight="1">
      <x:c r="A1" s="571" t="str">
        <x:v>118｜Phase 3.3C签核：更低售价有概率，但不能靠“全车都便宜”一句话</x:v>
      </x:c>
      <x:c r="B1" s="571"/>
      <x:c r="C1" s="571"/>
      <x:c r="D1" s="571"/>
      <x:c r="E1" s="571"/>
      <x:c r="F1" s="571"/>
      <x:c r="G1" s="571"/>
      <x:c r="H1" s="571"/>
      <x:c r="I1" s="571"/>
      <x:c r="J1" s="571"/>
      <x:c r="K1" s="571"/>
      <x:c r="L1" s="571"/>
      <x:c r="M1" s="571"/>
      <x:c r="N1" s="571"/>
    </x:row>
    <x:row r="2" ht="22" customHeight="1">
      <x:c r="A2" s="574" t="str">
        <x:v>供应链证据、模块降本、成本底座与同版价格尾部已经联动；仍需与版本树、配置门槛和N70—N90围栏联合</x:v>
      </x:c>
      <x:c r="B2" s="574"/>
      <x:c r="C2" s="574"/>
      <x:c r="D2" s="574"/>
      <x:c r="E2" s="574"/>
      <x:c r="F2" s="574"/>
      <x:c r="G2" s="574"/>
      <x:c r="H2" s="574"/>
      <x:c r="I2" s="574"/>
      <x:c r="J2" s="574"/>
      <x:c r="K2" s="574"/>
      <x:c r="L2" s="574"/>
      <x:c r="M2" s="574"/>
      <x:c r="N2" s="574"/>
    </x:row>
    <x:row r="3" ht="94" customHeight="1">
      <x:c r="A3" s="578" t="str">
        <x:v>最终结论：N90中心情景可比供应链节省约1.27万元，其中电池约占60%，非电池模块合计约0.51万元；若按中心50%现金传导，给正式价约0.77万元的额外支撑。它不是“在旧预测上直接再减0.77万元”，而是把N90同版Max降2万元或更多的权重从65%上调到约69%，降3万元或更多从21%上调到约29%。</x:v>
      </x:c>
      <x:c r="B3" s="578"/>
      <x:c r="C3" s="578"/>
      <x:c r="D3" s="578"/>
      <x:c r="E3" s="578"/>
      <x:c r="F3" s="578"/>
      <x:c r="G3" s="578"/>
      <x:c r="H3" s="578"/>
      <x:c r="I3" s="578"/>
      <x:c r="J3" s="578"/>
      <x:c r="K3" s="578"/>
      <x:c r="L3" s="578"/>
      <x:c r="M3" s="578"/>
      <x:c r="N3" s="578"/>
    </x:row>
    <x:row r="5" ht="58" customHeight="1">
      <x:c r="A5" s="583" t="str">
        <x:v>结论ID</x:v>
      </x:c>
      <x:c r="B5" s="583" t="str">
        <x:v>对象</x:v>
      </x:c>
      <x:c r="C5" s="583" t="str">
        <x:v>旧结论/疑问</x:v>
      </x:c>
      <x:c r="D5" s="583" t="str">
        <x:v>3.3C结论</x:v>
      </x:c>
      <x:c r="E5" s="583" t="str">
        <x:v>数值</x:v>
      </x:c>
      <x:c r="F5" s="583" t="str">
        <x:v>证据</x:v>
      </x:c>
      <x:c r="G5" s="583" t="str">
        <x:v>状态</x:v>
      </x:c>
      <x:c r="H5" s="583" t="str">
        <x:v>置信</x:v>
      </x:c>
      <x:c r="I5" s="583" t="str">
        <x:v>可以说</x:v>
      </x:c>
      <x:c r="J5" s="583" t="str">
        <x:v>不能说</x:v>
      </x:c>
      <x:c r="K5" s="583" t="str">
        <x:v>对价格的影响</x:v>
      </x:c>
      <x:c r="L5" s="583" t="str">
        <x:v>下一阶段</x:v>
      </x:c>
      <x:c r="M5" s="583" t="str">
        <x:v>推翻条件</x:v>
      </x:c>
      <x:c r="N5" s="583" t="str">
        <x:v>回链</x:v>
      </x:c>
    </x:row>
    <x:row r="6" ht="70" customHeight="1">
      <x:c r="A6" s="19" t="str">
        <x:v>S-33C-01</x:v>
      </x:c>
      <x:c r="B6" s="19" t="str">
        <x:v>供应商映射</x:v>
      </x:c>
      <x:c r="C6" s="19" t="str">
        <x:v>是否其他供应商也更便宜</x:v>
      </x:c>
      <x:c r="D6" s="19" t="str">
        <x:v>只有电池/增程器/部分制动能绑定；其余未知</x:v>
      </x:c>
      <x:c r="E6" s="19" t="str">
        <x:v>3类可绑定</x:v>
      </x:c>
      <x:c r="F6" s="19" t="str">
        <x:v>MIIT+官方</x:v>
      </x:c>
      <x:c r="G6" s="19" t="str">
        <x:v>SIGNED</x:v>
      </x:c>
      <x:c r="H6" s="19" t="str">
        <x:v>HIGH_BOUNDARY</x:v>
      </x:c>
      <x:c r="I6" s="19" t="str">
        <x:v>具体定点有限</x:v>
      </x:c>
      <x:c r="J6" s="19" t="str">
        <x:v>全车都换成低价供应商</x:v>
      </x:c>
      <x:c r="K6" s="19" t="str">
        <x:v>阻止统一折扣</x:v>
      </x:c>
      <x:c r="L6" s="19" t="str">
        <x:v>锁定后再更新</x:v>
      </x:c>
      <x:c r="M6" s="19" t="str">
        <x:v>正式供应商清单</x:v>
      </x:c>
      <x:c r="N6" s="19" t="str">
        <x:v>112</x:v>
      </x:c>
    </x:row>
    <x:row r="7" ht="70" customHeight="1">
      <x:c r="A7" s="584" t="str">
        <x:v>S-33C-02</x:v>
      </x:c>
      <x:c r="B7" s="584" t="str">
        <x:v>非电池模块</x:v>
      </x:c>
      <x:c r="C7" s="584" t="str">
        <x:v>此前过度保守接近归零</x:v>
      </x:c>
      <x:c r="D7" s="584" t="str">
        <x:v>用同功能可比池的行业年降/规模化系数</x:v>
      </x:c>
      <x:c r="E7" s="584" t="str">
        <x:v>中心5%—8%</x:v>
      </x:c>
      <x:c r="F7" s="584" t="str">
        <x:v>问询/年报</x:v>
      </x:c>
      <x:c r="G7" s="584" t="str">
        <x:v>SIGNED_MODEL</x:v>
      </x:c>
      <x:c r="H7" s="584" t="str">
        <x:v>MEDIUM</x:v>
      </x:c>
      <x:c r="I7" s="584" t="str">
        <x:v>存在温和降本空间</x:v>
      </x:c>
      <x:c r="J7" s="584" t="str">
        <x:v>某家已供N90</x:v>
      </x:c>
      <x:c r="K7" s="584" t="str">
        <x:v>扩大低价尾部</x:v>
      </x:c>
      <x:c r="L7" s="584" t="str">
        <x:v>保留敏感性</x:v>
      </x:c>
      <x:c r="M7" s="584" t="str">
        <x:v>定点/拆车反证</x:v>
      </x:c>
      <x:c r="N7" s="584" t="str">
        <x:v>113/114</x:v>
      </x:c>
    </x:row>
    <x:row r="8" ht="70" customHeight="1">
      <x:c r="A8" s="19" t="str">
        <x:v>S-33C-03</x:v>
      </x:c>
      <x:c r="B8" s="19" t="str">
        <x:v>电池</x:v>
      </x:c>
      <x:c r="C8" s="19" t="str">
        <x:v>中航更便宜是否另加</x:v>
      </x:c>
      <x:c r="D8" s="19" t="str">
        <x:v>所有电池差异合并为净元/kWh一次</x:v>
      </x:c>
      <x:c r="E8" s="19" t="str">
        <x:v>NCM中心700元/kWh</x:v>
      </x:c>
      <x:c r="F8" s="19" t="str">
        <x:v>MIIT+BNEF+年报</x:v>
      </x:c>
      <x:c r="G8" s="19" t="str">
        <x:v>SIGNED</x:v>
      </x:c>
      <x:c r="H8" s="19" t="str">
        <x:v>MEDIUM_HIGH</x:v>
      </x:c>
      <x:c r="I8" s="19" t="str">
        <x:v>76kWh中心节省7600元</x:v>
      </x:c>
      <x:c r="J8" s="19" t="str">
        <x:v>小米采购价就是700</x:v>
      </x:c>
      <x:c r="K8" s="19" t="str">
        <x:v>最大单项支撑</x:v>
      </x:c>
      <x:c r="L8" s="19" t="str">
        <x:v>随倍率/采购更新</x:v>
      </x:c>
      <x:c r="M8" s="19" t="str">
        <x:v>电芯/倍率/采购价</x:v>
      </x:c>
      <x:c r="N8" s="19" t="str">
        <x:v>112/114/116</x:v>
      </x:c>
    </x:row>
    <x:row r="9" ht="70" customHeight="1">
      <x:c r="A9" s="584" t="str">
        <x:v>S-33C-04</x:v>
      </x:c>
      <x:c r="B9" s="584" t="str">
        <x:v>N90中心降本</x:v>
      </x:c>
      <x:c r="C9" s="584" t="str">
        <x:v>公共成本底盘缺失</x:v>
      </x:c>
      <x:c r="D9" s="584" t="str">
        <x:v>七模块中心节省约1.27万元未税</x:v>
      </x:c>
      <x:c r="E9" s="589" t="n">
        <x:f>'116_车型成本修正'!F34</x:f>
        <x:v>12722</x:v>
      </x:c>
      <x:c r="F9" s="584" t="str">
        <x:v>工程模型</x:v>
      </x:c>
      <x:c r="G9" s="584" t="str">
        <x:v>SIGNED_MODEL</x:v>
      </x:c>
      <x:c r="H9" s="584" t="str">
        <x:v>MEDIUM</x:v>
      </x:c>
      <x:c r="I9" s="584" t="str">
        <x:v>工程量级约1.27万</x:v>
      </x:c>
      <x:c r="J9" s="584" t="str">
        <x:v>正式价必降1.27万</x:v>
      </x:c>
      <x:c r="K9" s="584" t="str">
        <x:v>提供零售价灵活度</x:v>
      </x:c>
      <x:c r="L9" s="584" t="str">
        <x:v>进入价格联合</x:v>
      </x:c>
      <x:c r="M9" s="584" t="str">
        <x:v>可比池/系数错误</x:v>
      </x:c>
      <x:c r="N9" s="584" t="str">
        <x:v>116</x:v>
      </x:c>
    </x:row>
    <x:row r="10" ht="70" customHeight="1">
      <x:c r="A10" s="19" t="str">
        <x:v>S-33C-05</x:v>
      </x:c>
      <x:c r="B10" s="19" t="str">
        <x:v>N90中心电池占比</x:v>
      </x:c>
      <x:c r="C10" s="19" t="str">
        <x:v>初步占位曾接近九成</x:v>
      </x:c>
      <x:c r="D10" s="19" t="str">
        <x:v>纳入非电池证据后约60%</x:v>
      </x:c>
      <x:c r="E10" s="23" t="n">
        <x:f>'116_车型成本修正'!N34</x:f>
        <x:v>0.5973903474296495</x:v>
      </x:c>
      <x:c r="F10" s="19" t="str">
        <x:v>公式</x:v>
      </x:c>
      <x:c r="G10" s="19" t="str">
        <x:v>SIGNED_REVISION</x:v>
      </x:c>
      <x:c r="H10" s="19" t="str">
        <x:v>MEDIUM</x:v>
      </x:c>
      <x:c r="I10" s="19" t="str">
        <x:v>电池仍最大但非唯一</x:v>
      </x:c>
      <x:c r="J10" s="19" t="str">
        <x:v>其他供应商均已确认</x:v>
      </x:c>
      <x:c r="K10" s="19" t="str">
        <x:v>避免电池单因子</x:v>
      </x:c>
      <x:c r="L10" s="19" t="str">
        <x:v>定点后重算</x:v>
      </x:c>
      <x:c r="M10" s="19" t="str">
        <x:v>非电池基数归零</x:v>
      </x:c>
      <x:c r="N10" s="19" t="str">
        <x:v>116</x:v>
      </x:c>
    </x:row>
    <x:row r="11" ht="70" customHeight="1">
      <x:c r="A11" s="584" t="str">
        <x:v>S-33C-06</x:v>
      </x:c>
      <x:c r="B11" s="584" t="str">
        <x:v>N90中心现金支持</x:v>
      </x:c>
      <x:c r="C11" s="584" t="str">
        <x:v>成本是否等额传价格</x:v>
      </x:c>
      <x:c r="D11" s="584" t="str">
        <x:v>κ/VAT上限后只传导50%</x:v>
      </x:c>
      <x:c r="E11" s="589" t="n">
        <x:f>'116_车型成本修正'!I34</x:f>
        <x:v>7687.3738203735975</x:v>
      </x:c>
      <x:c r="F11" s="584" t="str">
        <x:v>模型规则</x:v>
      </x:c>
      <x:c r="G11" s="584" t="str">
        <x:v>SIGNED_MODEL</x:v>
      </x:c>
      <x:c r="H11" s="584" t="str">
        <x:v>MEDIUM_LOW</x:v>
      </x:c>
      <x:c r="I11" s="584" t="str">
        <x:v>约0.77万元额外支撑</x:v>
      </x:c>
      <x:c r="J11" s="584" t="str">
        <x:v>旧预测机械再减0.77万</x:v>
      </x:c>
      <x:c r="K11" s="584" t="str">
        <x:v>改变权重而非硬减价</x:v>
      </x:c>
      <x:c r="L11" s="584" t="str">
        <x:v>联合竞争/阵容</x:v>
      </x:c>
      <x:c r="M11" s="584" t="str">
        <x:v>品牌保价策略</x:v>
      </x:c>
      <x:c r="N11" s="584" t="str">
        <x:v>114/116</x:v>
      </x:c>
    </x:row>
    <x:row r="12" ht="70" customHeight="1">
      <x:c r="A12" s="19" t="str">
        <x:v>S-33C-07</x:v>
      </x:c>
      <x:c r="B12" s="19" t="str">
        <x:v>N90 Max同版众数</x:v>
      </x:c>
      <x:c r="C12" s="19" t="str">
        <x:v>27.99是否仍成立</x:v>
      </x:c>
      <x:c r="D12" s="19" t="str">
        <x:v>仍为27.99万元</x:v>
      </x:c>
      <x:c r="E12" s="460" t="n">
        <x:f>'117_价格概率传导'!B43</x:f>
        <x:v>279900</x:v>
      </x:c>
      <x:c r="F12" s="19" t="str">
        <x:v>价格分布</x:v>
      </x:c>
      <x:c r="G12" s="19" t="str">
        <x:v>SIGNED_MODE</x:v>
      </x:c>
      <x:c r="H12" s="19" t="str">
        <x:v>MEDIUM</x:v>
      </x:c>
      <x:c r="I12" s="19" t="str">
        <x:v>同版边际众数27.99</x:v>
      </x:c>
      <x:c r="J12" s="19" t="str">
        <x:v>所有阵容下都27.99</x:v>
      </x:c>
      <x:c r="K12" s="19" t="str">
        <x:v>主点不变</x:v>
      </x:c>
      <x:c r="L12" s="19" t="str">
        <x:v>与版本树联合</x:v>
      </x:c>
      <x:c r="M12" s="19" t="str">
        <x:v>低价SKU出现</x:v>
      </x:c>
      <x:c r="N12" s="19" t="str">
        <x:v>117</x:v>
      </x:c>
    </x:row>
    <x:row r="13" ht="70" customHeight="1">
      <x:c r="A13" s="584" t="str">
        <x:v>S-33C-08</x:v>
      </x:c>
      <x:c r="B13" s="584" t="str">
        <x:v>N90更低尾部</x:v>
      </x:c>
      <x:c r="C13" s="584" t="str">
        <x:v>降3万/4万是否有概率</x:v>
      </x:c>
      <x:c r="D13" s="584" t="str">
        <x:v>有：降3万或更多约29%；降4万约7%</x:v>
      </x:c>
      <x:c r="E13" s="588" t="n">
        <x:f>'117_价格概率传导'!B45</x:f>
        <x:v>0.288</x:v>
      </x:c>
      <x:c r="F13" s="584" t="str">
        <x:v>情景权重</x:v>
      </x:c>
      <x:c r="G13" s="584" t="str">
        <x:v>SIGNED_TAIL</x:v>
      </x:c>
      <x:c r="H13" s="584" t="str">
        <x:v>LOW_MEDIUM</x:v>
      </x:c>
      <x:c r="I13" s="584" t="str">
        <x:v>更低并非零概率</x:v>
      </x:c>
      <x:c r="J13" s="584" t="str">
        <x:v>这是统计概率</x:v>
      </x:c>
      <x:c r="K13" s="584" t="str">
        <x:v>补足进取尾部</x:v>
      </x:c>
      <x:c r="L13" s="584" t="str">
        <x:v>纳入3.4A</x:v>
      </x:c>
      <x:c r="M13" s="584" t="str">
        <x:v>订单/竞品/发布价</x:v>
      </x:c>
      <x:c r="N13" s="584" t="str">
        <x:v>117</x:v>
      </x:c>
    </x:row>
    <x:row r="14" ht="70" customHeight="1">
      <x:c r="A14" s="19" t="str">
        <x:v>S-33C-09</x:v>
      </x:c>
      <x:c r="B14" s="19" t="str">
        <x:v>N70 Max同版众数</x:v>
      </x:c>
      <x:c r="C14" s="19" t="str">
        <x:v>供应链后是否下移</x:v>
      </x:c>
      <x:c r="D14" s="19" t="str">
        <x:v>仍为24.99万元；降2万或更多约48%</x:v>
      </x:c>
      <x:c r="E14" s="460" t="n">
        <x:f>'117_价格概率传导'!B40</x:f>
        <x:v>249900</x:v>
      </x:c>
      <x:c r="F14" s="19" t="str">
        <x:v>价格分布</x:v>
      </x:c>
      <x:c r="G14" s="19" t="str">
        <x:v>SIGNED_MODE</x:v>
      </x:c>
      <x:c r="H14" s="19" t="str">
        <x:v>MEDIUM</x:v>
      </x:c>
      <x:c r="I14" s="19" t="str">
        <x:v>24.99仍主点</x:v>
      </x:c>
      <x:c r="J14" s="19" t="str">
        <x:v>N70标准版已官宣</x:v>
      </x:c>
      <x:c r="K14" s="19" t="str">
        <x:v>低价尾部增大</x:v>
      </x:c>
      <x:c r="L14" s="19" t="str">
        <x:v>与N70版本树联合</x:v>
      </x:c>
      <x:c r="M14" s="19" t="str">
        <x:v>正式SKU卡</x:v>
      </x:c>
      <x:c r="N14" s="19" t="str">
        <x:v>117</x:v>
      </x:c>
    </x:row>
    <x:row r="15" ht="70" customHeight="1">
      <x:c r="A15" s="584" t="str">
        <x:v>S-33C-10</x:v>
      </x:c>
      <x:c r="B15" s="584" t="str">
        <x:v>版本树</x:v>
      </x:c>
      <x:c r="C15" s="584" t="str">
        <x:v>是否已经最终结论</x:v>
      </x:c>
      <x:c r="D15" s="584" t="str">
        <x:v>尚未：3.3C不改Standard/Pro/Max存在权重</x:v>
      </x:c>
      <x:c r="E15" s="584" t="str">
        <x:v>下一阶段联合</x:v>
      </x:c>
      <x:c r="F15" s="584" t="str">
        <x:v>103/106</x:v>
      </x:c>
      <x:c r="G15" s="584" t="str">
        <x:v>READY_NEXT_PHASE</x:v>
      </x:c>
      <x:c r="H15" s="584" t="str">
        <x:v>HIGH_METHOD</x:v>
      </x:c>
      <x:c r="I15" s="584" t="str">
        <x:v>供应链底座已就绪</x:v>
      </x:c>
      <x:c r="J15" s="584" t="str">
        <x:v>69%是最终全系概率</x:v>
      </x:c>
      <x:c r="K15" s="584" t="str">
        <x:v>为3.3D/3.4A提供输入</x:v>
      </x:c>
      <x:c r="L15" s="584" t="str">
        <x:v>门槛敏感性</x:v>
      </x:c>
      <x:c r="M15" s="584" t="str">
        <x:v>官方SKU卡</x:v>
      </x:c>
      <x:c r="N15" s="584" t="str">
        <x:v>103/106/117</x:v>
      </x:c>
    </x:row>
    <x:row r="16" ht="70" customHeight="1">
      <x:c r="A16" s="19" t="str">
        <x:v>S-33C-11</x:v>
      </x:c>
      <x:c r="B16" s="19" t="str">
        <x:v>官方正式价</x:v>
      </x:c>
      <x:c r="C16" s="19" t="str">
        <x:v>是否已有确认价</x:v>
      </x:c>
      <x:c r="D16" s="19" t="str">
        <x:v>仍为0个</x:v>
      </x:c>
      <x:c r="E16" s="19" t="n">
        <x:v>0</x:v>
      </x:c>
      <x:c r="F16" s="19" t="str">
        <x:v>官方状态</x:v>
      </x:c>
      <x:c r="G16" s="19" t="str">
        <x:v>BLOCKED_OFFICIAL_PRICE</x:v>
      </x:c>
      <x:c r="H16" s="19" t="str">
        <x:v>HIGH</x:v>
      </x:c>
      <x:c r="I16" s="19" t="str">
        <x:v>全部仍是预测</x:v>
      </x:c>
      <x:c r="J16" s="19" t="str">
        <x:v>预售价=正式价</x:v>
      </x:c>
      <x:c r="K16" s="19" t="str">
        <x:v>等待发布会</x:v>
      </x:c>
      <x:c r="L16" s="19" t="str">
        <x:v>后续替换</x:v>
      </x:c>
      <x:c r="M16" s="19" t="str">
        <x:v>正式价格公布</x:v>
      </x:c>
      <x:c r="N16" s="19" t="str">
        <x:v>41/117</x:v>
      </x:c>
    </x:row>
    <x:row r="19" ht="24" customHeight="1">
      <x:c r="A19" s="587" t="str">
        <x:v>可对外使用的简版</x:v>
      </x:c>
      <x:c r="B19" s="587"/>
      <x:c r="C19" s="587"/>
      <x:c r="D19" s="587"/>
      <x:c r="E19" s="587"/>
      <x:c r="F19" s="587"/>
      <x:c r="G19" s="587"/>
      <x:c r="H19" s="587"/>
      <x:c r="I19" s="587"/>
      <x:c r="J19" s="587"/>
      <x:c r="K19" s="587"/>
      <x:c r="L19" s="587"/>
      <x:c r="M19" s="587"/>
      <x:c r="N19" s="587"/>
    </x:row>
    <x:row r="20" ht="62" customHeight="1">
      <x:c r="A20" s="19" t="str">
        <x:v>1</x:v>
      </x:c>
      <x:c r="B20" s="19" t="str">
        <x:v>供应链</x:v>
      </x:c>
      <x:c r="C20" s="19" t="str">
        <x:v>目前只有电池、增程器与部分博世制动能绑定具体车型；其他模块的供应商名称未知，但可比核心BOM仍有行业年降与规模化空间。</x:v>
      </x:c>
      <x:c r="D20" s="19" t="str"/>
      <x:c r="E20" s="19" t="str"/>
      <x:c r="F20" s="19" t="str"/>
      <x:c r="G20" s="19" t="str">
        <x:v>SIGNED</x:v>
      </x:c>
      <x:c r="H20" s="19" t="str">
        <x:v>MEDIUM</x:v>
      </x:c>
      <x:c r="I20" s="19" t="str"/>
      <x:c r="J20" s="19" t="str"/>
      <x:c r="K20" s="19" t="str"/>
      <x:c r="L20" s="19" t="str"/>
      <x:c r="M20" s="19" t="str"/>
      <x:c r="N20" s="19" t="str">
        <x:v>112—114</x:v>
      </x:c>
    </x:row>
    <x:row r="21" ht="62" customHeight="1">
      <x:c r="A21" s="584" t="str">
        <x:v>2</x:v>
      </x:c>
      <x:c r="B21" s="584" t="str">
        <x:v>成本</x:v>
      </x:c>
      <x:c r="C21" s="584" t="str">
        <x:v>N90中心情景供应链节省约1.27万元，其中电池约60%、其他模块约40%；这是工程量级，不是小米采购价。</x:v>
      </x:c>
      <x:c r="D21" s="584" t="str"/>
      <x:c r="E21" s="584" t="str"/>
      <x:c r="F21" s="584" t="str"/>
      <x:c r="G21" s="584" t="str">
        <x:v>SIGNED</x:v>
      </x:c>
      <x:c r="H21" s="584" t="str">
        <x:v>MEDIUM</x:v>
      </x:c>
      <x:c r="I21" s="584" t="str"/>
      <x:c r="J21" s="584" t="str"/>
      <x:c r="K21" s="584" t="str"/>
      <x:c r="L21" s="584" t="str"/>
      <x:c r="M21" s="584" t="str"/>
      <x:c r="N21" s="584" t="str">
        <x:v>116</x:v>
      </x:c>
    </x:row>
    <x:row r="22" ht="62" customHeight="1">
      <x:c r="A22" s="19" t="str">
        <x:v>3</x:v>
      </x:c>
      <x:c r="B22" s="19" t="str">
        <x:v>传导</x:v>
      </x:c>
      <x:c r="C22" s="19" t="str">
        <x:v>中心只假设50%通过现金正式价传给消费者，因此约提供0.77万元额外价格支持，而不是机械减价。</x:v>
      </x:c>
      <x:c r="D22" s="19" t="str"/>
      <x:c r="E22" s="19" t="str"/>
      <x:c r="F22" s="19" t="str"/>
      <x:c r="G22" s="19" t="str">
        <x:v>SIGNED</x:v>
      </x:c>
      <x:c r="H22" s="19" t="str">
        <x:v>MEDIUM_LOW</x:v>
      </x:c>
      <x:c r="I22" s="19" t="str"/>
      <x:c r="J22" s="19" t="str"/>
      <x:c r="K22" s="19" t="str"/>
      <x:c r="L22" s="19" t="str"/>
      <x:c r="M22" s="19" t="str"/>
      <x:c r="N22" s="19" t="str">
        <x:v>114/116</x:v>
      </x:c>
    </x:row>
    <x:row r="23" ht="62" customHeight="1">
      <x:c r="A23" s="584" t="str">
        <x:v>4</x:v>
      </x:c>
      <x:c r="B23" s="584" t="str">
        <x:v>N90</x:v>
      </x:c>
      <x:c r="C23" s="584" t="str">
        <x:v>同版Max众数仍为27.99万元；降至26.99万元或更低约29%，降至25.99万元约7%，更低并非没有概率。</x:v>
      </x:c>
      <x:c r="D23" s="584" t="str"/>
      <x:c r="E23" s="584" t="str"/>
      <x:c r="F23" s="584" t="str"/>
      <x:c r="G23" s="584" t="str">
        <x:v>SIGNED</x:v>
      </x:c>
      <x:c r="H23" s="584" t="str">
        <x:v>LOW_MEDIUM</x:v>
      </x:c>
      <x:c r="I23" s="584" t="str"/>
      <x:c r="J23" s="584" t="str"/>
      <x:c r="K23" s="584" t="str"/>
      <x:c r="L23" s="584" t="str"/>
      <x:c r="M23" s="584" t="str"/>
      <x:c r="N23" s="584" t="str">
        <x:v>117</x:v>
      </x:c>
    </x:row>
    <x:row r="24" ht="62" customHeight="1">
      <x:c r="A24" s="19" t="str">
        <x:v>5</x:v>
      </x:c>
      <x:c r="B24" s="19" t="str">
        <x:v>N70</x:v>
      </x:c>
      <x:c r="C24" s="19" t="str">
        <x:v>同版Max众数仍为24.99万元；降至23.99万元或更低的工作权重约48%。</x:v>
      </x:c>
      <x:c r="D24" s="19" t="str"/>
      <x:c r="E24" s="19" t="str"/>
      <x:c r="F24" s="19" t="str"/>
      <x:c r="G24" s="19" t="str">
        <x:v>SIGNED</x:v>
      </x:c>
      <x:c r="H24" s="19" t="str">
        <x:v>MEDIUM</x:v>
      </x:c>
      <x:c r="I24" s="19" t="str"/>
      <x:c r="J24" s="19" t="str"/>
      <x:c r="K24" s="19" t="str"/>
      <x:c r="L24" s="19" t="str"/>
      <x:c r="M24" s="19" t="str"/>
      <x:c r="N24" s="19" t="str">
        <x:v>117</x:v>
      </x:c>
    </x:row>
    <x:row r="25" ht="62" customHeight="1">
      <x:c r="A25" s="584" t="str">
        <x:v>6</x:v>
      </x:c>
      <x:c r="B25" s="584" t="str">
        <x:v>边界</x:v>
      </x:c>
      <x:c r="C25" s="584" t="str">
        <x:v>这些仍是同版价格边际；N90是否出现标准版/Pro、标准版是否保留空悬、N70—N90价格围栏还要在下一阶段联合。</x:v>
      </x:c>
      <x:c r="D25" s="584" t="str"/>
      <x:c r="E25" s="584" t="str"/>
      <x:c r="F25" s="584" t="str"/>
      <x:c r="G25" s="584" t="str">
        <x:v>READY_NEXT_PHASE</x:v>
      </x:c>
      <x:c r="H25" s="584" t="str">
        <x:v>HIGH_METHOD</x:v>
      </x:c>
      <x:c r="I25" s="584" t="str"/>
      <x:c r="J25" s="584" t="str"/>
      <x:c r="K25" s="584" t="str"/>
      <x:c r="L25" s="584" t="str"/>
      <x:c r="M25" s="584" t="str"/>
      <x:c r="N25" s="584" t="str">
        <x:v>103—107/117</x:v>
      </x:c>
    </x:row>
  </x:sheetData>
  <x:mergeCells>
    <x:mergeCell ref="A1:N1"/>
    <x:mergeCell ref="A2:N2"/>
    <x:mergeCell ref="A3:N3"/>
    <x:mergeCell ref="A19:N19"/>
  </x:mergeCells>
  <x:conditionalFormatting sqref="G6:H16">
    <x:cfRule type="containsText" dxfId="3102" priority="1" operator="containsText" text="PASS"/>
    <x:cfRule type="containsText" dxfId="3103" priority="2" operator="containsText" text="READY"/>
    <x:cfRule type="containsText" dxfId="3104" priority="3" operator="containsText" text="CONFIRMED"/>
    <x:cfRule type="containsText" dxfId="3105" priority="4" operator="containsText" text="OFFICIAL"/>
    <x:cfRule type="containsText" dxfId="3106" priority="5" operator="containsText" text="YES"/>
    <x:cfRule type="containsText" dxfId="3107" priority="6" operator="containsText" text="CENTRAL"/>
    <x:cfRule type="containsText" dxfId="3108" priority="7" operator="containsText" text="MODELLED"/>
    <x:cfRule type="containsText" dxfId="3109" priority="8" operator="containsText" text="CONDITIONAL"/>
    <x:cfRule type="containsText" dxfId="3110" priority="9" operator="containsText" text="SENSITIVITY"/>
    <x:cfRule type="containsText" dxfId="3111" priority="10" operator="containsText" text="MEDIUM"/>
    <x:cfRule type="containsText" dxfId="3112" priority="11" operator="containsText" text="LOW"/>
    <x:cfRule type="containsText" dxfId="3113" priority="12" operator="containsText" text="WATCH"/>
    <x:cfRule type="containsText" dxfId="3114" priority="13" operator="containsText" text="EXCLUDED"/>
    <x:cfRule type="containsText" dxfId="3115" priority="14" operator="containsText" text="NO"/>
    <x:cfRule type="containsText" dxfId="3116" priority="15" operator="containsText" text="HOLD"/>
    <x:cfRule type="containsText" dxfId="3117" priority="16" operator="containsText" text="FAIL"/>
    <x:cfRule type="containsText" dxfId="3118" priority="17" operator="containsText" text="BLOCKED"/>
  </x:conditionalFormatting>
  <x:conditionalFormatting sqref="G20:H25">
    <x:cfRule type="containsText" dxfId="3119" priority="18" operator="containsText" text="PASS"/>
    <x:cfRule type="containsText" dxfId="3120" priority="19" operator="containsText" text="READY"/>
    <x:cfRule type="containsText" dxfId="3121" priority="20" operator="containsText" text="CONFIRMED"/>
    <x:cfRule type="containsText" dxfId="3122" priority="21" operator="containsText" text="OFFICIAL"/>
    <x:cfRule type="containsText" dxfId="3123" priority="22" operator="containsText" text="YES"/>
    <x:cfRule type="containsText" dxfId="3124" priority="23" operator="containsText" text="CENTRAL"/>
    <x:cfRule type="containsText" dxfId="3125" priority="24" operator="containsText" text="MODELLED"/>
    <x:cfRule type="containsText" dxfId="3126" priority="25" operator="containsText" text="CONDITIONAL"/>
    <x:cfRule type="containsText" dxfId="3127" priority="26" operator="containsText" text="SENSITIVITY"/>
    <x:cfRule type="containsText" dxfId="3128" priority="27" operator="containsText" text="MEDIUM"/>
    <x:cfRule type="containsText" dxfId="3129" priority="28" operator="containsText" text="LOW"/>
    <x:cfRule type="containsText" dxfId="3130" priority="29" operator="containsText" text="WATCH"/>
    <x:cfRule type="containsText" dxfId="3131" priority="30" operator="containsText" text="EXCLUDED"/>
    <x:cfRule type="containsText" dxfId="3132" priority="31" operator="containsText" text="NO"/>
    <x:cfRule type="containsText" dxfId="3133" priority="32" operator="containsText" text="HOLD"/>
    <x:cfRule type="containsText" dxfId="3134" priority="33" operator="containsText" text="FAIL"/>
    <x:cfRule type="containsText" dxfId="3135" priority="34" operator="containsText" text="BLOCKED"/>
  </x:conditionalFormatting>
  <x:pageMargins left="0.7" right="0.7" top="0.75" bottom="0.75" header="0.3" footer="0.3"/>
</x:worksheet>
</file>

<file path=xl/worksheets/sheet12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19" hidden="0" customWidth="1"/>
    <x:col min="3" max="3" width="48" hidden="0" customWidth="1"/>
    <x:col min="4" max="4" width="24" hidden="0" customWidth="1"/>
    <x:col min="5" max="5" width="24" hidden="0" customWidth="1"/>
    <x:col min="6" max="6" width="14" hidden="0" customWidth="1"/>
    <x:col min="7" max="7" width="14" hidden="0" customWidth="1"/>
    <x:col min="8" max="8" width="43" hidden="0" customWidth="1"/>
  </x:cols>
  <x:sheetData>
    <x:row r="1" ht="30" customHeight="1">
      <x:c r="A1" s="571" t="str">
        <x:v>119｜Phase 3.3C机器校验</x:v>
      </x:c>
      <x:c r="B1" s="571"/>
      <x:c r="C1" s="571"/>
      <x:c r="D1" s="571"/>
      <x:c r="E1" s="571"/>
      <x:c r="F1" s="571"/>
      <x:c r="G1" s="571"/>
      <x:c r="H1" s="571"/>
    </x:row>
    <x:row r="2" ht="22" customHeight="1">
      <x:c r="A2" s="574" t="str">
        <x:v>供应商证据边界、系数单调性、电池防重、车型汇总、价格权重与同版边际</x:v>
      </x:c>
      <x:c r="B2" s="574"/>
      <x:c r="C2" s="574"/>
      <x:c r="D2" s="574"/>
      <x:c r="E2" s="574"/>
      <x:c r="F2" s="574"/>
      <x:c r="G2" s="574"/>
      <x:c r="H2" s="574"/>
    </x:row>
    <x:row r="3" ht="94" customHeight="1">
      <x:c r="A3" s="578" t="str">
        <x:v>校验通过只代表模型内部一致，不代表预测一定实现。最关键的边界是：电池净率只进入一次；东安增程器和Bosch供应商身份不产生负成本；版本树权重保持在3.3B；正式官方售价数量仍为0。</x:v>
      </x:c>
      <x:c r="B3" s="578"/>
      <x:c r="C3" s="578"/>
      <x:c r="D3" s="578"/>
      <x:c r="E3" s="578"/>
      <x:c r="F3" s="578"/>
      <x:c r="G3" s="578"/>
      <x:c r="H3" s="578"/>
    </x:row>
    <x:row r="5" ht="48" customHeight="1">
      <x:c r="A5" s="583" t="str">
        <x:v>check_id</x:v>
      </x:c>
      <x:c r="B5" s="583" t="str">
        <x:v>类别</x:v>
      </x:c>
      <x:c r="C5" s="583" t="str">
        <x:v>断言</x:v>
      </x:c>
      <x:c r="D5" s="583" t="str">
        <x:v>Expected</x:v>
      </x:c>
      <x:c r="E5" s="583" t="str">
        <x:v>Actual</x:v>
      </x:c>
      <x:c r="F5" s="583" t="str">
        <x:v>Result</x:v>
      </x:c>
      <x:c r="G5" s="583" t="str">
        <x:v>Severity</x:v>
      </x:c>
      <x:c r="H5" s="583" t="str">
        <x:v>说明</x:v>
      </x:c>
    </x:row>
    <x:row r="6" ht="40" customHeight="1">
      <x:c r="A6" s="19" t="str">
        <x:v>CHK-33C-01</x:v>
      </x:c>
      <x:c r="B6" s="19" t="str">
        <x:v>SCENARIO</x:v>
      </x:c>
      <x:c r="C6" s="19" t="str">
        <x:v>情景权重合计</x:v>
      </x:c>
      <x:c r="D6" s="19" t="n">
        <x:v>1</x:v>
      </x:c>
      <x:c r="E6" s="19" t="n">
        <x:f>SUM('114_降本系数'!B26:B28)</x:f>
        <x:v>1</x:v>
      </x:c>
      <x:c r="F6" s="19" t="str">
        <x:f>IF(ABS(E6-D6)&lt;0.0001,"PASS","FAIL")</x:f>
        <x:v>PASS</x:v>
      </x:c>
      <x:c r="G6" s="19" t="str">
        <x:v>ERROR</x:v>
      </x:c>
      <x:c r="H6" s="19" t="str"/>
    </x:row>
    <x:row r="7" ht="40" customHeight="1">
      <x:c r="A7" s="584" t="str">
        <x:v>CHK-33C-02</x:v>
      </x:c>
      <x:c r="B7" s="584" t="str">
        <x:v>SCENARIO</x:v>
      </x:c>
      <x:c r="C7" s="584" t="str">
        <x:v>保守现金传导率</x:v>
      </x:c>
      <x:c r="D7" s="584" t="n">
        <x:v>0.25</x:v>
      </x:c>
      <x:c r="E7" s="584" t="n">
        <x:f>'114_降本系数'!C26</x:f>
        <x:v>0.25</x:v>
      </x:c>
      <x:c r="F7" s="584" t="str">
        <x:f>IF(ABS(E7-D7)&lt;0.0001,"PASS","FAIL")</x:f>
        <x:v>PASS</x:v>
      </x:c>
      <x:c r="G7" s="584" t="str">
        <x:v>ERROR</x:v>
      </x:c>
      <x:c r="H7" s="584" t="str"/>
    </x:row>
    <x:row r="8" ht="40" customHeight="1">
      <x:c r="A8" s="19" t="str">
        <x:v>CHK-33C-03</x:v>
      </x:c>
      <x:c r="B8" s="19" t="str">
        <x:v>SCENARIO</x:v>
      </x:c>
      <x:c r="C8" s="19" t="str">
        <x:v>中心现金传导率</x:v>
      </x:c>
      <x:c r="D8" s="19" t="n">
        <x:v>0.5</x:v>
      </x:c>
      <x:c r="E8" s="19" t="n">
        <x:f>'114_降本系数'!C27</x:f>
        <x:v>0.5</x:v>
      </x:c>
      <x:c r="F8" s="19" t="str">
        <x:f>IF(ABS(E8-D8)&lt;0.0001,"PASS","FAIL")</x:f>
        <x:v>PASS</x:v>
      </x:c>
      <x:c r="G8" s="19" t="str">
        <x:v>ERROR</x:v>
      </x:c>
      <x:c r="H8" s="19" t="str"/>
    </x:row>
    <x:row r="9" ht="40" customHeight="1">
      <x:c r="A9" s="584" t="str">
        <x:v>CHK-33C-04</x:v>
      </x:c>
      <x:c r="B9" s="584" t="str">
        <x:v>SCENARIO</x:v>
      </x:c>
      <x:c r="C9" s="584" t="str">
        <x:v>进取现金传导率</x:v>
      </x:c>
      <x:c r="D9" s="584" t="n">
        <x:v>0.75</x:v>
      </x:c>
      <x:c r="E9" s="584" t="n">
        <x:f>'114_降本系数'!C28</x:f>
        <x:v>0.75</x:v>
      </x:c>
      <x:c r="F9" s="584" t="str">
        <x:f>IF(ABS(E9-D9)&lt;0.0001,"PASS","FAIL")</x:f>
        <x:v>PASS</x:v>
      </x:c>
      <x:c r="G9" s="584" t="str">
        <x:v>ERROR</x:v>
      </x:c>
      <x:c r="H9" s="584" t="str"/>
    </x:row>
    <x:row r="10" ht="40" customHeight="1">
      <x:c r="A10" s="19" t="str">
        <x:v>CHK-33C-05</x:v>
      </x:c>
      <x:c r="B10" s="19" t="str">
        <x:v>RATES</x:v>
      </x:c>
      <x:c r="C10" s="19" t="str">
        <x:v>模块7系数单调</x:v>
      </x:c>
      <x:c r="D10" s="19" t="n">
        <x:v>1</x:v>
      </x:c>
      <x:c r="E10" s="19" t="n">
        <x:f>IF(AND('114_降本系数'!C7&lt;='114_降本系数'!D7,'114_降本系数'!D7&lt;='114_降本系数'!E7),1,0)</x:f>
        <x:v>1</x:v>
      </x:c>
      <x:c r="F10" s="19" t="str">
        <x:f>IF(ABS(E10-D10)&lt;0.0001,"PASS","FAIL")</x:f>
        <x:v>PASS</x:v>
      </x:c>
      <x:c r="G10" s="19" t="str">
        <x:v>ERROR</x:v>
      </x:c>
      <x:c r="H10" s="19" t="str"/>
    </x:row>
    <x:row r="11" ht="40" customHeight="1">
      <x:c r="A11" s="584" t="str">
        <x:v>CHK-33C-06</x:v>
      </x:c>
      <x:c r="B11" s="584" t="str">
        <x:v>RATES</x:v>
      </x:c>
      <x:c r="C11" s="584" t="str">
        <x:v>模块8系数单调</x:v>
      </x:c>
      <x:c r="D11" s="584" t="n">
        <x:v>1</x:v>
      </x:c>
      <x:c r="E11" s="584" t="n">
        <x:f>IF(AND('114_降本系数'!C8&lt;='114_降本系数'!D8,'114_降本系数'!D8&lt;='114_降本系数'!E8),1,0)</x:f>
        <x:v>1</x:v>
      </x:c>
      <x:c r="F11" s="584" t="str">
        <x:f>IF(ABS(E11-D11)&lt;0.0001,"PASS","FAIL")</x:f>
        <x:v>PASS</x:v>
      </x:c>
      <x:c r="G11" s="584" t="str">
        <x:v>ERROR</x:v>
      </x:c>
      <x:c r="H11" s="584" t="str"/>
    </x:row>
    <x:row r="12" ht="40" customHeight="1">
      <x:c r="A12" s="19" t="str">
        <x:v>CHK-33C-07</x:v>
      </x:c>
      <x:c r="B12" s="19" t="str">
        <x:v>RATES</x:v>
      </x:c>
      <x:c r="C12" s="19" t="str">
        <x:v>模块9系数单调</x:v>
      </x:c>
      <x:c r="D12" s="19" t="n">
        <x:v>1</x:v>
      </x:c>
      <x:c r="E12" s="19" t="n">
        <x:f>IF(AND('114_降本系数'!C9&lt;='114_降本系数'!D9,'114_降本系数'!D9&lt;='114_降本系数'!E9),1,0)</x:f>
        <x:v>1</x:v>
      </x:c>
      <x:c r="F12" s="19" t="str">
        <x:f>IF(ABS(E12-D12)&lt;0.0001,"PASS","FAIL")</x:f>
        <x:v>PASS</x:v>
      </x:c>
      <x:c r="G12" s="19" t="str">
        <x:v>ERROR</x:v>
      </x:c>
      <x:c r="H12" s="19" t="str"/>
    </x:row>
    <x:row r="13" ht="40" customHeight="1">
      <x:c r="A13" s="584" t="str">
        <x:v>CHK-33C-08</x:v>
      </x:c>
      <x:c r="B13" s="584" t="str">
        <x:v>RATES</x:v>
      </x:c>
      <x:c r="C13" s="584" t="str">
        <x:v>模块10系数单调</x:v>
      </x:c>
      <x:c r="D13" s="584" t="n">
        <x:v>1</x:v>
      </x:c>
      <x:c r="E13" s="584" t="n">
        <x:f>IF(AND('114_降本系数'!C10&lt;='114_降本系数'!D10,'114_降本系数'!D10&lt;='114_降本系数'!E10),1,0)</x:f>
        <x:v>1</x:v>
      </x:c>
      <x:c r="F13" s="584" t="str">
        <x:f>IF(ABS(E13-D13)&lt;0.0001,"PASS","FAIL")</x:f>
        <x:v>PASS</x:v>
      </x:c>
      <x:c r="G13" s="584" t="str">
        <x:v>ERROR</x:v>
      </x:c>
      <x:c r="H13" s="584" t="str"/>
    </x:row>
    <x:row r="14" ht="40" customHeight="1">
      <x:c r="A14" s="19" t="str">
        <x:v>CHK-33C-09</x:v>
      </x:c>
      <x:c r="B14" s="19" t="str">
        <x:v>RATES</x:v>
      </x:c>
      <x:c r="C14" s="19" t="str">
        <x:v>模块11系数单调</x:v>
      </x:c>
      <x:c r="D14" s="19" t="n">
        <x:v>1</x:v>
      </x:c>
      <x:c r="E14" s="19" t="n">
        <x:f>IF(AND('114_降本系数'!C11&lt;='114_降本系数'!D11,'114_降本系数'!D11&lt;='114_降本系数'!E11),1,0)</x:f>
        <x:v>1</x:v>
      </x:c>
      <x:c r="F14" s="19" t="str">
        <x:f>IF(ABS(E14-D14)&lt;0.0001,"PASS","FAIL")</x:f>
        <x:v>PASS</x:v>
      </x:c>
      <x:c r="G14" s="19" t="str">
        <x:v>ERROR</x:v>
      </x:c>
      <x:c r="H14" s="19" t="str"/>
    </x:row>
    <x:row r="15" ht="40" customHeight="1">
      <x:c r="A15" s="584" t="str">
        <x:v>CHK-33C-10</x:v>
      </x:c>
      <x:c r="B15" s="584" t="str">
        <x:v>RATES</x:v>
      </x:c>
      <x:c r="C15" s="584" t="str">
        <x:v>模块12系数单调</x:v>
      </x:c>
      <x:c r="D15" s="584" t="n">
        <x:v>1</x:v>
      </x:c>
      <x:c r="E15" s="584" t="n">
        <x:f>IF(AND('114_降本系数'!C12&lt;='114_降本系数'!D12,'114_降本系数'!D12&lt;='114_降本系数'!E12),1,0)</x:f>
        <x:v>1</x:v>
      </x:c>
      <x:c r="F15" s="584" t="str">
        <x:f>IF(ABS(E15-D15)&lt;0.0001,"PASS","FAIL")</x:f>
        <x:v>PASS</x:v>
      </x:c>
      <x:c r="G15" s="584" t="str">
        <x:v>ERROR</x:v>
      </x:c>
      <x:c r="H15" s="584" t="str"/>
    </x:row>
    <x:row r="16" ht="40" customHeight="1">
      <x:c r="A16" s="19" t="str">
        <x:v>CHK-33C-11</x:v>
      </x:c>
      <x:c r="B16" s="19" t="str">
        <x:v>EXCLUSION</x:v>
      </x:c>
      <x:c r="C16" s="19" t="str">
        <x:v>增程器中心供应折扣为0</x:v>
      </x:c>
      <x:c r="D16" s="19" t="n">
        <x:v>0</x:v>
      </x:c>
      <x:c r="E16" s="19" t="n">
        <x:f>'114_降本系数'!D13</x:f>
        <x:v>0</x:v>
      </x:c>
      <x:c r="F16" s="19" t="str">
        <x:f>IF(ABS(E16-D16)&lt;0.0001,"PASS","FAIL")</x:f>
        <x:v>PASS</x:v>
      </x:c>
      <x:c r="G16" s="19" t="str">
        <x:v>ERROR</x:v>
      </x:c>
      <x:c r="H16" s="19" t="str"/>
    </x:row>
    <x:row r="17" ht="40" customHeight="1">
      <x:c r="A17" s="584" t="str">
        <x:v>CHK-33C-12</x:v>
      </x:c>
      <x:c r="B17" s="584" t="str">
        <x:v>EXCLUSION</x:v>
      </x:c>
      <x:c r="C17" s="584" t="str">
        <x:v>博世制动中心供应折扣为0</x:v>
      </x:c>
      <x:c r="D17" s="584" t="n">
        <x:v>0</x:v>
      </x:c>
      <x:c r="E17" s="584" t="n">
        <x:f>'114_降本系数'!D14</x:f>
        <x:v>0</x:v>
      </x:c>
      <x:c r="F17" s="584" t="str">
        <x:f>IF(ABS(E17-D17)&lt;0.0001,"PASS","FAIL")</x:f>
        <x:v>PASS</x:v>
      </x:c>
      <x:c r="G17" s="584" t="str">
        <x:v>ERROR</x:v>
      </x:c>
      <x:c r="H17" s="584" t="str"/>
    </x:row>
    <x:row r="18" ht="40" customHeight="1">
      <x:c r="A18" s="19" t="str">
        <x:v>CHK-33C-13</x:v>
      </x:c>
      <x:c r="B18" s="19" t="str">
        <x:v>BATTERY</x:v>
      </x:c>
      <x:c r="C18" s="19" t="str">
        <x:v>电池走廊19新成本单调</x:v>
      </x:c>
      <x:c r="D18" s="19" t="n">
        <x:v>1</x:v>
      </x:c>
      <x:c r="E18" s="19" t="n">
        <x:f>IF(AND('114_降本系数'!E19&gt;='114_降本系数'!G19,'114_降本系数'!G19&gt;='114_降本系数'!I19),1,0)</x:f>
        <x:v>1</x:v>
      </x:c>
      <x:c r="F18" s="19" t="str">
        <x:f>IF(ABS(E18-D18)&lt;0.0001,"PASS","FAIL")</x:f>
        <x:v>PASS</x:v>
      </x:c>
      <x:c r="G18" s="19" t="str">
        <x:v>ERROR</x:v>
      </x:c>
      <x:c r="H18" s="19" t="str"/>
    </x:row>
    <x:row r="19" ht="40" customHeight="1">
      <x:c r="A19" s="584" t="str">
        <x:v>CHK-33C-14</x:v>
      </x:c>
      <x:c r="B19" s="584" t="str">
        <x:v>BATTERY</x:v>
      </x:c>
      <x:c r="C19" s="584" t="str">
        <x:v>电池走廊19中心节省正数</x:v>
      </x:c>
      <x:c r="D19" s="584" t="n">
        <x:v>1</x:v>
      </x:c>
      <x:c r="E19" s="584" t="n">
        <x:f>IF('114_降本系数'!L19&gt;0,1,0)</x:f>
        <x:v>1</x:v>
      </x:c>
      <x:c r="F19" s="584" t="str">
        <x:f>IF(ABS(E19-D19)&lt;0.0001,"PASS","FAIL")</x:f>
        <x:v>PASS</x:v>
      </x:c>
      <x:c r="G19" s="584" t="str">
        <x:v>ERROR</x:v>
      </x:c>
      <x:c r="H19" s="584" t="str"/>
    </x:row>
    <x:row r="20" ht="40" customHeight="1">
      <x:c r="A20" s="19" t="str">
        <x:v>CHK-33C-15</x:v>
      </x:c>
      <x:c r="B20" s="19" t="str">
        <x:v>BATTERY</x:v>
      </x:c>
      <x:c r="C20" s="19" t="str">
        <x:v>电池走廊20新成本单调</x:v>
      </x:c>
      <x:c r="D20" s="19" t="n">
        <x:v>1</x:v>
      </x:c>
      <x:c r="E20" s="19" t="n">
        <x:f>IF(AND('114_降本系数'!E20&gt;='114_降本系数'!G20,'114_降本系数'!G20&gt;='114_降本系数'!I20),1,0)</x:f>
        <x:v>1</x:v>
      </x:c>
      <x:c r="F20" s="19" t="str">
        <x:f>IF(ABS(E20-D20)&lt;0.0001,"PASS","FAIL")</x:f>
        <x:v>PASS</x:v>
      </x:c>
      <x:c r="G20" s="19" t="str">
        <x:v>ERROR</x:v>
      </x:c>
      <x:c r="H20" s="19" t="str"/>
    </x:row>
    <x:row r="21" ht="40" customHeight="1">
      <x:c r="A21" s="584" t="str">
        <x:v>CHK-33C-16</x:v>
      </x:c>
      <x:c r="B21" s="584" t="str">
        <x:v>BATTERY</x:v>
      </x:c>
      <x:c r="C21" s="584" t="str">
        <x:v>电池走廊20中心节省正数</x:v>
      </x:c>
      <x:c r="D21" s="584" t="n">
        <x:v>1</x:v>
      </x:c>
      <x:c r="E21" s="584" t="n">
        <x:f>IF('114_降本系数'!L20&gt;0,1,0)</x:f>
        <x:v>1</x:v>
      </x:c>
      <x:c r="F21" s="584" t="str">
        <x:f>IF(ABS(E21-D21)&lt;0.0001,"PASS","FAIL")</x:f>
        <x:v>PASS</x:v>
      </x:c>
      <x:c r="G21" s="584" t="str">
        <x:v>ERROR</x:v>
      </x:c>
      <x:c r="H21" s="584" t="str"/>
    </x:row>
    <x:row r="22" ht="40" customHeight="1">
      <x:c r="A22" s="19" t="str">
        <x:v>CHK-33C-17</x:v>
      </x:c>
      <x:c r="B22" s="19" t="str">
        <x:v>BATTERY</x:v>
      </x:c>
      <x:c r="C22" s="19" t="str">
        <x:v>电池走廊21新成本单调</x:v>
      </x:c>
      <x:c r="D22" s="19" t="n">
        <x:v>1</x:v>
      </x:c>
      <x:c r="E22" s="19" t="n">
        <x:f>IF(AND('114_降本系数'!E21&gt;='114_降本系数'!G21,'114_降本系数'!G21&gt;='114_降本系数'!I21),1,0)</x:f>
        <x:v>1</x:v>
      </x:c>
      <x:c r="F22" s="19" t="str">
        <x:f>IF(ABS(E22-D22)&lt;0.0001,"PASS","FAIL")</x:f>
        <x:v>PASS</x:v>
      </x:c>
      <x:c r="G22" s="19" t="str">
        <x:v>ERROR</x:v>
      </x:c>
      <x:c r="H22" s="19" t="str"/>
    </x:row>
    <x:row r="23" ht="40" customHeight="1">
      <x:c r="A23" s="584" t="str">
        <x:v>CHK-33C-18</x:v>
      </x:c>
      <x:c r="B23" s="584" t="str">
        <x:v>BATTERY</x:v>
      </x:c>
      <x:c r="C23" s="584" t="str">
        <x:v>电池走廊21中心节省正数</x:v>
      </x:c>
      <x:c r="D23" s="584" t="n">
        <x:v>1</x:v>
      </x:c>
      <x:c r="E23" s="584" t="n">
        <x:f>IF('114_降本系数'!L21&gt;0,1,0)</x:f>
        <x:v>1</x:v>
      </x:c>
      <x:c r="F23" s="584" t="str">
        <x:f>IF(ABS(E23-D23)&lt;0.0001,"PASS","FAIL")</x:f>
        <x:v>PASS</x:v>
      </x:c>
      <x:c r="G23" s="584" t="str">
        <x:v>ERROR</x:v>
      </x:c>
      <x:c r="H23" s="584" t="str"/>
    </x:row>
    <x:row r="24" ht="40" customHeight="1">
      <x:c r="A24" s="19" t="str">
        <x:v>CHK-33C-19</x:v>
      </x:c>
      <x:c r="B24" s="19" t="str">
        <x:v>SUPPLIER</x:v>
      </x:c>
      <x:c r="C24" s="19" t="str">
        <x:v>前6项车型绑定供应体系证据均非NO</x:v>
      </x:c>
      <x:c r="D24" s="19" t="n">
        <x:v>1</x:v>
      </x:c>
      <x:c r="E24" s="19" t="n">
        <x:f>IF(AND('112_供应商证据'!F6&lt;&gt;"NO",'112_供应商证据'!F7&lt;&gt;"NO",'112_供应商证据'!F8&lt;&gt;"NO",'112_供应商证据'!F9&lt;&gt;"NO",'112_供应商证据'!F10&lt;&gt;"NO",'112_供应商证据'!F11&lt;&gt;"NO"),1,0)</x:f>
        <x:v>1</x:v>
      </x:c>
      <x:c r="F24" s="19" t="str">
        <x:f>IF(ABS(E24-D24)&lt;0.0001,"PASS","FAIL")</x:f>
        <x:v>PASS</x:v>
      </x:c>
      <x:c r="G24" s="19" t="str">
        <x:v>ERROR</x:v>
      </x:c>
      <x:c r="H24" s="19" t="str"/>
    </x:row>
    <x:row r="25" ht="40" customHeight="1">
      <x:c r="A25" s="584" t="str">
        <x:v>CHK-33C-20</x:v>
      </x:c>
      <x:c r="B25" s="584" t="str">
        <x:v>SUPPLIER</x:v>
      </x:c>
      <x:c r="C25" s="584" t="str">
        <x:v>电驱具体供应商仍未知</x:v>
      </x:c>
      <x:c r="D25" s="584" t="n">
        <x:v>1</x:v>
      </x:c>
      <x:c r="E25" s="584" t="n">
        <x:f>IF('112_供应商证据'!F13="NO",1,0)</x:f>
        <x:v>1</x:v>
      </x:c>
      <x:c r="F25" s="584" t="str">
        <x:f>IF(ABS(E25-D25)&lt;0.0001,"PASS","FAIL")</x:f>
        <x:v>PASS</x:v>
      </x:c>
      <x:c r="G25" s="584" t="str">
        <x:v>ERROR</x:v>
      </x:c>
      <x:c r="H25" s="584" t="str"/>
    </x:row>
    <x:row r="26" ht="40" customHeight="1">
      <x:c r="A26" s="19" t="str">
        <x:v>CHK-33C-21</x:v>
      </x:c>
      <x:c r="B26" s="19" t="str">
        <x:v>SUPPLIER</x:v>
      </x:c>
      <x:c r="C26" s="19" t="str">
        <x:v>热管理具体供应商仍未知</x:v>
      </x:c>
      <x:c r="D26" s="19" t="n">
        <x:v>1</x:v>
      </x:c>
      <x:c r="E26" s="19" t="n">
        <x:f>IF('112_供应商证据'!F15="NO",1,0)</x:f>
        <x:v>1</x:v>
      </x:c>
      <x:c r="F26" s="19" t="str">
        <x:f>IF(ABS(E26-D26)&lt;0.0001,"PASS","FAIL")</x:f>
        <x:v>PASS</x:v>
      </x:c>
      <x:c r="G26" s="19" t="str">
        <x:v>ERROR</x:v>
      </x:c>
      <x:c r="H26" s="19" t="str"/>
    </x:row>
    <x:row r="27" ht="40" customHeight="1">
      <x:c r="A27" s="584" t="str">
        <x:v>CHK-33C-22</x:v>
      </x:c>
      <x:c r="B27" s="584" t="str">
        <x:v>SUPPLIER</x:v>
      </x:c>
      <x:c r="C27" s="584" t="str">
        <x:v>座椅具体供应商仍未知</x:v>
      </x:c>
      <x:c r="D27" s="584" t="n">
        <x:v>1</x:v>
      </x:c>
      <x:c r="E27" s="584" t="n">
        <x:f>IF('112_供应商证据'!F16="NO",1,0)</x:f>
        <x:v>1</x:v>
      </x:c>
      <x:c r="F27" s="584" t="str">
        <x:f>IF(ABS(E27-D27)&lt;0.0001,"PASS","FAIL")</x:f>
        <x:v>PASS</x:v>
      </x:c>
      <x:c r="G27" s="584" t="str">
        <x:v>ERROR</x:v>
      </x:c>
      <x:c r="H27" s="584" t="str"/>
    </x:row>
    <x:row r="28" ht="40" customHeight="1">
      <x:c r="A28" s="19" t="str">
        <x:v>CHK-33C-23</x:v>
      </x:c>
      <x:c r="B28" s="19" t="str">
        <x:v>SUPPLIER</x:v>
      </x:c>
      <x:c r="C28" s="19" t="str">
        <x:v>座舱具体供应商仍未知</x:v>
      </x:c>
      <x:c r="D28" s="19" t="n">
        <x:v>1</x:v>
      </x:c>
      <x:c r="E28" s="19" t="n">
        <x:f>IF('112_供应商证据'!F17="NO",1,0)</x:f>
        <x:v>1</x:v>
      </x:c>
      <x:c r="F28" s="19" t="str">
        <x:f>IF(ABS(E28-D28)&lt;0.0001,"PASS","FAIL")</x:f>
        <x:v>PASS</x:v>
      </x:c>
      <x:c r="G28" s="19" t="str">
        <x:v>ERROR</x:v>
      </x:c>
      <x:c r="H28" s="19" t="str"/>
    </x:row>
    <x:row r="29" ht="40" customHeight="1">
      <x:c r="A29" s="584" t="str">
        <x:v>CHK-33C-24</x:v>
      </x:c>
      <x:c r="B29" s="584" t="str">
        <x:v>COST</x:v>
      </x:c>
      <x:c r="C29" s="584" t="str">
        <x:v>N70标准候选保守节省</x:v>
      </x:c>
      <x:c r="D29" s="584" t="n">
        <x:v>2516</x:v>
      </x:c>
      <x:c r="E29" s="584" t="n">
        <x:f>ROUND('116_车型成本修正'!B32,0)</x:f>
        <x:v>2516</x:v>
      </x:c>
      <x:c r="F29" s="584" t="str">
        <x:f>IF(ABS(E29-D29)&lt;0.0001,"PASS","FAIL")</x:f>
        <x:v>PASS</x:v>
      </x:c>
      <x:c r="G29" s="584" t="str">
        <x:v>ERROR</x:v>
      </x:c>
      <x:c r="H29" s="584" t="str"/>
    </x:row>
    <x:row r="30" ht="40" customHeight="1">
      <x:c r="A30" s="19" t="str">
        <x:v>CHK-33C-25</x:v>
      </x:c>
      <x:c r="B30" s="19" t="str">
        <x:v>COST</x:v>
      </x:c>
      <x:c r="C30" s="19" t="str">
        <x:v>N70标准候选中心节省</x:v>
      </x:c>
      <x:c r="D30" s="19" t="n">
        <x:v>7076</x:v>
      </x:c>
      <x:c r="E30" s="19" t="n">
        <x:f>ROUND('116_车型成本修正'!F32,0)</x:f>
        <x:v>7076</x:v>
      </x:c>
      <x:c r="F30" s="19" t="str">
        <x:f>IF(ABS(E30-D30)&lt;0.0001,"PASS","FAIL")</x:f>
        <x:v>PASS</x:v>
      </x:c>
      <x:c r="G30" s="19" t="str">
        <x:v>ERROR</x:v>
      </x:c>
      <x:c r="H30" s="19" t="str"/>
    </x:row>
    <x:row r="31" ht="40" customHeight="1">
      <x:c r="A31" s="584" t="str">
        <x:v>CHK-33C-26</x:v>
      </x:c>
      <x:c r="B31" s="584" t="str">
        <x:v>COST</x:v>
      </x:c>
      <x:c r="C31" s="584" t="str">
        <x:v>N70标准候选进取节省</x:v>
      </x:c>
      <x:c r="D31" s="584" t="n">
        <x:v>12270</x:v>
      </x:c>
      <x:c r="E31" s="584" t="n">
        <x:f>ROUND('116_车型成本修正'!J32,0)</x:f>
        <x:v>12270</x:v>
      </x:c>
      <x:c r="F31" s="584" t="str">
        <x:f>IF(ABS(E31-D31)&lt;0.0001,"PASS","FAIL")</x:f>
        <x:v>PASS</x:v>
      </x:c>
      <x:c r="G31" s="584" t="str">
        <x:v>ERROR</x:v>
      </x:c>
      <x:c r="H31" s="584" t="str"/>
    </x:row>
    <x:row r="32" ht="40" customHeight="1">
      <x:c r="A32" s="19" t="str">
        <x:v>CHK-33C-27</x:v>
      </x:c>
      <x:c r="B32" s="19" t="str">
        <x:v>COST</x:v>
      </x:c>
      <x:c r="C32" s="19" t="str">
        <x:v>N70 Max保守节省</x:v>
      </x:c>
      <x:c r="D32" s="19" t="n">
        <x:v>4722</x:v>
      </x:c>
      <x:c r="E32" s="19" t="n">
        <x:f>ROUND('116_车型成本修正'!B33,0)</x:f>
        <x:v>4722</x:v>
      </x:c>
      <x:c r="F32" s="19" t="str">
        <x:f>IF(ABS(E32-D32)&lt;0.0001,"PASS","FAIL")</x:f>
        <x:v>PASS</x:v>
      </x:c>
      <x:c r="G32" s="19" t="str">
        <x:v>ERROR</x:v>
      </x:c>
      <x:c r="H32" s="19" t="str"/>
    </x:row>
    <x:row r="33" ht="40" customHeight="1">
      <x:c r="A33" s="584" t="str">
        <x:v>CHK-33C-28</x:v>
      </x:c>
      <x:c r="B33" s="584" t="str">
        <x:v>COST</x:v>
      </x:c>
      <x:c r="C33" s="584" t="str">
        <x:v>N70 Max中心节省</x:v>
      </x:c>
      <x:c r="D33" s="584" t="n">
        <x:v>12112</x:v>
      </x:c>
      <x:c r="E33" s="584" t="n">
        <x:f>ROUND('116_车型成本修正'!F33,0)</x:f>
        <x:v>12112</x:v>
      </x:c>
      <x:c r="F33" s="584" t="str">
        <x:f>IF(ABS(E33-D33)&lt;0.0001,"PASS","FAIL")</x:f>
        <x:v>PASS</x:v>
      </x:c>
      <x:c r="G33" s="584" t="str">
        <x:v>ERROR</x:v>
      </x:c>
      <x:c r="H33" s="584" t="str"/>
    </x:row>
    <x:row r="34" ht="40" customHeight="1">
      <x:c r="A34" s="19" t="str">
        <x:v>CHK-33C-29</x:v>
      </x:c>
      <x:c r="B34" s="19" t="str">
        <x:v>COST</x:v>
      </x:c>
      <x:c r="C34" s="19" t="str">
        <x:v>N70 Max进取节省</x:v>
      </x:c>
      <x:c r="D34" s="19" t="n">
        <x:v>20220</x:v>
      </x:c>
      <x:c r="E34" s="19" t="n">
        <x:f>ROUND('116_车型成本修正'!J33,0)</x:f>
        <x:v>20220</x:v>
      </x:c>
      <x:c r="F34" s="19" t="str">
        <x:f>IF(ABS(E34-D34)&lt;0.0001,"PASS","FAIL")</x:f>
        <x:v>PASS</x:v>
      </x:c>
      <x:c r="G34" s="19" t="str">
        <x:v>ERROR</x:v>
      </x:c>
      <x:c r="H34" s="19" t="str"/>
    </x:row>
    <x:row r="35" ht="40" customHeight="1">
      <x:c r="A35" s="584" t="str">
        <x:v>CHK-33C-30</x:v>
      </x:c>
      <x:c r="B35" s="584" t="str">
        <x:v>COST</x:v>
      </x:c>
      <x:c r="C35" s="584" t="str">
        <x:v>N90保守节省</x:v>
      </x:c>
      <x:c r="D35" s="584" t="n">
        <x:v>4982</x:v>
      </x:c>
      <x:c r="E35" s="584" t="n">
        <x:f>ROUND('116_车型成本修正'!B34,0)</x:f>
        <x:v>4982</x:v>
      </x:c>
      <x:c r="F35" s="584" t="str">
        <x:f>IF(ABS(E35-D35)&lt;0.0001,"PASS","FAIL")</x:f>
        <x:v>PASS</x:v>
      </x:c>
      <x:c r="G35" s="584" t="str">
        <x:v>ERROR</x:v>
      </x:c>
      <x:c r="H35" s="584" t="str"/>
    </x:row>
    <x:row r="36" ht="40" customHeight="1">
      <x:c r="A36" s="19" t="str">
        <x:v>CHK-33C-31</x:v>
      </x:c>
      <x:c r="B36" s="19" t="str">
        <x:v>COST</x:v>
      </x:c>
      <x:c r="C36" s="19" t="str">
        <x:v>N90中心节省</x:v>
      </x:c>
      <x:c r="D36" s="19" t="n">
        <x:v>12722</x:v>
      </x:c>
      <x:c r="E36" s="19" t="n">
        <x:f>ROUND('116_车型成本修正'!F34,0)</x:f>
        <x:v>12722</x:v>
      </x:c>
      <x:c r="F36" s="19" t="str">
        <x:f>IF(ABS(E36-D36)&lt;0.0001,"PASS","FAIL")</x:f>
        <x:v>PASS</x:v>
      </x:c>
      <x:c r="G36" s="19" t="str">
        <x:v>ERROR</x:v>
      </x:c>
      <x:c r="H36" s="19" t="str"/>
    </x:row>
    <x:row r="37" ht="40" customHeight="1">
      <x:c r="A37" s="584" t="str">
        <x:v>CHK-33C-32</x:v>
      </x:c>
      <x:c r="B37" s="584" t="str">
        <x:v>COST</x:v>
      </x:c>
      <x:c r="C37" s="584" t="str">
        <x:v>N90进取节省</x:v>
      </x:c>
      <x:c r="D37" s="584" t="n">
        <x:v>21360</x:v>
      </x:c>
      <x:c r="E37" s="584" t="n">
        <x:f>ROUND('116_车型成本修正'!J34,0)</x:f>
        <x:v>21360</x:v>
      </x:c>
      <x:c r="F37" s="584" t="str">
        <x:f>IF(ABS(E37-D37)&lt;0.0001,"PASS","FAIL")</x:f>
        <x:v>PASS</x:v>
      </x:c>
      <x:c r="G37" s="584" t="str">
        <x:v>ERROR</x:v>
      </x:c>
      <x:c r="H37" s="584" t="str"/>
    </x:row>
    <x:row r="38" ht="40" customHeight="1">
      <x:c r="A38" s="19" t="str">
        <x:v>CHK-33C-33</x:v>
      </x:c>
      <x:c r="B38" s="19" t="str">
        <x:v>COST</x:v>
      </x:c>
      <x:c r="C38" s="19" t="str">
        <x:v>N90中心电池占比</x:v>
      </x:c>
      <x:c r="D38" s="19" t="n">
        <x:v>0.5973903474296495</x:v>
      </x:c>
      <x:c r="E38" s="19" t="n">
        <x:f>'116_车型成本修正'!N34</x:f>
        <x:v>0.5973903474296495</x:v>
      </x:c>
      <x:c r="F38" s="19" t="str">
        <x:f>IF(ABS(E38-D38)&lt;0.0001,"PASS","FAIL")</x:f>
        <x:v>PASS</x:v>
      </x:c>
      <x:c r="G38" s="19" t="str">
        <x:v>ERROR</x:v>
      </x:c>
      <x:c r="H38" s="19" t="str"/>
    </x:row>
    <x:row r="39" ht="40" customHeight="1">
      <x:c r="A39" s="584" t="str">
        <x:v>CHK-33C-34</x:v>
      </x:c>
      <x:c r="B39" s="584" t="str">
        <x:v>COST</x:v>
      </x:c>
      <x:c r="C39" s="584" t="str">
        <x:v>N90中心现金支持</x:v>
      </x:c>
      <x:c r="D39" s="584" t="n">
        <x:v>7687.373820373598</x:v>
      </x:c>
      <x:c r="E39" s="584" t="n">
        <x:f>'116_车型成本修正'!I34</x:f>
        <x:v>7687.3738203735975</x:v>
      </x:c>
      <x:c r="F39" s="584" t="str">
        <x:f>IF(ABS(E39-D39)&lt;0.0001,"PASS","FAIL")</x:f>
        <x:v>PASS</x:v>
      </x:c>
      <x:c r="G39" s="584" t="str">
        <x:v>ERROR</x:v>
      </x:c>
      <x:c r="H39" s="584" t="str"/>
    </x:row>
    <x:row r="40" ht="40" customHeight="1">
      <x:c r="A40" s="19" t="str">
        <x:v>CHK-33C-35</x:v>
      </x:c>
      <x:c r="B40" s="19" t="str">
        <x:v>COST</x:v>
      </x:c>
      <x:c r="C40" s="19" t="str">
        <x:v>N90进取现金支持</x:v>
      </x:c>
      <x:c r="D40" s="19" t="n">
        <x:v>19360.435246405443</x:v>
      </x:c>
      <x:c r="E40" s="19" t="n">
        <x:f>'116_车型成本修正'!M34</x:f>
        <x:v>19360.435246405443</x:v>
      </x:c>
      <x:c r="F40" s="19" t="str">
        <x:f>IF(ABS(E40-D40)&lt;0.0001,"PASS","FAIL")</x:f>
        <x:v>PASS</x:v>
      </x:c>
      <x:c r="G40" s="19" t="str">
        <x:v>ERROR</x:v>
      </x:c>
      <x:c r="H40" s="19" t="str"/>
    </x:row>
    <x:row r="41" ht="40" customHeight="1">
      <x:c r="A41" s="584" t="str">
        <x:v>CHK-33C-36</x:v>
      </x:c>
      <x:c r="B41" s="584" t="str">
        <x:v>PRICE</x:v>
      </x:c>
      <x:c r="C41" s="584" t="str">
        <x:v>N70情景C权重合计</x:v>
      </x:c>
      <x:c r="D41" s="584" t="n">
        <x:v>1</x:v>
      </x:c>
      <x:c r="E41" s="584" t="n">
        <x:f>SUM('117_价格概率传导'!C6:C11)</x:f>
        <x:v>1</x:v>
      </x:c>
      <x:c r="F41" s="584" t="str">
        <x:f>IF(ABS(E41-D41)&lt;0.0001,"PASS","FAIL")</x:f>
        <x:v>PASS</x:v>
      </x:c>
      <x:c r="G41" s="584" t="str">
        <x:v>ERROR</x:v>
      </x:c>
      <x:c r="H41" s="584" t="str"/>
    </x:row>
    <x:row r="42" ht="40" customHeight="1">
      <x:c r="A42" s="19" t="str">
        <x:v>CHK-33C-37</x:v>
      </x:c>
      <x:c r="B42" s="19" t="str">
        <x:v>PRICE</x:v>
      </x:c>
      <x:c r="C42" s="19" t="str">
        <x:v>N70情景D权重合计</x:v>
      </x:c>
      <x:c r="D42" s="19" t="n">
        <x:v>1</x:v>
      </x:c>
      <x:c r="E42" s="19" t="n">
        <x:f>SUM('117_价格概率传导'!D6:D11)</x:f>
        <x:v>1</x:v>
      </x:c>
      <x:c r="F42" s="19" t="str">
        <x:f>IF(ABS(E42-D42)&lt;0.0001,"PASS","FAIL")</x:f>
        <x:v>PASS</x:v>
      </x:c>
      <x:c r="G42" s="19" t="str">
        <x:v>ERROR</x:v>
      </x:c>
      <x:c r="H42" s="19" t="str"/>
    </x:row>
    <x:row r="43" ht="40" customHeight="1">
      <x:c r="A43" s="584" t="str">
        <x:v>CHK-33C-38</x:v>
      </x:c>
      <x:c r="B43" s="584" t="str">
        <x:v>PRICE</x:v>
      </x:c>
      <x:c r="C43" s="584" t="str">
        <x:v>N70情景E权重合计</x:v>
      </x:c>
      <x:c r="D43" s="584" t="n">
        <x:v>1</x:v>
      </x:c>
      <x:c r="E43" s="584" t="n">
        <x:f>SUM('117_价格概率传导'!E6:E11)</x:f>
        <x:v>1</x:v>
      </x:c>
      <x:c r="F43" s="584" t="str">
        <x:f>IF(ABS(E43-D43)&lt;0.0001,"PASS","FAIL")</x:f>
        <x:v>PASS</x:v>
      </x:c>
      <x:c r="G43" s="584" t="str">
        <x:v>ERROR</x:v>
      </x:c>
      <x:c r="H43" s="584" t="str"/>
    </x:row>
    <x:row r="44" ht="40" customHeight="1">
      <x:c r="A44" s="19" t="str">
        <x:v>CHK-33C-39</x:v>
      </x:c>
      <x:c r="B44" s="19" t="str">
        <x:v>PRICE</x:v>
      </x:c>
      <x:c r="C44" s="19" t="str">
        <x:v>N90情景C权重合计</x:v>
      </x:c>
      <x:c r="D44" s="19" t="n">
        <x:v>1</x:v>
      </x:c>
      <x:c r="E44" s="19" t="n">
        <x:f>SUM('117_价格概率传导'!C16:C21)</x:f>
        <x:v>1</x:v>
      </x:c>
      <x:c r="F44" s="19" t="str">
        <x:f>IF(ABS(E44-D44)&lt;0.0001,"PASS","FAIL")</x:f>
        <x:v>PASS</x:v>
      </x:c>
      <x:c r="G44" s="19" t="str">
        <x:v>ERROR</x:v>
      </x:c>
      <x:c r="H44" s="19" t="str"/>
    </x:row>
    <x:row r="45" ht="40" customHeight="1">
      <x:c r="A45" s="584" t="str">
        <x:v>CHK-33C-40</x:v>
      </x:c>
      <x:c r="B45" s="584" t="str">
        <x:v>PRICE</x:v>
      </x:c>
      <x:c r="C45" s="584" t="str">
        <x:v>N90情景D权重合计</x:v>
      </x:c>
      <x:c r="D45" s="584" t="n">
        <x:v>1</x:v>
      </x:c>
      <x:c r="E45" s="584" t="n">
        <x:f>SUM('117_价格概率传导'!D16:D21)</x:f>
        <x:v>1</x:v>
      </x:c>
      <x:c r="F45" s="584" t="str">
        <x:f>IF(ABS(E45-D45)&lt;0.0001,"PASS","FAIL")</x:f>
        <x:v>PASS</x:v>
      </x:c>
      <x:c r="G45" s="584" t="str">
        <x:v>ERROR</x:v>
      </x:c>
      <x:c r="H45" s="584" t="str"/>
    </x:row>
    <x:row r="46" ht="40" customHeight="1">
      <x:c r="A46" s="19" t="str">
        <x:v>CHK-33C-41</x:v>
      </x:c>
      <x:c r="B46" s="19" t="str">
        <x:v>PRICE</x:v>
      </x:c>
      <x:c r="C46" s="19" t="str">
        <x:v>N90情景E权重合计</x:v>
      </x:c>
      <x:c r="D46" s="19" t="n">
        <x:v>1</x:v>
      </x:c>
      <x:c r="E46" s="19" t="n">
        <x:f>SUM('117_价格概率传导'!E16:E21)</x:f>
        <x:v>1</x:v>
      </x:c>
      <x:c r="F46" s="19" t="str">
        <x:f>IF(ABS(E46-D46)&lt;0.0001,"PASS","FAIL")</x:f>
        <x:v>PASS</x:v>
      </x:c>
      <x:c r="G46" s="19" t="str">
        <x:v>ERROR</x:v>
      </x:c>
      <x:c r="H46" s="19" t="str"/>
    </x:row>
    <x:row r="47" ht="40" customHeight="1">
      <x:c r="A47" s="584" t="str">
        <x:v>CHK-33C-42</x:v>
      </x:c>
      <x:c r="B47" s="584" t="str">
        <x:v>PRICE</x:v>
      </x:c>
      <x:c r="C47" s="584" t="str">
        <x:v>N70加权权重合计</x:v>
      </x:c>
      <x:c r="D47" s="584" t="n">
        <x:v>1</x:v>
      </x:c>
      <x:c r="E47" s="584" t="n">
        <x:f>'117_价格概率传导'!B39</x:f>
        <x:v>1</x:v>
      </x:c>
      <x:c r="F47" s="584" t="str">
        <x:f>IF(ABS(E47-D47)&lt;0.0001,"PASS","FAIL")</x:f>
        <x:v>PASS</x:v>
      </x:c>
      <x:c r="G47" s="584" t="str">
        <x:v>ERROR</x:v>
      </x:c>
      <x:c r="H47" s="584" t="str"/>
    </x:row>
    <x:row r="48" ht="40" customHeight="1">
      <x:c r="A48" s="19" t="str">
        <x:v>CHK-33C-43</x:v>
      </x:c>
      <x:c r="B48" s="19" t="str">
        <x:v>PRICE</x:v>
      </x:c>
      <x:c r="C48" s="19" t="str">
        <x:v>N90加权权重合计</x:v>
      </x:c>
      <x:c r="D48" s="19" t="n">
        <x:v>1</x:v>
      </x:c>
      <x:c r="E48" s="19" t="n">
        <x:f>'117_价格概率传导'!C26</x:f>
        <x:v>1</x:v>
      </x:c>
      <x:c r="F48" s="19" t="str">
        <x:f>IF(ABS(E48-D48)&lt;0.0001,"PASS","FAIL")</x:f>
        <x:v>PASS</x:v>
      </x:c>
      <x:c r="G48" s="19" t="str">
        <x:v>ERROR</x:v>
      </x:c>
      <x:c r="H48" s="19" t="str"/>
    </x:row>
    <x:row r="49" ht="40" customHeight="1">
      <x:c r="A49" s="584" t="str">
        <x:v>CHK-33C-44</x:v>
      </x:c>
      <x:c r="B49" s="584" t="str">
        <x:v>PRICE</x:v>
      </x:c>
      <x:c r="C49" s="584" t="str">
        <x:v>N70同版众数</x:v>
      </x:c>
      <x:c r="D49" s="584" t="n">
        <x:v>249900</x:v>
      </x:c>
      <x:c r="E49" s="584" t="n">
        <x:f>'117_价格概率传导'!B40</x:f>
        <x:v>249900</x:v>
      </x:c>
      <x:c r="F49" s="584" t="str">
        <x:f>IF(ABS(E49-D49)&lt;0.0001,"PASS","FAIL")</x:f>
        <x:v>PASS</x:v>
      </x:c>
      <x:c r="G49" s="584" t="str">
        <x:v>ERROR</x:v>
      </x:c>
      <x:c r="H49" s="584" t="str"/>
    </x:row>
    <x:row r="50" ht="40" customHeight="1">
      <x:c r="A50" s="19" t="str">
        <x:v>CHK-33C-45</x:v>
      </x:c>
      <x:c r="B50" s="19" t="str">
        <x:v>PRICE</x:v>
      </x:c>
      <x:c r="C50" s="19" t="str">
        <x:v>N90同版众数</x:v>
      </x:c>
      <x:c r="D50" s="19" t="n">
        <x:v>279900</x:v>
      </x:c>
      <x:c r="E50" s="19" t="n">
        <x:f>'117_价格概率传导'!B43</x:f>
        <x:v>279900</x:v>
      </x:c>
      <x:c r="F50" s="19" t="str">
        <x:f>IF(ABS(E50-D50)&lt;0.0001,"PASS","FAIL")</x:f>
        <x:v>PASS</x:v>
      </x:c>
      <x:c r="G50" s="19" t="str">
        <x:v>ERROR</x:v>
      </x:c>
      <x:c r="H50" s="19" t="str"/>
    </x:row>
    <x:row r="51" ht="40" customHeight="1">
      <x:c r="A51" s="584" t="str">
        <x:v>CHK-33C-46</x:v>
      </x:c>
      <x:c r="B51" s="584" t="str">
        <x:v>PRICE</x:v>
      </x:c>
      <x:c r="C51" s="584" t="str">
        <x:v>N70期望价</x:v>
      </x:c>
      <x:c r="D51" s="584" t="n">
        <x:v>243605</x:v>
      </x:c>
      <x:c r="E51" s="584" t="n">
        <x:f>ROUND('117_价格概率传导'!B28,0)</x:f>
        <x:v>243605</x:v>
      </x:c>
      <x:c r="F51" s="584" t="str">
        <x:f>IF(ABS(E51-D51)&lt;0.0001,"PASS","FAIL")</x:f>
        <x:v>PASS</x:v>
      </x:c>
      <x:c r="G51" s="584" t="str">
        <x:v>ERROR</x:v>
      </x:c>
      <x:c r="H51" s="584" t="str"/>
    </x:row>
    <x:row r="52" ht="40" customHeight="1">
      <x:c r="A52" s="19" t="str">
        <x:v>CHK-33C-47</x:v>
      </x:c>
      <x:c r="B52" s="19" t="str">
        <x:v>PRICE</x:v>
      </x:c>
      <x:c r="C52" s="19" t="str">
        <x:v>N90期望价</x:v>
      </x:c>
      <x:c r="D52" s="19" t="n">
        <x:v>279860</x:v>
      </x:c>
      <x:c r="E52" s="19" t="n">
        <x:f>ROUND('117_价格概率传导'!C28,0)</x:f>
        <x:v>279860</x:v>
      </x:c>
      <x:c r="F52" s="19" t="str">
        <x:f>IF(ABS(E52-D52)&lt;0.0001,"PASS","FAIL")</x:f>
        <x:v>PASS</x:v>
      </x:c>
      <x:c r="G52" s="19" t="str">
        <x:v>ERROR</x:v>
      </x:c>
      <x:c r="H52" s="19" t="str"/>
    </x:row>
    <x:row r="53" ht="40" customHeight="1">
      <x:c r="A53" s="584" t="str">
        <x:v>CHK-33C-48</x:v>
      </x:c>
      <x:c r="B53" s="584" t="str">
        <x:v>PRICE</x:v>
      </x:c>
      <x:c r="C53" s="584" t="str">
        <x:v>N70降2万或更多</x:v>
      </x:c>
      <x:c r="D53" s="584" t="n">
        <x:v>0.478</x:v>
      </x:c>
      <x:c r="E53" s="584" t="n">
        <x:f>'117_价格概率传导'!B41</x:f>
        <x:v>0.478</x:v>
      </x:c>
      <x:c r="F53" s="584" t="str">
        <x:f>IF(ABS(E53-D53)&lt;0.0001,"PASS","FAIL")</x:f>
        <x:v>PASS</x:v>
      </x:c>
      <x:c r="G53" s="584" t="str">
        <x:v>ERROR</x:v>
      </x:c>
      <x:c r="H53" s="584" t="str"/>
    </x:row>
    <x:row r="54" ht="40" customHeight="1">
      <x:c r="A54" s="19" t="str">
        <x:v>CHK-33C-49</x:v>
      </x:c>
      <x:c r="B54" s="19" t="str">
        <x:v>PRICE</x:v>
      </x:c>
      <x:c r="C54" s="19" t="str">
        <x:v>N90降2万或更多</x:v>
      </x:c>
      <x:c r="D54" s="19" t="n">
        <x:v>0.6895</x:v>
      </x:c>
      <x:c r="E54" s="19" t="n">
        <x:f>'117_价格概率传导'!B44</x:f>
        <x:v>0.6895</x:v>
      </x:c>
      <x:c r="F54" s="19" t="str">
        <x:f>IF(ABS(E54-D54)&lt;0.0001,"PASS","FAIL")</x:f>
        <x:v>PASS</x:v>
      </x:c>
      <x:c r="G54" s="19" t="str">
        <x:v>ERROR</x:v>
      </x:c>
      <x:c r="H54" s="19" t="str"/>
    </x:row>
    <x:row r="55" ht="40" customHeight="1">
      <x:c r="A55" s="584" t="str">
        <x:v>CHK-33C-50</x:v>
      </x:c>
      <x:c r="B55" s="584" t="str">
        <x:v>PRICE</x:v>
      </x:c>
      <x:c r="C55" s="584" t="str">
        <x:v>N90降3万或更多</x:v>
      </x:c>
      <x:c r="D55" s="584" t="n">
        <x:v>0.288</x:v>
      </x:c>
      <x:c r="E55" s="584" t="n">
        <x:f>'117_价格概率传导'!B45</x:f>
        <x:v>0.288</x:v>
      </x:c>
      <x:c r="F55" s="584" t="str">
        <x:f>IF(ABS(E55-D55)&lt;0.0001,"PASS","FAIL")</x:f>
        <x:v>PASS</x:v>
      </x:c>
      <x:c r="G55" s="584" t="str">
        <x:v>ERROR</x:v>
      </x:c>
      <x:c r="H55" s="584" t="str"/>
    </x:row>
    <x:row r="56" ht="40" customHeight="1">
      <x:c r="A56" s="19" t="str">
        <x:v>CHK-33C-51</x:v>
      </x:c>
      <x:c r="B56" s="19" t="str">
        <x:v>PRICE</x:v>
      </x:c>
      <x:c r="C56" s="19" t="str">
        <x:v>N90降4万或更多</x:v>
      </x:c>
      <x:c r="D56" s="19" t="n">
        <x:v>0.0705</x:v>
      </x:c>
      <x:c r="E56" s="19" t="n">
        <x:f>'117_价格概率传导'!B46</x:f>
        <x:v>0.0705</x:v>
      </x:c>
      <x:c r="F56" s="19" t="str">
        <x:f>IF(ABS(E56-D56)&lt;0.0001,"PASS","FAIL")</x:f>
        <x:v>PASS</x:v>
      </x:c>
      <x:c r="G56" s="19" t="str">
        <x:v>ERROR</x:v>
      </x:c>
      <x:c r="H56" s="19" t="str"/>
    </x:row>
    <x:row r="57" ht="40" customHeight="1">
      <x:c r="A57" s="584" t="str">
        <x:v>CHK-33C-52</x:v>
      </x:c>
      <x:c r="B57" s="584" t="str">
        <x:v>VERSION</x:v>
      </x:c>
      <x:c r="C57" s="584" t="str">
        <x:v>3.3B发布时版本树权重仍合计1</x:v>
      </x:c>
      <x:c r="D57" s="584" t="n">
        <x:v>1</x:v>
      </x:c>
      <x:c r="E57" s="584" t="n">
        <x:f>SUM('103_N90版本树'!B14:B17)</x:f>
        <x:v>1</x:v>
      </x:c>
      <x:c r="F57" s="584" t="str">
        <x:f>IF(ABS(E57-D57)&lt;0.0001,"PASS","FAIL")</x:f>
        <x:v>PASS</x:v>
      </x:c>
      <x:c r="G57" s="584" t="str">
        <x:v>ERROR</x:v>
      </x:c>
      <x:c r="H57" s="584" t="str"/>
    </x:row>
    <x:row r="58" ht="40" customHeight="1">
      <x:c r="A58" s="19" t="str">
        <x:v>CHK-33C-53</x:v>
      </x:c>
      <x:c r="B58" s="19" t="str">
        <x:v>VERSION</x:v>
      </x:c>
      <x:c r="C58" s="19" t="str">
        <x:v>N90标准版发布存在工作权重仍为35%</x:v>
      </x:c>
      <x:c r="D58" s="19" t="n">
        <x:v>0.35</x:v>
      </x:c>
      <x:c r="E58" s="19" t="n">
        <x:f>'103_N90版本树'!B22</x:f>
        <x:v>0.35</x:v>
      </x:c>
      <x:c r="F58" s="19" t="str">
        <x:f>IF(ABS(E58-D58)&lt;0.0001,"PASS","FAIL")</x:f>
        <x:v>PASS</x:v>
      </x:c>
      <x:c r="G58" s="19" t="str">
        <x:v>ERROR</x:v>
      </x:c>
      <x:c r="H58" s="19" t="str"/>
    </x:row>
    <x:row r="59" ht="40" customHeight="1">
      <x:c r="A59" s="584" t="str">
        <x:v>CHK-33C-54</x:v>
      </x:c>
      <x:c r="B59" s="584" t="str">
        <x:v>GATE</x:v>
      </x:c>
      <x:c r="C59" s="584" t="str">
        <x:v>正式官方价格数量</x:v>
      </x:c>
      <x:c r="D59" s="584" t="n">
        <x:v>0</x:v>
      </x:c>
      <x:c r="E59" s="584" t="n">
        <x:f>0</x:f>
        <x:v>0</x:v>
      </x:c>
      <x:c r="F59" s="584" t="str">
        <x:f>IF(ABS(E59-D59)&lt;0.0001,"PASS","FAIL")</x:f>
        <x:v>PASS</x:v>
      </x:c>
      <x:c r="G59" s="584" t="str">
        <x:v>ERROR</x:v>
      </x:c>
      <x:c r="H59" s="584" t="str"/>
    </x:row>
    <x:row r="62" ht="44" customHeight="1">
      <x:c r="A62" s="19" t="str">
        <x:v>校验项总数</x:v>
      </x:c>
      <x:c r="B62" s="19" t="n">
        <x:v>54</x:v>
      </x:c>
      <x:c r="C62" s="19" t="str"/>
      <x:c r="D62" s="19" t="str"/>
      <x:c r="E62" s="19" t="str"/>
      <x:c r="F62" s="19" t="str"/>
      <x:c r="G62" s="19" t="str"/>
      <x:c r="H62" s="19" t="str"/>
    </x:row>
    <x:row r="63" ht="44" customHeight="1">
      <x:c r="A63" s="584" t="str">
        <x:v>FAIL数量</x:v>
      </x:c>
      <x:c r="B63" s="584" t="n">
        <x:f>COUNTIF(F6:F59,"FAIL")</x:f>
        <x:v>0</x:v>
      </x:c>
      <x:c r="C63" s="584" t="str"/>
      <x:c r="D63" s="584" t="str"/>
      <x:c r="E63" s="584" t="str"/>
      <x:c r="F63" s="584" t="str"/>
      <x:c r="G63" s="584" t="str"/>
      <x:c r="H63" s="584" t="str"/>
    </x:row>
    <x:row r="64" ht="44" customHeight="1">
      <x:c r="A64" s="19" t="str">
        <x:v>公式错误（导出后扫描）</x:v>
      </x:c>
      <x:c r="B64" s="19" t="n">
        <x:v>0</x:v>
      </x:c>
      <x:c r="C64" s="19" t="str"/>
      <x:c r="D64" s="19" t="str"/>
      <x:c r="E64" s="19" t="str"/>
      <x:c r="F64" s="19" t="str"/>
      <x:c r="G64" s="19" t="str"/>
      <x:c r="H64" s="19" t="str"/>
    </x:row>
    <x:row r="65" ht="44" customHeight="1">
      <x:c r="A65" s="584" t="str">
        <x:v>供应商身份越界数量</x:v>
      </x:c>
      <x:c r="B65" s="584" t="n">
        <x:v>0</x:v>
      </x:c>
      <x:c r="C65" s="584" t="str"/>
      <x:c r="D65" s="584" t="str"/>
      <x:c r="E65" s="584" t="str"/>
      <x:c r="F65" s="584" t="str"/>
      <x:c r="G65" s="584" t="str"/>
      <x:c r="H65" s="584" t="str"/>
    </x:row>
    <x:row r="66" ht="44" customHeight="1">
      <x:c r="A66" s="19" t="str">
        <x:v>正式官方价格数量</x:v>
      </x:c>
      <x:c r="B66" s="19" t="n">
        <x:v>0</x:v>
      </x:c>
      <x:c r="C66" s="19" t="str"/>
      <x:c r="D66" s="19" t="str"/>
      <x:c r="E66" s="19" t="str"/>
      <x:c r="F66" s="19" t="str"/>
      <x:c r="G66" s="19" t="str"/>
      <x:c r="H66" s="19" t="str"/>
    </x:row>
    <x:row r="67" ht="44" customHeight="1">
      <x:c r="A67" s="584" t="str">
        <x:v>阶段状态</x:v>
      </x:c>
      <x:c r="B67" s="584" t="str">
        <x:f>IF(AND(B63=0,B64=0,B65=0,B66=0),"READY_PHASE_3.3C","REVIEW_REQUIRED")</x:f>
        <x:v>READY_PHASE_3.3C</x:v>
      </x:c>
      <x:c r="C67" s="584" t="str"/>
      <x:c r="D67" s="584" t="str"/>
      <x:c r="E67" s="584" t="str"/>
      <x:c r="F67" s="584" t="str"/>
      <x:c r="G67" s="584" t="str"/>
      <x:c r="H67" s="584" t="str"/>
    </x:row>
  </x:sheetData>
  <x:mergeCells>
    <x:mergeCell ref="A1:H1"/>
    <x:mergeCell ref="A2:H2"/>
    <x:mergeCell ref="A3:H3"/>
  </x:mergeCells>
  <x:conditionalFormatting sqref="F6:G59">
    <x:cfRule type="containsText" dxfId="3136" priority="1" operator="containsText" text="PASS"/>
    <x:cfRule type="containsText" dxfId="3137" priority="2" operator="containsText" text="READY"/>
    <x:cfRule type="containsText" dxfId="3138" priority="3" operator="containsText" text="CONFIRMED"/>
    <x:cfRule type="containsText" dxfId="3139" priority="4" operator="containsText" text="OFFICIAL"/>
    <x:cfRule type="containsText" dxfId="3140" priority="5" operator="containsText" text="YES"/>
    <x:cfRule type="containsText" dxfId="3141" priority="6" operator="containsText" text="CENTRAL"/>
    <x:cfRule type="containsText" dxfId="3142" priority="7" operator="containsText" text="MODELLED"/>
    <x:cfRule type="containsText" dxfId="3143" priority="8" operator="containsText" text="CONDITIONAL"/>
    <x:cfRule type="containsText" dxfId="3144" priority="9" operator="containsText" text="SENSITIVITY"/>
    <x:cfRule type="containsText" dxfId="3145" priority="10" operator="containsText" text="MEDIUM"/>
    <x:cfRule type="containsText" dxfId="3146" priority="11" operator="containsText" text="LOW"/>
    <x:cfRule type="containsText" dxfId="3147" priority="12" operator="containsText" text="WATCH"/>
    <x:cfRule type="containsText" dxfId="3148" priority="13" operator="containsText" text="EXCLUDED"/>
    <x:cfRule type="containsText" dxfId="3149" priority="14" operator="containsText" text="NO"/>
    <x:cfRule type="containsText" dxfId="3150" priority="15" operator="containsText" text="HOLD"/>
    <x:cfRule type="containsText" dxfId="3151" priority="16" operator="containsText" text="FAIL"/>
    <x:cfRule type="containsText" dxfId="3152" priority="17" operator="containsText" text="BLOCKED"/>
  </x:conditionalFormatting>
  <x:conditionalFormatting sqref="B62:B67">
    <x:cfRule type="containsText" dxfId="3153" priority="18" operator="containsText" text="PASS"/>
    <x:cfRule type="containsText" dxfId="3154" priority="19" operator="containsText" text="READY"/>
    <x:cfRule type="containsText" dxfId="3155" priority="20" operator="containsText" text="CONFIRMED"/>
    <x:cfRule type="containsText" dxfId="3156" priority="21" operator="containsText" text="OFFICIAL"/>
    <x:cfRule type="containsText" dxfId="3157" priority="22" operator="containsText" text="YES"/>
    <x:cfRule type="containsText" dxfId="3158" priority="23" operator="containsText" text="CENTRAL"/>
    <x:cfRule type="containsText" dxfId="3159" priority="24" operator="containsText" text="MODELLED"/>
    <x:cfRule type="containsText" dxfId="3160" priority="25" operator="containsText" text="CONDITIONAL"/>
    <x:cfRule type="containsText" dxfId="3161" priority="26" operator="containsText" text="SENSITIVITY"/>
    <x:cfRule type="containsText" dxfId="3162" priority="27" operator="containsText" text="MEDIUM"/>
    <x:cfRule type="containsText" dxfId="3163" priority="28" operator="containsText" text="LOW"/>
    <x:cfRule type="containsText" dxfId="3164" priority="29" operator="containsText" text="WATCH"/>
    <x:cfRule type="containsText" dxfId="3165" priority="30" operator="containsText" text="EXCLUDED"/>
    <x:cfRule type="containsText" dxfId="3166" priority="31" operator="containsText" text="NO"/>
    <x:cfRule type="containsText" dxfId="3167" priority="32" operator="containsText" text="HOLD"/>
    <x:cfRule type="containsText" dxfId="3168" priority="33" operator="containsText" text="FAIL"/>
    <x:cfRule type="containsText" dxfId="3169" priority="34" operator="containsText" text="BLOCKED"/>
  </x:conditionalFormatting>
  <x:pageMargins left="0.7" right="0.7" top="0.75" bottom="0.75" header="0.3" footer="0.3"/>
</x:worksheet>
</file>

<file path=xl/worksheets/sheet12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30" hidden="0" customWidth="1"/>
    <x:col min="3" max="3" width="33" hidden="0" customWidth="1"/>
    <x:col min="4" max="4" width="28" hidden="0" customWidth="1"/>
    <x:col min="5" max="5" width="22" hidden="0" customWidth="1"/>
    <x:col min="6" max="6" width="19" hidden="0" customWidth="1"/>
    <x:col min="7" max="7" width="21" hidden="0" customWidth="1"/>
    <x:col min="8" max="8" width="19" hidden="0" customWidth="1"/>
    <x:col min="9" max="9" width="19" hidden="0" customWidth="1"/>
    <x:col min="10" max="10" width="33" hidden="0" customWidth="1"/>
    <x:col min="11" max="11" width="37" hidden="0" customWidth="1"/>
    <x:col min="12" max="12" width="31" hidden="0" customWidth="1"/>
    <x:col min="13" max="13" width="27" hidden="0" customWidth="1"/>
    <x:col min="14" max="14" width="20" hidden="0" customWidth="1"/>
  </x:cols>
  <x:sheetData>
    <x:row r="1" ht="30" customHeight="1">
      <x:c r="A1" s="596" t="str">
        <x:v>120｜Phase 3.3D：版本门槛与价格围栏敏感性</x:v>
      </x:c>
      <x:c r="B1" s="596"/>
      <x:c r="C1" s="596"/>
      <x:c r="D1" s="596"/>
      <x:c r="E1" s="596"/>
      <x:c r="F1" s="596"/>
      <x:c r="G1" s="596"/>
      <x:c r="H1" s="596"/>
      <x:c r="I1" s="596"/>
      <x:c r="J1" s="596"/>
      <x:c r="K1" s="596"/>
      <x:c r="L1" s="596"/>
      <x:c r="M1" s="596"/>
      <x:c r="N1" s="596"/>
    </x:row>
    <x:row r="2" ht="22" customHeight="1">
      <x:c r="A2" s="599" t="str">
        <x:v>把座位、空悬、CDC、阵容和N70—N90价格围栏联合；不再给N90标准版一个脱离阵容的固定价格</x:v>
      </x:c>
      <x:c r="B2" s="599"/>
      <x:c r="C2" s="599"/>
      <x:c r="D2" s="599"/>
      <x:c r="E2" s="599"/>
      <x:c r="F2" s="599"/>
      <x:c r="G2" s="599"/>
      <x:c r="H2" s="599"/>
      <x:c r="I2" s="599"/>
      <x:c r="J2" s="599"/>
      <x:c r="K2" s="599"/>
      <x:c r="L2" s="599"/>
      <x:c r="M2" s="599"/>
      <x:c r="N2" s="599"/>
    </x:row>
    <x:row r="3" ht="96" customHeight="1">
      <x:c r="A3" s="603" t="str">
        <x:v>结论先行：工信部普通固定顶N90同一型号允许5/7座，升顶是另一个5座专用车型；但准入不等于商品SKU。Standard中心形态修正为“7座+螺簧+CDC”，不再默认空簧和CDC同时取消；5座布局与标准/Pro/Max等级分开。新口径下，Standard相对Max的加权中位成本差约0.52万元，成本驱动含税价差约0.63万元；2—3万元的商品梯度主要来自座位形态、底盘包和舒适包的消费者价值，不是物理BOM等额传导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</x:row>
    <x:row r="5" ht="58" customHeight="1">
      <x:c r="A5" s="608" t="str">
        <x:v>问题ID</x:v>
      </x:c>
      <x:c r="B5" s="608" t="str">
        <x:v>要回答的问题</x:v>
      </x:c>
      <x:c r="C5" s="608" t="str">
        <x:v>硬事实</x:v>
      </x:c>
      <x:c r="D5" s="608" t="str">
        <x:v>旧默认</x:v>
      </x:c>
      <x:c r="E5" s="608" t="str">
        <x:v>3.3D修正</x:v>
      </x:c>
      <x:c r="F5" s="608" t="str">
        <x:v>可量化</x:v>
      </x:c>
      <x:c r="G5" s="608" t="str">
        <x:v>中心处理</x:v>
      </x:c>
      <x:c r="H5" s="608" t="str">
        <x:v>敏感性</x:v>
      </x:c>
      <x:c r="I5" s="608" t="str">
        <x:v>置信</x:v>
      </x:c>
      <x:c r="J5" s="608" t="str">
        <x:v>能说的</x:v>
      </x:c>
      <x:c r="K5" s="608" t="str">
        <x:v>不能说的</x:v>
      </x:c>
      <x:c r="L5" s="608" t="str">
        <x:v>对价格的影响</x:v>
      </x:c>
      <x:c r="M5" s="608" t="str">
        <x:v>更新触发</x:v>
      </x:c>
      <x:c r="N5" s="608" t="str">
        <x:v>回链</x:v>
      </x:c>
    </x:row>
    <x:row r="6" ht="72" customHeight="1">
      <x:c r="A6" s="19" t="str">
        <x:v>Q-33D-01</x:v>
      </x:c>
      <x:c r="B6" s="19" t="str">
        <x:v>N90是否只有升顶Max</x:v>
      </x:c>
      <x:c r="C6" s="19" t="str">
        <x:v>升顶独立5座专用车型；申报图可见N90 Max尾标</x:v>
      </x:c>
      <x:c r="D6" s="19" t="str">
        <x:v>升顶直接并入Max</x:v>
      </x:c>
      <x:c r="E6" s="19" t="str">
        <x:v>与固定顶主价格树分离</x:v>
      </x:c>
      <x:c r="F6" s="19" t="str">
        <x:v>YES_BOUNDARY</x:v>
      </x:c>
      <x:c r="G6" s="19" t="str">
        <x:v>EXCLUDED_MAIN_TREE</x:v>
      </x:c>
      <x:c r="H6" s="19" t="str">
        <x:v>若官方商品化再建条件价</x:v>
      </x:c>
      <x:c r="I6" s="19" t="str">
        <x:v>HIGH</x:v>
      </x:c>
      <x:c r="J6" s="19" t="str">
        <x:v>已申报升顶候选</x:v>
      </x:c>
      <x:c r="K6" s="19" t="str">
        <x:v>已官宣上市或永久只属Max</x:v>
      </x:c>
      <x:c r="L6" s="19" t="str">
        <x:v>不影响固定顶主价向量</x:v>
      </x:c>
      <x:c r="M6" s="19" t="str">
        <x:v>官方SKU/登记方式</x:v>
      </x:c>
      <x:c r="N6" s="19" t="str">
        <x:v>39/40/121</x:v>
      </x:c>
    </x:row>
    <x:row r="7" ht="72" customHeight="1">
      <x:c r="A7" s="609" t="str">
        <x:v>Q-33D-02</x:v>
      </x:c>
      <x:c r="B7" s="609" t="str">
        <x:v>N90是否有Standard/Pro</x:v>
      </x:c>
      <x:c r="C7" s="609" t="str">
        <x:v>官方当前只展示N90 Max</x:v>
      </x:c>
      <x:c r="D7" s="609" t="str">
        <x:v>把准入变体当成商品版</x:v>
      </x:c>
      <x:c r="E7" s="609" t="str">
        <x:v>保留为预测分支，不写成事实</x:v>
      </x:c>
      <x:c r="F7" s="609" t="str">
        <x:v>YES_WEIGHT</x:v>
      </x:c>
      <x:c r="G7" s="609" t="str">
        <x:v>发布时Standard存在工作权重35%</x:v>
      </x:c>
      <x:c r="H7" s="609" t="str">
        <x:v>30%—45%</x:v>
      </x:c>
      <x:c r="I7" s="609" t="str">
        <x:v>MEDIUM_LOW</x:v>
      </x:c>
      <x:c r="J7" s="609" t="str">
        <x:v>标准版/专业版是候选</x:v>
      </x:c>
      <x:c r="K7" s="609" t="str">
        <x:v>已确认3款固定顶</x:v>
      </x:c>
      <x:c r="L7" s="609" t="str">
        <x:v>必须条件于阵容</x:v>
      </x:c>
      <x:c r="M7" s="609" t="str">
        <x:v>官方App车型卡</x:v>
      </x:c>
      <x:c r="N7" s="609" t="str">
        <x:v>103/121/125</x:v>
      </x:c>
    </x:row>
    <x:row r="8" ht="72" customHeight="1">
      <x:c r="A8" s="19" t="str">
        <x:v>Q-33D-03</x:v>
      </x:c>
      <x:c r="B8" s="19" t="str">
        <x:v>5座是否等于Standard</x:v>
      </x:c>
      <x:c r="C8" s="19" t="str">
        <x:v>普通固定顶同型号允许5/7座</x:v>
      </x:c>
      <x:c r="D8" s="19" t="str">
        <x:v>一对一绑定</x:v>
      </x:c>
      <x:c r="E8" s="19" t="str">
        <x:v>座位形态与版本等级两维分开</x:v>
      </x:c>
      <x:c r="F8" s="19" t="str">
        <x:v>YES_SCENARIO</x:v>
      </x:c>
      <x:c r="G8" s="19" t="str">
        <x:v>Standard条件下7座75%/5座25%</x:v>
      </x:c>
      <x:c r="H8" s="19" t="str">
        <x:v>固定顶5座首发商品化20%</x:v>
      </x:c>
      <x:c r="I8" s="19" t="str">
        <x:v>MEDIUM</x:v>
      </x:c>
      <x:c r="J8" s="19" t="str">
        <x:v>有5座合规路径</x:v>
      </x:c>
      <x:c r="K8" s="19" t="str">
        <x:v>5座必然叫Standard</x:v>
      </x:c>
      <x:c r="L8" s="19" t="str">
        <x:v>座位商品价值可支持1—2万价差</x:v>
      </x:c>
      <x:c r="M8" s="19" t="str">
        <x:v>官方座位卡</x:v>
      </x:c>
      <x:c r="N8" s="19" t="str">
        <x:v>40/121/122</x:v>
      </x:c>
    </x:row>
    <x:row r="9" ht="72" customHeight="1">
      <x:c r="A9" s="609" t="str">
        <x:v>Q-33D-04</x:v>
      </x:c>
      <x:c r="B9" s="609" t="str">
        <x:v>Standard是否去掉空悬+CDC</x:v>
      </x:c>
      <x:c r="C9" s="609" t="str">
        <x:v>目前没有Standard官方配置</x:v>
      </x:c>
      <x:c r="D9" s="609" t="str">
        <x:v>空簧与CDC捆绑删除</x:v>
      </x:c>
      <x:c r="E9" s="609" t="str">
        <x:v>中心为螺簧+CDC；两者分开</x:v>
      </x:c>
      <x:c r="F9" s="609" t="str">
        <x:v>YES_COST</x:v>
      </x:c>
      <x:c r="G9" s="609" t="str">
        <x:v>交叉形态权重：螺簧+CDC 68%；空悬+CDC 27%；螺簧+被动5%</x:v>
      </x:c>
      <x:c r="H9" s="609" t="str">
        <x:v>保留空悬/去CDC两尾部</x:v>
      </x:c>
      <x:c r="I9" s="609" t="str">
        <x:v>MEDIUM_LOW</x:v>
      </x:c>
      <x:c r="J9" s="609" t="str">
        <x:v>CDC可在非空悬版保留</x:v>
      </x:c>
      <x:c r="K9" s="609" t="str">
        <x:v>标准版已确认无空悬</x:v>
      </x:c>
      <x:c r="L9" s="609" t="str">
        <x:v>中位成本差下修</x:v>
      </x:c>
      <x:c r="M9" s="609" t="str">
        <x:v>正式悬架表</x:v>
      </x:c>
      <x:c r="N9" s="609" t="str">
        <x:v>105/122</x:v>
      </x:c>
    </x:row>
    <x:row r="10" ht="72" customHeight="1">
      <x:c r="A10" s="19" t="str">
        <x:v>Q-33D-05</x:v>
      </x:c>
      <x:c r="B10" s="19" t="str">
        <x:v>5座是否必然降本</x:v>
      </x:c>
      <x:c r="C10" s="19" t="str">
        <x:v>5/7座申报整备质量均2800kg</x:v>
      </x:c>
      <x:c r="D10" s="19" t="str">
        <x:v>自动扣除第三排整套成本</x:v>
      </x:c>
      <x:c r="E10" s="19" t="str">
        <x:v>中心成本不自动扣；仅做上下界</x:v>
      </x:c>
      <x:c r="F10" s="19" t="str">
        <x:v>YES_BOUNDARY</x:v>
      </x:c>
      <x:c r="G10" s="19" t="str">
        <x:v>CENTER_EXCLUDED</x:v>
      </x:c>
      <x:c r="H10" s="19" t="str">
        <x:v>五座二排/货舱可能转移成本</x:v>
      </x:c>
      <x:c r="I10" s="19" t="str">
        <x:v>HIGH_METHOD</x:v>
      </x:c>
      <x:c r="J10" s="19" t="str">
        <x:v>座位有价值差</x:v>
      </x:c>
      <x:c r="K10" s="19" t="str">
        <x:v>价差等于删座成本</x:v>
      </x:c>
      <x:c r="L10" s="19" t="str">
        <x:v>降低旧成本差</x:v>
      </x:c>
      <x:c r="M10" s="19" t="str">
        <x:v>拆车/配置表</x:v>
      </x:c>
      <x:c r="N10" s="19" t="str">
        <x:v>39/40/122</x:v>
      </x:c>
    </x:row>
    <x:row r="11" ht="72" customHeight="1">
      <x:c r="A11" s="609" t="str">
        <x:v>Q-33D-06</x:v>
      </x:c>
      <x:c r="B11" s="609" t="str">
        <x:v>N70—N90价差是否固定</x:v>
      </x:c>
      <x:c r="C11" s="609" t="str">
        <x:v>小米跨车系已出现0.36—2.60万交错</x:v>
      </x:c>
      <x:c r="D11" s="609" t="str">
        <x:v>大车固定加某个常数</x:v>
      </x:c>
      <x:c r="E11" s="609" t="str">
        <x:v>使用软围栏，不使用硬溢价</x:v>
      </x:c>
      <x:c r="F11" s="609" t="str">
        <x:v>YES_FENCE</x:v>
      </x:c>
      <x:c r="G11" s="609" t="str">
        <x:v>N90 Std—N70 Max中心2万，1万可接受</x:v>
      </x:c>
      <x:c r="H11" s="609" t="str">
        <x:v>0—3万压力测试</x:v>
      </x:c>
      <x:c r="I11" s="609" t="str">
        <x:v>MEDIUM</x:v>
      </x:c>
      <x:c r="J11" s="609" t="str">
        <x:v>25.99不因1万间隔被否决</x:v>
      </x:c>
      <x:c r="K11" s="609" t="str">
        <x:v>跨车系价差是常数</x:v>
      </x:c>
      <x:c r="L11" s="609" t="str">
        <x:v>提高26.99在两版阵容的成立度</x:v>
      </x:c>
      <x:c r="M11" s="609" t="str">
        <x:v>正式价格</x:v>
      </x:c>
      <x:c r="N11" s="609" t="str">
        <x:v>21/123/124</x:v>
      </x:c>
    </x:row>
    <x:row r="12" ht="72" customHeight="1">
      <x:c r="A12" s="19" t="str">
        <x:v>Q-33D-07</x:v>
      </x:c>
      <x:c r="B12" s="19" t="str">
        <x:v>Standard究竟25.99还26.99</x:v>
      </x:c>
      <x:c r="C12" s="19" t="str">
        <x:v>无官方正式价</x:v>
      </x:c>
      <x:c r="D12" s="19" t="str">
        <x:v>单独给一个众数</x:v>
      </x:c>
      <x:c r="E12" s="19" t="str">
        <x:v>条件于固定顶阵容</x:v>
      </x:c>
      <x:c r="F12" s="19" t="str">
        <x:v>YES_CONDITIONAL</x:v>
      </x:c>
      <x:c r="G12" s="19" t="str">
        <x:v>三档25.99；Standard+Max首选26.99</x:v>
      </x:c>
      <x:c r="H12" s="19" t="str">
        <x:v>两版阵容26.99/29.99与25.99/28.99按60/40</x:v>
      </x:c>
      <x:c r="I12" s="19" t="str">
        <x:v>MEDIUM_LOW</x:v>
      </x:c>
      <x:c r="J12" s="19" t="str">
        <x:v>两个都有条件成立路径</x:v>
      </x:c>
      <x:c r="K12" s="19" t="str">
        <x:v>任何阵容下都是25.99</x:v>
      </x:c>
      <x:c r="L12" s="19" t="str">
        <x:v>避免与N70和Max同时冲突</x:v>
      </x:c>
      <x:c r="M12" s="19" t="str">
        <x:v>官方SKU价格</x:v>
      </x:c>
      <x:c r="N12" s="19" t="str">
        <x:v>124/125</x:v>
      </x:c>
    </x:row>
    <x:row r="13" ht="72" customHeight="1">
      <x:c r="A13" s="609" t="str">
        <x:v>Q-33D-08</x:v>
      </x:c>
      <x:c r="B13" s="609" t="str">
        <x:v>Max是否一定27.99</x:v>
      </x:c>
      <x:c r="C13" s="609" t="str">
        <x:v>预售29.99；3.3C同版边际众数27.99</x:v>
      </x:c>
      <x:c r="D13" s="609" t="str">
        <x:v>忽略低价SKU</x:v>
      </x:c>
      <x:c r="E13" s="609" t="str">
        <x:v>仅Max时27.99；有低价SKU时29.99更合理</x:v>
      </x:c>
      <x:c r="F13" s="609" t="str">
        <x:v>YES_CONDITIONAL</x:v>
      </x:c>
      <x:c r="G13" s="609" t="str">
        <x:v>中心阵容下代表边际60%/10%/30%</x:v>
      </x:c>
      <x:c r="H13" s="609" t="str">
        <x:v>供应链低价尾留待3.4A</x:v>
      </x:c>
      <x:c r="I13" s="609" t="str">
        <x:v>MEDIUM</x:v>
      </x:c>
      <x:c r="J13" s="609" t="str">
        <x:v>阵容改变Max任务</x:v>
      </x:c>
      <x:c r="K13" s="609" t="str">
        <x:v>全部阵容都27.99</x:v>
      </x:c>
      <x:c r="L13" s="609" t="str">
        <x:v>阵容是Max价格的一阶变量</x:v>
      </x:c>
      <x:c r="M13" s="609" t="str">
        <x:v>官方阵容</x:v>
      </x:c>
      <x:c r="N13" s="609" t="str">
        <x:v>106/117/125</x:v>
      </x:c>
    </x:row>
    <x:row r="14" ht="72" customHeight="1">
      <x:c r="A14" s="19" t="str">
        <x:v>Q-33D-09</x:v>
      </x:c>
      <x:c r="B14" s="19" t="str">
        <x:v>Pro的商品职责</x:v>
      </x:c>
      <x:c r="C14" s="19" t="str">
        <x:v>目前无Pro官方SKU</x:v>
      </x:c>
      <x:c r="D14" s="19" t="str">
        <x:v>只少几项舒适配置</x:v>
      </x:c>
      <x:c r="E14" s="19" t="str">
        <x:v>最合理是恢复空悬+CDC，再让Max独占座舱包</x:v>
      </x:c>
      <x:c r="F14" s="19" t="str">
        <x:v>YES_GATE</x:v>
      </x:c>
      <x:c r="G14" s="19" t="str">
        <x:v>条件价27.99，Max 29.99</x:v>
      </x:c>
      <x:c r="H14" s="19" t="str">
        <x:v>如三档同硬件则乘可行性折减</x:v>
      </x:c>
      <x:c r="I14" s="19" t="str">
        <x:v>LOW_MEDIUM</x:v>
      </x:c>
      <x:c r="J14" s="19" t="str">
        <x:v>Pro须有明显硬件台阶</x:v>
      </x:c>
      <x:c r="K14" s="19" t="str">
        <x:v>已确认Pro存在</x:v>
      </x:c>
      <x:c r="L14" s="19" t="str">
        <x:v>约2万价差才易自洽</x:v>
      </x:c>
      <x:c r="M14" s="19" t="str">
        <x:v>官方配置表</x:v>
      </x:c>
      <x:c r="N14" s="19" t="str">
        <x:v>121/123/125</x:v>
      </x:c>
    </x:row>
    <x:row r="15" ht="72" customHeight="1">
      <x:c r="A15" s="609" t="str">
        <x:v>Q-33D-10</x:v>
      </x:c>
      <x:c r="B15" s="609" t="str">
        <x:v>本阶段是否封盘</x:v>
      </x:c>
      <x:c r="C15" s="609" t="str">
        <x:v>正式售价数量仍为0</x:v>
      </x:c>
      <x:c r="D15" s="609" t="str">
        <x:v>门槛表等于最终报告</x:v>
      </x:c>
      <x:c r="E15" s="609" t="str">
        <x:v>只对版本和围栏修正；下一阶段才全系联合</x:v>
      </x:c>
      <x:c r="F15" s="609" t="str">
        <x:v>NO</x:v>
      </x:c>
      <x:c r="G15" s="609" t="str">
        <x:v>READY_PHASE_3.4A</x:v>
      </x:c>
      <x:c r="H15" s="609" t="str">
        <x:v>需合并3.3C同版低价尾</x:v>
      </x:c>
      <x:c r="I15" s="609" t="str">
        <x:v>HIGH_METHOD</x:v>
      </x:c>
      <x:c r="J15" s="609" t="str">
        <x:v>门槛已清楚</x:v>
      </x:c>
      <x:c r="K15" s="609" t="str">
        <x:v>预测价格是官方价</x:v>
      </x:c>
      <x:c r="L15" s="609" t="str">
        <x:v>防止提前封盘</x:v>
      </x:c>
      <x:c r="M15" s="609" t="str">
        <x:v>官方发布会</x:v>
      </x:c>
      <x:c r="N15" s="609" t="str">
        <x:v>117/125—128</x:v>
      </x:c>
    </x:row>
    <x:row r="18" ht="24" customHeight="1">
      <x:c r="A18" s="612" t="str">
        <x:v>本阶段签核输出</x:v>
      </x:c>
      <x:c r="B18" s="612"/>
      <x:c r="C18" s="612"/>
      <x:c r="D18" s="612"/>
      <x:c r="E18" s="612"/>
      <x:c r="F18" s="612"/>
      <x:c r="G18" s="612"/>
      <x:c r="H18" s="612"/>
      <x:c r="I18" s="612"/>
      <x:c r="J18" s="612"/>
      <x:c r="K18" s="612"/>
      <x:c r="L18" s="612"/>
      <x:c r="M18" s="612"/>
      <x:c r="N18" s="612"/>
    </x:row>
    <x:row r="19" ht="46" customHeight="1">
      <x:c r="A19" s="608" t="str">
        <x:v>指标</x:v>
      </x:c>
      <x:c r="B19" s="608" t="str">
        <x:v>旧口径</x:v>
      </x:c>
      <x:c r="C19" s="608" t="str">
        <x:v>3.3D中心</x:v>
      </x:c>
      <x:c r="D19" s="608" t="str">
        <x:v>敏感区间/条件</x:v>
      </x:c>
      <x:c r="E19" s="608" t="str">
        <x:v>状态</x:v>
      </x:c>
      <x:c r="F19" s="608" t="str">
        <x:v>解读</x:v>
      </x:c>
      <x:c r="G19" s="608" t="str">
        <x:v>下一步</x:v>
      </x:c>
    </x:row>
    <x:row r="20" ht="56" customHeight="1">
      <x:c r="A20" s="19" t="str">
        <x:v>Standard存在工作权重（发布时）</x:v>
      </x:c>
      <x:c r="B20" s="23" t="n">
        <x:v>0.35</x:v>
      </x:c>
      <x:c r="C20" s="23" t="n">
        <x:v>0.35</x:v>
      </x:c>
      <x:c r="D20" s="19" t="str">
        <x:v>30%—45%</x:v>
      </x:c>
      <x:c r="E20" s="19" t="str">
        <x:v>UNCHANGED_CENTRAL</x:v>
      </x:c>
      <x:c r="F20" s="19" t="str">
        <x:v>准入信号与小米梯度门槛相互抵消</x:v>
      </x:c>
      <x:c r="G20" s="19" t="str">
        <x:v>3.4A联合</x:v>
      </x:c>
    </x:row>
    <x:row r="21" ht="56" customHeight="1">
      <x:c r="A21" s="609" t="str">
        <x:v>Pro存在工作权重（发布时）</x:v>
      </x:c>
      <x:c r="B21" s="613" t="n">
        <x:v>0.15</x:v>
      </x:c>
      <x:c r="C21" s="613" t="n">
        <x:v>0.15</x:v>
      </x:c>
      <x:c r="D21" s="609" t="str">
        <x:v>10%—20%</x:v>
      </x:c>
      <x:c r="E21" s="609" t="str">
        <x:v>UNCHANGED_CENTRAL</x:v>
      </x:c>
      <x:c r="F21" s="609" t="str">
        <x:v>仍属低置信分支</x:v>
      </x:c>
      <x:c r="G21" s="609" t="str">
        <x:v>3.4A联合</x:v>
      </x:c>
    </x:row>
    <x:row r="22" ht="56" customHeight="1">
      <x:c r="A22" s="19" t="str">
        <x:v>固定顶5座首发商品化</x:v>
      </x:c>
      <x:c r="B22" s="23" t="str"/>
      <x:c r="C22" s="23" t="n">
        <x:v>0.2</x:v>
      </x:c>
      <x:c r="D22" s="19" t="str">
        <x:v>不等于Standard概率</x:v>
      </x:c>
      <x:c r="E22" s="19" t="str">
        <x:v>SEPARATE_DIMENSION</x:v>
      </x:c>
      <x:c r="F22" s="19" t="str">
        <x:v>N70大五座定位压低该概率</x:v>
      </x:c>
      <x:c r="G22" s="19" t="str">
        <x:v>等官方座位卡</x:v>
      </x:c>
    </x:row>
    <x:row r="23" ht="56" customHeight="1">
      <x:c r="A23" s="609" t="str">
        <x:v>Standard相对Max加权中位成本差</x:v>
      </x:c>
      <x:c r="B23" s="614" t="n">
        <x:v>8942.4</x:v>
      </x:c>
      <x:c r="C23" s="614" t="n">
        <x:f>'122_版本形态敏感'!B30</x:f>
        <x:v>5200.874999999999</x:v>
      </x:c>
      <x:c r="D23" s="609" t="str">
        <x:v>中心不自动扣第三排</x:v>
      </x:c>
      <x:c r="E23" s="609" t="str">
        <x:v>REVISED_DOWN</x:v>
      </x:c>
      <x:c r="F23" s="609" t="str">
        <x:v>约0.52万元未税含覆盖</x:v>
      </x:c>
      <x:c r="G23" s="609" t="str">
        <x:v>122</x:v>
      </x:c>
    </x:row>
    <x:row r="24" ht="56" customHeight="1">
      <x:c r="A24" s="19" t="str">
        <x:v>成本驱动含税价差</x:v>
      </x:c>
      <x:c r="B24" s="460" t="n">
        <x:v>10806.98</x:v>
      </x:c>
      <x:c r="C24" s="460" t="n">
        <x:f>'122_版本形态敏感'!B31</x:f>
        <x:v>6285.011571428571</x:v>
      </x:c>
      <x:c r="D24" s="19" t="str">
        <x:v>不是商品价差上限</x:v>
      </x:c>
      <x:c r="E24" s="19" t="str">
        <x:v>REVISED_DOWN</x:v>
      </x:c>
      <x:c r="F24" s="19" t="str">
        <x:v>约0.63万元</x:v>
      </x:c>
      <x:c r="G24" s="19" t="str">
        <x:v>122/123</x:v>
      </x:c>
    </x:row>
    <x:row r="25" ht="56" customHeight="1">
      <x:c r="A25" s="609" t="str">
        <x:v>Standard条件价</x:v>
      </x:c>
      <x:c r="B25" s="614" t="n">
        <x:v>259900</x:v>
      </x:c>
      <x:c r="C25" s="614" t="str">
        <x:v>25.99万</x:v>
      </x:c>
      <x:c r="D25" s="609" t="str">
        <x:v>26.99万在Standard+Max分支首选</x:v>
      </x:c>
      <x:c r="E25" s="609" t="str">
        <x:v>CONDITIONAL_MODE</x:v>
      </x:c>
      <x:c r="F25" s="609" t="str">
        <x:v>不脱离阵容表述</x:v>
      </x:c>
      <x:c r="G25" s="609" t="str">
        <x:v>125</x:v>
      </x:c>
    </x:row>
    <x:row r="26" ht="56" customHeight="1">
      <x:c r="A26" s="19" t="str">
        <x:v>Pro条价</x:v>
      </x:c>
      <x:c r="B26" s="460" t="n">
        <x:v>279900</x:v>
      </x:c>
      <x:c r="C26" s="460" t="n">
        <x:v>279900</x:v>
      </x:c>
      <x:c r="D26" s="19" t="str">
        <x:v>条件于Pro真实存在</x:v>
      </x:c>
      <x:c r="E26" s="19" t="str">
        <x:v>CONDITIONAL</x:v>
      </x:c>
      <x:c r="F26" s="19" t="str">
        <x:v>首要职责是补底盘硬件阶梯</x:v>
      </x:c>
      <x:c r="G26" s="19" t="str">
        <x:v>125</x:v>
      </x:c>
    </x:row>
    <x:row r="27" ht="56" customHeight="1">
      <x:c r="A27" s="609" t="str">
        <x:v>Max代表价</x:v>
      </x:c>
      <x:c r="B27" s="609" t="n">
        <x:v>279900</x:v>
      </x:c>
      <x:c r="C27" s="609" t="str">
        <x:v>仅Max时27.99；有低价SKU时29.99</x:v>
      </x:c>
      <x:c r="D27" s="609" t="str">
        <x:v>3.3C低价尾未在此表消失</x:v>
      </x:c>
      <x:c r="E27" s="609" t="str">
        <x:v>CONDITIONAL</x:v>
      </x:c>
      <x:c r="F27" s="609" t="str">
        <x:v>阵容决定Max承担入门还是锚点</x:v>
      </x:c>
      <x:c r="G27" s="609" t="str">
        <x:v>3.4A联合</x:v>
      </x:c>
    </x:row>
  </x:sheetData>
  <x:mergeCells>
    <x:mergeCell ref="A1:N1"/>
    <x:mergeCell ref="A2:N2"/>
    <x:mergeCell ref="A3:N3"/>
    <x:mergeCell ref="A18:N18"/>
  </x:mergeCells>
  <x:conditionalFormatting sqref="F6:I15">
    <x:cfRule type="containsText" dxfId="3187" priority="1" operator="containsText" text="PASS"/>
    <x:cfRule type="containsText" dxfId="3188" priority="2" operator="containsText" text="SIGNED"/>
    <x:cfRule type="containsText" dxfId="3189" priority="3" operator="containsText" text="CONFIRMED"/>
    <x:cfRule type="containsText" dxfId="3190" priority="4" operator="containsText" text="OFFICIAL"/>
    <x:cfRule type="containsText" dxfId="3191" priority="5" operator="containsText" text="CENTRAL"/>
    <x:cfRule type="containsText" dxfId="3192" priority="6" operator="containsText" text="PRIMARY"/>
    <x:cfRule type="containsText" dxfId="3193" priority="7" operator="containsText" text="MODELLED"/>
    <x:cfRule type="containsText" dxfId="3194" priority="8" operator="containsText" text="CONDITIONAL"/>
    <x:cfRule type="containsText" dxfId="3195" priority="9" operator="containsText" text="SENSITIVITY"/>
    <x:cfRule type="containsText" dxfId="3196" priority="10" operator="containsText" text="PREDICTED"/>
    <x:cfRule type="containsText" dxfId="3197" priority="11" operator="containsText" text="MEDIUM"/>
    <x:cfRule type="containsText" dxfId="3198" priority="12" operator="containsText" text="WATCH"/>
    <x:cfRule type="containsText" dxfId="3199" priority="13" operator="containsText" text="EXCLUDED"/>
    <x:cfRule type="containsText" dxfId="3200" priority="14" operator="containsText" text="SEPARATE"/>
    <x:cfRule type="containsText" dxfId="3201" priority="15" operator="containsText" text="NO"/>
    <x:cfRule type="containsText" dxfId="3202" priority="16" operator="containsText" text="FAIL"/>
    <x:cfRule type="containsText" dxfId="3203" priority="17" operator="containsText" text="BLOCKED"/>
    <x:cfRule type="containsText" dxfId="3204" priority="18" operator="containsText" text="LOW"/>
  </x:conditionalFormatting>
  <x:conditionalFormatting sqref="E20:E27">
    <x:cfRule type="containsText" dxfId="3205" priority="19" operator="containsText" text="PASS"/>
    <x:cfRule type="containsText" dxfId="3206" priority="20" operator="containsText" text="SIGNED"/>
    <x:cfRule type="containsText" dxfId="3207" priority="21" operator="containsText" text="CONFIRMED"/>
    <x:cfRule type="containsText" dxfId="3208" priority="22" operator="containsText" text="OFFICIAL"/>
    <x:cfRule type="containsText" dxfId="3209" priority="23" operator="containsText" text="CENTRAL"/>
    <x:cfRule type="containsText" dxfId="3210" priority="24" operator="containsText" text="PRIMARY"/>
    <x:cfRule type="containsText" dxfId="3211" priority="25" operator="containsText" text="MODELLED"/>
    <x:cfRule type="containsText" dxfId="3212" priority="26" operator="containsText" text="CONDITIONAL"/>
    <x:cfRule type="containsText" dxfId="3213" priority="27" operator="containsText" text="SENSITIVITY"/>
    <x:cfRule type="containsText" dxfId="3214" priority="28" operator="containsText" text="PREDICTED"/>
    <x:cfRule type="containsText" dxfId="3215" priority="29" operator="containsText" text="MEDIUM"/>
    <x:cfRule type="containsText" dxfId="3216" priority="30" operator="containsText" text="WATCH"/>
    <x:cfRule type="containsText" dxfId="3217" priority="31" operator="containsText" text="EXCLUDED"/>
    <x:cfRule type="containsText" dxfId="3218" priority="32" operator="containsText" text="SEPARATE"/>
    <x:cfRule type="containsText" dxfId="3219" priority="33" operator="containsText" text="NO"/>
    <x:cfRule type="containsText" dxfId="3220" priority="34" operator="containsText" text="FAIL"/>
    <x:cfRule type="containsText" dxfId="3221" priority="35" operator="containsText" text="BLOCKED"/>
    <x:cfRule type="containsText" dxfId="3222" priority="36" operator="containsText" text="LOW"/>
  </x:conditionalFormatting>
  <x:pageMargins left="0.7" right="0.7" top="0.75" bottom="0.75" header="0.3" footer="0.3"/>
</x:worksheet>
</file>

<file path=xl/worksheets/sheet12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5" hidden="0" customWidth="1"/>
    <x:col min="3" max="3" width="42" hidden="0" customWidth="1"/>
    <x:col min="4" max="4" width="14" hidden="0" customWidth="1"/>
    <x:col min="5" max="5" width="18" hidden="0" customWidth="1"/>
    <x:col min="6" max="6" width="23" hidden="0" customWidth="1"/>
    <x:col min="7" max="7" width="35" hidden="0" customWidth="1"/>
    <x:col min="8" max="8" width="21" hidden="0" customWidth="1"/>
    <x:col min="9" max="9" width="34" hidden="0" customWidth="1"/>
    <x:col min="10" max="10" width="41" hidden="0" customWidth="1"/>
    <x:col min="11" max="11" width="25" hidden="0" customWidth="1"/>
    <x:col min="12" max="12" width="66" hidden="0" customWidth="1"/>
    <x:col min="13" max="13" width="28" hidden="0" customWidth="1"/>
    <x:col min="14" max="14" width="25" hidden="0" customWidth="1"/>
  </x:cols>
  <x:sheetData>
    <x:row r="1" ht="30" customHeight="1">
      <x:c r="A1" s="596" t="str">
        <x:v>121｜N90监管事实与商业版本门槛</x:v>
      </x:c>
      <x:c r="B1" s="596"/>
      <x:c r="C1" s="596"/>
      <x:c r="D1" s="596"/>
      <x:c r="E1" s="596"/>
      <x:c r="F1" s="596"/>
      <x:c r="G1" s="596"/>
      <x:c r="H1" s="596"/>
      <x:c r="I1" s="596"/>
      <x:c r="J1" s="596"/>
      <x:c r="K1" s="596"/>
      <x:c r="L1" s="596"/>
      <x:c r="M1" s="596"/>
      <x:c r="N1" s="596"/>
    </x:row>
    <x:row r="2" ht="22" customHeight="1">
      <x:c r="A2" s="599" t="str">
        <x:v>把准入可能、官方商品定义、友商座位价值样本和预测标签分层</x:v>
      </x:c>
      <x:c r="B2" s="599"/>
      <x:c r="C2" s="599"/>
      <x:c r="D2" s="599"/>
      <x:c r="E2" s="599"/>
      <x:c r="F2" s="599"/>
      <x:c r="G2" s="599"/>
      <x:c r="H2" s="599"/>
      <x:c r="I2" s="599"/>
      <x:c r="J2" s="599"/>
      <x:c r="K2" s="599"/>
      <x:c r="L2" s="599"/>
      <x:c r="M2" s="599"/>
      <x:c r="N2" s="599"/>
    </x:row>
    <x:row r="3" ht="96" customHeight="1">
      <x:c r="A3" s="603" t="str">
        <x:v>固定顶5/7座是真实准入边界，但不证明5座必然商品化，更不证明叫Standard。N70已被官方定位为“大五座”，会抑制N90固定顶5座首发；另一方面，问界M7/M8官方配置表证明，即使同车身、同级底盘与空悬，5/6座仍可产生1—2万元商业价差；这是价值分层，不是删除座椅的BOM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</x:row>
    <x:row r="5" ht="58" customHeight="1">
      <x:c r="A5" s="608" t="str">
        <x:v>evidence_id</x:v>
      </x:c>
      <x:c r="B5" s="608" t="str">
        <x:v>对象</x:v>
      </x:c>
      <x:c r="C5" s="608" t="str">
        <x:v>事实/原文</x:v>
      </x:c>
      <x:c r="D5" s="608" t="str">
        <x:v>座位</x:v>
      </x:c>
      <x:c r="E5" s="608" t="str">
        <x:v>车顶</x:v>
      </x:c>
      <x:c r="F5" s="608" t="str">
        <x:v>商品名</x:v>
      </x:c>
      <x:c r="G5" s="608" t="str">
        <x:v>配置边界</x:v>
      </x:c>
      <x:c r="H5" s="608" t="str">
        <x:v>证据级别</x:v>
      </x:c>
      <x:c r="I5" s="608" t="str">
        <x:v>支持的推断</x:v>
      </x:c>
      <x:c r="J5" s="608" t="str">
        <x:v>不支持的推断</x:v>
      </x:c>
      <x:c r="K5" s="608" t="str">
        <x:v>模型处理</x:v>
      </x:c>
      <x:c r="L5" s="608" t="str">
        <x:v>来源</x:v>
      </x:c>
      <x:c r="M5" s="608" t="str">
        <x:v>更新触发</x:v>
      </x:c>
      <x:c r="N5" s="608" t="str">
        <x:v>状态</x:v>
      </x:c>
    </x:row>
    <x:row r="6" ht="76" customHeight="1">
      <x:c r="A6" s="19" t="str">
        <x:v>E-33D-01</x:v>
      </x:c>
      <x:c r="B6" s="19" t="str">
        <x:v>N90普通固定顶</x:v>
      </x:c>
      <x:c r="C6" s="19" t="str">
        <x:v>XMA6530KREEVA1；5285×1998×1825；76kWh NCM；310kW AWD</x:v>
      </x:c>
      <x:c r="D6" s="19" t="str">
        <x:v>5 / 7</x:v>
      </x:c>
      <x:c r="E6" s="19" t="str">
        <x:v>NORMAL_FIXED</x:v>
      </x:c>
      <x:c r="F6" s="19" t="str">
        <x:v>未绑定</x:v>
      </x:c>
      <x:c r="G6" s="19" t="str">
        <x:v>未披露空悬/CDC/座舱配置</x:v>
      </x:c>
      <x:c r="H6" s="19" t="str">
        <x:v>HIGH_REGULATORY</x:v>
      </x:c>
      <x:c r="I6" s="19" t="str">
        <x:v>额外固定顶SKU具备合规路径</x:v>
      </x:c>
      <x:c r="J6" s="19" t="str">
        <x:v>5座=Standard或必然上市</x:v>
      </x:c>
      <x:c r="K6" s="19" t="str">
        <x:v>5/7座作独立变量</x:v>
      </x:c>
      <x:c r="L6" s="19" t="str">
        <x:v>https://www.miit.gov.cn/datainfo/dljdclscqyjcpgg/xcpgs409dwdwe233/art/2026/art_ea7179cedb09467a9b7d2ce917685c49.html</x:v>
      </x:c>
      <x:c r="M6" s="19" t="str">
        <x:v>商品SKU/座位</x:v>
      </x:c>
      <x:c r="N6" s="19" t="str">
        <x:v>CONFIRMED</x:v>
      </x:c>
    </x:row>
    <x:row r="7" ht="76" customHeight="1">
      <x:c r="A7" s="609" t="str">
        <x:v>E-33D-02</x:v>
      </x:c>
      <x:c r="B7" s="609" t="str">
        <x:v>N90升顶专用车</x:v>
      </x:c>
      <x:c r="C7" s="609" t="str">
        <x:v>XMA5030XWHKREEVA3；文化生活服务车；高1925mm；重2840kg</x:v>
      </x:c>
      <x:c r="D7" s="609" t="str">
        <x:v>5</x:v>
      </x:c>
      <x:c r="E7" s="609" t="str">
        <x:v>POP_UP</x:v>
      </x:c>
      <x:c r="F7" s="609" t="str">
        <x:v>申报图N90 Max尾标</x:v>
      </x:c>
      <x:c r="G7" s="609" t="str">
        <x:v>升降顶/床板/边柜/侧帐接口；投影/桌板为准入选装</x:v>
      </x:c>
      <x:c r="H7" s="609" t="str">
        <x:v>HIGH_REGULATORY</x:v>
      </x:c>
      <x:c r="I7" s="609" t="str">
        <x:v>升顶是独立准入车型</x:v>
      </x:c>
      <x:c r="J7" s="609" t="str">
        <x:v>已商品化；可在顶上睡人；全部附件标配</x:v>
      </x:c>
      <x:c r="K7" s="609" t="str">
        <x:v>SEPARATE_CANDIDATE</x:v>
      </x:c>
      <x:c r="L7" s="609" t="str">
        <x:v>https://www.miit.gov.cn/datainfo/dljdclscqyjcpgg/xcpgs409dwdwe233/art/2026/art_1af822ccc59645fb802f12f0a5aaf032.html</x:v>
      </x:c>
      <x:c r="M7" s="609" t="str">
        <x:v>官方SKU/登记</x:v>
      </x:c>
      <x:c r="N7" s="609" t="str">
        <x:v>CONFIRMED_SEPARATE</x:v>
      </x:c>
    </x:row>
    <x:row r="8" ht="76" customHeight="1">
      <x:c r="A8" s="19" t="str">
        <x:v>E-33D-03</x:v>
      </x:c>
      <x:c r="B8" s="19" t="str">
        <x:v>N90 Max官方页</x:v>
      </x:c>
      <x:c r="C8" s="19" t="str">
        <x:v>大七座旗舰增程SUV；预售29.99万</x:v>
      </x:c>
      <x:c r="D8" s="19" t="str">
        <x:v>7</x:v>
      </x:c>
      <x:c r="E8" s="19" t="str">
        <x:v>NORMAL_FIXED</x:v>
      </x:c>
      <x:c r="F8" s="19" t="str">
        <x:v>N90 Max</x:v>
      </x:c>
      <x:c r="G8" s="19" t="str">
        <x:v>展示空簧+CDC、9L冰箱、后排屏、25扬声器、一二排舒适功能</x:v>
      </x:c>
      <x:c r="H8" s="19" t="str">
        <x:v>HIGH_OFFICIAL</x:v>
      </x:c>
      <x:c r="I8" s="19" t="str">
        <x:v>Max是当前唯一官方商品名</x:v>
      </x:c>
      <x:c r="J8" s="19" t="str">
        <x:v>所有展示项已确认基础标配</x:v>
      </x:c>
      <x:c r="K8" s="19" t="str">
        <x:v>OFFICIAL_ANCHOR</x:v>
      </x:c>
      <x:c r="L8" s="19" t="str">
        <x:v>https://www.xiaomiev.com/skynomad/n90</x:v>
      </x:c>
      <x:c r="M8" s="19" t="str">
        <x:v>完整配置表</x:v>
      </x:c>
      <x:c r="N8" s="19" t="str">
        <x:v>CONFIRMED</x:v>
      </x:c>
    </x:row>
    <x:row r="9" ht="76" customHeight="1">
      <x:c r="A9" s="609" t="str">
        <x:v>E-33D-04</x:v>
      </x:c>
      <x:c r="B9" s="609" t="str">
        <x:v>N70 Max官方页</x:v>
      </x:c>
      <x:c r="C9" s="609" t="str">
        <x:v>大五座四驱增程SUV；预售25.99万</x:v>
      </x:c>
      <x:c r="D9" s="609" t="str">
        <x:v>5</x:v>
      </x:c>
      <x:c r="E9" s="609" t="str">
        <x:v>NORMAL_FIXED</x:v>
      </x:c>
      <x:c r="F9" s="609" t="str">
        <x:v>N70 Max</x:v>
      </x:c>
      <x:c r="G9" s="609" t="str">
        <x:v>车系已占据澎程大五座心智</x:v>
      </x:c>
      <x:c r="H9" s="609" t="str">
        <x:v>HIGH_OFFICIAL</x:v>
      </x:c>
      <x:c r="I9" s="609" t="str">
        <x:v>N90五座需解释与N70的职责差异</x:v>
      </x:c>
      <x:c r="J9" s="609" t="str">
        <x:v>N90五座不可能</x:v>
      </x:c>
      <x:c r="K9" s="609" t="str">
        <x:v>OVERLAP_PENALTY</x:v>
      </x:c>
      <x:c r="L9" s="609" t="str">
        <x:v>https://www.xiaomiev.com/skynomad/n70</x:v>
      </x:c>
      <x:c r="M9" s="609" t="str">
        <x:v>阵容/定位</x:v>
      </x:c>
      <x:c r="N9" s="609" t="str">
        <x:v>CONFIRMED</x:v>
      </x:c>
    </x:row>
    <x:row r="10" ht="76" customHeight="1">
      <x:c r="A10" s="19" t="str">
        <x:v>E-33D-05</x:v>
      </x:c>
      <x:c r="B10" s="19" t="str">
        <x:v>2026款问界M7</x:v>
      </x:c>
      <x:c r="C10" s="19" t="str">
        <x:v>同动力/同配置名下，6座通常比5座贵2万元</x:v>
      </x:c>
      <x:c r="D10" s="19" t="str">
        <x:v>5 / 6</x:v>
      </x:c>
      <x:c r="E10" s="19" t="str">
        <x:v>FIXED</x:v>
      </x:c>
      <x:c r="F10" s="19" t="str">
        <x:v>Max/Ultra等</x:v>
      </x:c>
      <x:c r="G10" s="19" t="str">
        <x:v>座位布局与座舱包形成价值差</x:v>
      </x:c>
      <x:c r="H10" s="19" t="str">
        <x:v>HIGH_OFFICIAL_COMP</x:v>
      </x:c>
      <x:c r="I10" s="19" t="str">
        <x:v>座位可支持零售价差</x:v>
      </x:c>
      <x:c r="J10" s="19" t="str">
        <x:v>物理BOM差=2万</x:v>
      </x:c>
      <x:c r="K10" s="19" t="str">
        <x:v>VALUE_EVIDENCE_ONLY</x:v>
      </x:c>
      <x:c r="L10" s="19" t="str">
        <x:v>https://aito.auto/model/m7-new/configuration/</x:v>
      </x:c>
      <x:c r="M10" s="19" t="str">
        <x:v>价格/配置更新</x:v>
      </x:c>
      <x:c r="N10" s="19" t="str">
        <x:v>USED_AS_COMPARABLE</x:v>
      </x:c>
    </x:row>
    <x:row r="11" ht="76" customHeight="1">
      <x:c r="A11" s="609" t="str">
        <x:v>E-33D-06</x:v>
      </x:c>
      <x:c r="B11" s="609" t="str">
        <x:v>问界M8</x:v>
      </x:c>
      <x:c r="C11" s="609" t="str">
        <x:v>同配置等级的6座和5座价差约1—2万元；同级仍配空悬</x:v>
      </x:c>
      <x:c r="D11" s="609" t="str">
        <x:v>5 / 6</x:v>
      </x:c>
      <x:c r="E11" s="609" t="str">
        <x:v>FIXED</x:v>
      </x:c>
      <x:c r="F11" s="609" t="str">
        <x:v>Max/Max+/Ultra</x:v>
      </x:c>
      <x:c r="G11" s="609" t="str">
        <x:v>同底盘下座位形态可商业分层</x:v>
      </x:c>
      <x:c r="H11" s="609" t="str">
        <x:v>HIGH_OFFICIAL_COMP</x:v>
      </x:c>
      <x:c r="I11" s="609" t="str">
        <x:v>保留空悬也能产生座位价差</x:v>
      </x:c>
      <x:c r="J11" s="609" t="str">
        <x:v>座位价差必然照搬至N90</x:v>
      </x:c>
      <x:c r="K11" s="609" t="str">
        <x:v>VALUE_EVIDENCE_ONLY</x:v>
      </x:c>
      <x:c r="L11" s="609" t="str">
        <x:v>https://aito.auto/model/m8/configuration/</x:v>
      </x:c>
      <x:c r="M11" s="609" t="str">
        <x:v>价格/配置更新</x:v>
      </x:c>
      <x:c r="N11" s="609" t="str">
        <x:v>USED_AS_COMPARABLE</x:v>
      </x:c>
    </x:row>
    <x:row r="12" ht="76" customHeight="1">
      <x:c r="A12" s="19" t="str">
        <x:v>E-33D-07</x:v>
      </x:c>
      <x:c r="B12" s="19" t="str">
        <x:v>2026 YU7首销实际口径</x:v>
      </x:c>
      <x:c r="C12" s="19" t="str">
        <x:v>标准版购车权益免费送连续可变阻尼减振器；App配置展示标准版有CDC</x:v>
      </x:c>
      <x:c r="D12" s="19" t="str">
        <x:v>5</x:v>
      </x:c>
      <x:c r="E12" s="19" t="str">
        <x:v>FIXED</x:v>
      </x:c>
      <x:c r="F12" s="19" t="str">
        <x:v>YU7标准版</x:v>
      </x:c>
      <x:c r="G12" s="19" t="str">
        <x:v>CDC可与非空悬同时存在</x:v>
      </x:c>
      <x:c r="H12" s="19" t="str">
        <x:v>HIGH_USER_OFFICIAL_APP</x:v>
      </x:c>
      <x:c r="I12" s="19" t="str">
        <x:v>螺簧+CDC可作中间层</x:v>
      </x:c>
      <x:c r="J12" s="19" t="str">
        <x:v>YU7标准版永久基础标配CDC</x:v>
      </x:c>
      <x:c r="K12" s="19" t="str">
        <x:v>MODEL_PATTERN</x:v>
      </x:c>
      <x:c r="L12" s="19" t="str">
        <x:v>用户提供小米汽车App配置/权益截图</x:v>
      </x:c>
      <x:c r="M12" s="19" t="str">
        <x:v>权益到期/正式配置</x:v>
      </x:c>
      <x:c r="N12" s="19" t="str">
        <x:v>CONFIRMED_TIME_BOUND</x:v>
      </x:c>
    </x:row>
    <x:row r="13" ht="76" customHeight="1">
      <x:c r="A13" s="609" t="str">
        <x:v>E-33D-08</x:v>
      </x:c>
      <x:c r="B13" s="609" t="str">
        <x:v>Standard/Pro名称</x:v>
      </x:c>
      <x:c r="C13" s="609" t="str">
        <x:v>工信部不管商业等级名</x:v>
      </x:c>
      <x:c r="D13" s="609" t="str">
        <x:v>未定</x:v>
      </x:c>
      <x:c r="E13" s="609" t="str">
        <x:v>NORMAL_FIXED</x:v>
      </x:c>
      <x:c r="F13" s="609" t="str">
        <x:v>预测标签</x:v>
      </x:c>
      <x:c r="G13" s="609" t="str">
        <x:v>需官方App车型卡</x:v>
      </x:c>
      <x:c r="H13" s="609" t="str">
        <x:v>MODEL_ONLY</x:v>
      </x:c>
      <x:c r="I13" s="609" t="str">
        <x:v>可使用人话标签建模</x:v>
      </x:c>
      <x:c r="J13" s="609" t="str">
        <x:v>已官宣Standard/Pro</x:v>
      </x:c>
      <x:c r="K13" s="609" t="str">
        <x:v>PREDICTED_LABEL</x:v>
      </x:c>
      <x:c r="L13" s="609" t="str">
        <x:v>无独立官方源</x:v>
      </x:c>
      <x:c r="M13" s="609" t="str">
        <x:v>官方SKU</x:v>
      </x:c>
      <x:c r="N13" s="609" t="str">
        <x:v>CONDITIONAL</x:v>
      </x:c>
    </x:row>
    <x:row r="14" ht="76" customHeight="1">
      <x:c r="A14" s="19" t="str">
        <x:v>E-33D-09</x:v>
      </x:c>
      <x:c r="B14" s="19" t="str">
        <x:v>5/7座整备质量</x:v>
      </x:c>
      <x:c r="C14" s="19" t="str">
        <x:v>普通固定顶5座与7座申报整备质量均2800kg</x:v>
      </x:c>
      <x:c r="D14" s="19" t="str">
        <x:v>5 / 7</x:v>
      </x:c>
      <x:c r="E14" s="19" t="str">
        <x:v>NORMAL_FIXED</x:v>
      </x:c>
      <x:c r="F14" s="19" t="str">
        <x:v>未绑定</x:v>
      </x:c>
      <x:c r="G14" s="19" t="str">
        <x:v>不能从总质量拆出座椅采购价</x:v>
      </x:c>
      <x:c r="H14" s="19" t="str">
        <x:v>HIGH_REGULATORY</x:v>
      </x:c>
      <x:c r="I14" s="19" t="str">
        <x:v>中心不扣第三排成本</x:v>
      </x:c>
      <x:c r="J14" s="19" t="str">
        <x:v>5座一定更轻/更便宜</x:v>
      </x:c>
      <x:c r="K14" s="19" t="str">
        <x:v>ANTI_DOUBLE_COUNT</x:v>
      </x:c>
      <x:c r="L14" s="19" t="str">
        <x:v>39_工信部车型/40_准入变体</x:v>
      </x:c>
      <x:c r="M14" s="19" t="str">
        <x:v>拆车/重量公告</x:v>
      </x:c>
      <x:c r="N14" s="19" t="str">
        <x:v>CONFIRMED</x:v>
      </x:c>
    </x:row>
    <x:row r="15" ht="76" customHeight="1">
      <x:c r="A15" s="609" t="str">
        <x:v>E-33D-10</x:v>
      </x:c>
      <x:c r="B15" s="609" t="str">
        <x:v>正式价格</x:v>
      </x:c>
      <x:c r="C15" s="609" t="str">
        <x:v>截止2026-08-06尚未发布</x:v>
      </x:c>
      <x:c r="D15" s="609" t="str">
        <x:v>未定</x:v>
      </x:c>
      <x:c r="E15" s="609" t="str">
        <x:v>未定</x:v>
      </x:c>
      <x:c r="F15" s="609" t="str">
        <x:v>未定</x:v>
      </x:c>
      <x:c r="G15" s="609" t="str">
        <x:v>当前仅有预售价</x:v>
      </x:c>
      <x:c r="H15" s="609" t="str">
        <x:v>HIGH_STATUS</x:v>
      </x:c>
      <x:c r="I15" s="609" t="str">
        <x:v>只能输出条件预测</x:v>
      </x:c>
      <x:c r="J15" s="609" t="str">
        <x:v>预售价=正式价</x:v>
      </x:c>
      <x:c r="K15" s="609" t="str">
        <x:v>BLOCKED_OFFICIAL_PRICE</x:v>
      </x:c>
      <x:c r="L15" s="609" t="str">
        <x:v>小米官方页</x:v>
      </x:c>
      <x:c r="M15" s="609" t="str">
        <x:v>九月正式发布</x:v>
      </x:c>
      <x:c r="N15" s="609" t="str">
        <x:v>BLOCKED_OFFICIAL_PRICE</x:v>
      </x:c>
    </x:row>
    <x:row r="18" ht="24" customHeight="1">
      <x:c r="A18" s="612" t="str">
        <x:v>Standard / Pro / 升顶版的最低商品化门槛</x:v>
      </x:c>
      <x:c r="B18" s="612"/>
      <x:c r="C18" s="612"/>
      <x:c r="D18" s="612"/>
      <x:c r="E18" s="612"/>
      <x:c r="F18" s="612"/>
      <x:c r="G18" s="612"/>
      <x:c r="H18" s="612"/>
      <x:c r="I18" s="612"/>
      <x:c r="J18" s="612"/>
      <x:c r="K18" s="612"/>
      <x:c r="L18" s="612"/>
      <x:c r="M18" s="612"/>
      <x:c r="N18" s="612"/>
    </x:row>
    <x:row r="19" ht="48" customHeight="1">
      <x:c r="A19" s="608" t="str">
        <x:v>候选版本</x:v>
      </x:c>
      <x:c r="B19" s="608" t="str">
        <x:v>门槛1</x:v>
      </x:c>
      <x:c r="C19" s="608" t="str">
        <x:v>门槛2</x:v>
      </x:c>
      <x:c r="D19" s="608" t="str">
        <x:v>门槛3</x:v>
      </x:c>
      <x:c r="E19" s="608" t="str">
        <x:v>门槛4</x:v>
      </x:c>
      <x:c r="F19" s="608" t="str">
        <x:v>当前状态</x:v>
      </x:c>
      <x:c r="G19" s="608" t="str">
        <x:v>未过门槛时处理</x:v>
      </x:c>
      <x:c r="H19" s="608" t="str">
        <x:v>证伪信号</x:v>
      </x:c>
    </x:row>
    <x:row r="20" ht="68" customHeight="1">
      <x:c r="A20" s="19" t="str">
        <x:v>N90 Standard</x:v>
      </x:c>
      <x:c r="B20" s="19" t="str">
        <x:v>官方独立SKU/价格</x:v>
      </x:c>
      <x:c r="C20" s="19" t="str">
        <x:v>明确5或7座</x:v>
      </x:c>
      <x:c r="D20" s="19" t="str">
        <x:v>空气弹簧与CDC分别确认</x:v>
      </x:c>
      <x:c r="E20" s="19" t="str">
        <x:v>至少一个清晰硬件/使用场景阶梯</x:v>
      </x:c>
      <x:c r="F20" s="19" t="str">
        <x:v>NOT_MET</x:v>
      </x:c>
      <x:c r="G20" s="19" t="str">
        <x:v>保留为条件预测</x:v>
      </x:c>
      <x:c r="H20" s="19" t="str">
        <x:v>App车型卡+配置表</x:v>
      </x:c>
    </x:row>
    <x:row r="21" ht="68" customHeight="1">
      <x:c r="A21" s="609" t="str">
        <x:v>N90 Pro</x:v>
      </x:c>
      <x:c r="B21" s="609" t="str">
        <x:v>官方独立SKU/价格</x:v>
      </x:c>
      <x:c r="C21" s="609" t="str">
        <x:v>相对Standard至少一个硬件台阶</x:v>
      </x:c>
      <x:c r="D21" s="609" t="str">
        <x:v>最合理为恢复空悬+CDC</x:v>
      </x:c>
      <x:c r="E21" s="609" t="str">
        <x:v>Max仍保留高阶座舱独占</x:v>
      </x:c>
      <x:c r="F21" s="609" t="str">
        <x:v>NOT_MET</x:v>
      </x:c>
      <x:c r="G21" s="609" t="str">
        <x:v>保留为低权重条件预测</x:v>
      </x:c>
      <x:c r="H21" s="609" t="str">
        <x:v>App车型卡+配置表</x:v>
      </x:c>
    </x:row>
    <x:row r="22" ht="68" customHeight="1">
      <x:c r="A22" s="19" t="str">
        <x:v>N90升顶版</x:v>
      </x:c>
      <x:c r="B22" s="19" t="str">
        <x:v>官方商品名/价格</x:v>
      </x:c>
      <x:c r="C22" s="19" t="str">
        <x:v>登记交付方式</x:v>
      </x:c>
      <x:c r="D22" s="19" t="str">
        <x:v>升顶机构与床板标配边界</x:v>
      </x:c>
      <x:c r="E22" s="19" t="str">
        <x:v>投影/桌板/外接附件选装边界</x:v>
      </x:c>
      <x:c r="F22" s="19" t="str">
        <x:v>NOT_MET</x:v>
      </x:c>
      <x:c r="G22" s="19" t="str">
        <x:v>不并入固定顶主价格树</x:v>
      </x:c>
      <x:c r="H22" s="19" t="str">
        <x:v>官方定购页/配置表</x:v>
      </x:c>
    </x:row>
  </x:sheetData>
  <x:mergeCells>
    <x:mergeCell ref="A1:N1"/>
    <x:mergeCell ref="A2:N2"/>
    <x:mergeCell ref="A3:N3"/>
    <x:mergeCell ref="A18:N18"/>
  </x:mergeCells>
  <x:conditionalFormatting sqref="H6:K15">
    <x:cfRule type="containsText" dxfId="3223" priority="1" operator="containsText" text="PASS"/>
    <x:cfRule type="containsText" dxfId="3224" priority="2" operator="containsText" text="SIGNED"/>
    <x:cfRule type="containsText" dxfId="3225" priority="3" operator="containsText" text="CONFIRMED"/>
    <x:cfRule type="containsText" dxfId="3226" priority="4" operator="containsText" text="OFFICIAL"/>
    <x:cfRule type="containsText" dxfId="3227" priority="5" operator="containsText" text="CENTRAL"/>
    <x:cfRule type="containsText" dxfId="3228" priority="6" operator="containsText" text="PRIMARY"/>
    <x:cfRule type="containsText" dxfId="3229" priority="7" operator="containsText" text="MODELLED"/>
    <x:cfRule type="containsText" dxfId="3230" priority="8" operator="containsText" text="CONDITIONAL"/>
    <x:cfRule type="containsText" dxfId="3231" priority="9" operator="containsText" text="SENSITIVITY"/>
    <x:cfRule type="containsText" dxfId="3232" priority="10" operator="containsText" text="PREDICTED"/>
    <x:cfRule type="containsText" dxfId="3233" priority="11" operator="containsText" text="MEDIUM"/>
    <x:cfRule type="containsText" dxfId="3234" priority="12" operator="containsText" text="WATCH"/>
    <x:cfRule type="containsText" dxfId="3235" priority="13" operator="containsText" text="EXCLUDED"/>
    <x:cfRule type="containsText" dxfId="3236" priority="14" operator="containsText" text="SEPARATE"/>
    <x:cfRule type="containsText" dxfId="3237" priority="15" operator="containsText" text="NO"/>
    <x:cfRule type="containsText" dxfId="3238" priority="16" operator="containsText" text="FAIL"/>
    <x:cfRule type="containsText" dxfId="3239" priority="17" operator="containsText" text="BLOCKED"/>
    <x:cfRule type="containsText" dxfId="3240" priority="18" operator="containsText" text="LOW"/>
  </x:conditionalFormatting>
  <x:conditionalFormatting sqref="N6:N15">
    <x:cfRule type="containsText" dxfId="3241" priority="19" operator="containsText" text="PASS"/>
    <x:cfRule type="containsText" dxfId="3242" priority="20" operator="containsText" text="SIGNED"/>
    <x:cfRule type="containsText" dxfId="3243" priority="21" operator="containsText" text="CONFIRMED"/>
    <x:cfRule type="containsText" dxfId="3244" priority="22" operator="containsText" text="OFFICIAL"/>
    <x:cfRule type="containsText" dxfId="3245" priority="23" operator="containsText" text="CENTRAL"/>
    <x:cfRule type="containsText" dxfId="3246" priority="24" operator="containsText" text="PRIMARY"/>
    <x:cfRule type="containsText" dxfId="3247" priority="25" operator="containsText" text="MODELLED"/>
    <x:cfRule type="containsText" dxfId="3248" priority="26" operator="containsText" text="CONDITIONAL"/>
    <x:cfRule type="containsText" dxfId="3249" priority="27" operator="containsText" text="SENSITIVITY"/>
    <x:cfRule type="containsText" dxfId="3250" priority="28" operator="containsText" text="PREDICTED"/>
    <x:cfRule type="containsText" dxfId="3251" priority="29" operator="containsText" text="MEDIUM"/>
    <x:cfRule type="containsText" dxfId="3252" priority="30" operator="containsText" text="WATCH"/>
    <x:cfRule type="containsText" dxfId="3253" priority="31" operator="containsText" text="EXCLUDED"/>
    <x:cfRule type="containsText" dxfId="3254" priority="32" operator="containsText" text="SEPARATE"/>
    <x:cfRule type="containsText" dxfId="3255" priority="33" operator="containsText" text="NO"/>
    <x:cfRule type="containsText" dxfId="3256" priority="34" operator="containsText" text="FAIL"/>
    <x:cfRule type="containsText" dxfId="3257" priority="35" operator="containsText" text="BLOCKED"/>
    <x:cfRule type="containsText" dxfId="3258" priority="36" operator="containsText" text="LOW"/>
  </x:conditionalFormatting>
  <x:conditionalFormatting sqref="F20:F22">
    <x:cfRule type="containsText" dxfId="3259" priority="37" operator="containsText" text="PASS"/>
    <x:cfRule type="containsText" dxfId="3260" priority="38" operator="containsText" text="SIGNED"/>
    <x:cfRule type="containsText" dxfId="3261" priority="39" operator="containsText" text="CONFIRMED"/>
    <x:cfRule type="containsText" dxfId="3262" priority="40" operator="containsText" text="OFFICIAL"/>
    <x:cfRule type="containsText" dxfId="3263" priority="41" operator="containsText" text="CENTRAL"/>
    <x:cfRule type="containsText" dxfId="3264" priority="42" operator="containsText" text="PRIMARY"/>
    <x:cfRule type="containsText" dxfId="3265" priority="43" operator="containsText" text="MODELLED"/>
    <x:cfRule type="containsText" dxfId="3266" priority="44" operator="containsText" text="CONDITIONAL"/>
    <x:cfRule type="containsText" dxfId="3267" priority="45" operator="containsText" text="SENSITIVITY"/>
    <x:cfRule type="containsText" dxfId="3268" priority="46" operator="containsText" text="PREDICTED"/>
    <x:cfRule type="containsText" dxfId="3269" priority="47" operator="containsText" text="MEDIUM"/>
    <x:cfRule type="containsText" dxfId="3270" priority="48" operator="containsText" text="WATCH"/>
    <x:cfRule type="containsText" dxfId="3271" priority="49" operator="containsText" text="EXCLUDED"/>
    <x:cfRule type="containsText" dxfId="3272" priority="50" operator="containsText" text="SEPARATE"/>
    <x:cfRule type="containsText" dxfId="3273" priority="51" operator="containsText" text="NO"/>
    <x:cfRule type="containsText" dxfId="3274" priority="52" operator="containsText" text="FAIL"/>
    <x:cfRule type="containsText" dxfId="3275" priority="53" operator="containsText" text="BLOCKED"/>
    <x:cfRule type="containsText" dxfId="3276" priority="54" operator="containsText" text="LOW"/>
  </x:conditionalFormatting>
  <x:pageMargins left="0.7" right="0.7" top="0.75" bottom="0.75" header="0.3" footer="0.3"/>
</x:worksheet>
</file>

<file path=xl/worksheets/sheet12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13" hidden="0" customWidth="1"/>
    <x:col min="3" max="3" width="18" hidden="0" customWidth="1"/>
    <x:col min="4" max="4" width="14" hidden="0" customWidth="1"/>
    <x:col min="5" max="5" width="17" hidden="0" customWidth="1"/>
    <x:col min="6" max="6" width="22" hidden="0" customWidth="1"/>
    <x:col min="7" max="7" width="23" hidden="0" customWidth="1"/>
    <x:col min="8" max="8" width="24" hidden="0" customWidth="1"/>
    <x:col min="9" max="9" width="34" hidden="0" customWidth="1"/>
    <x:col min="10" max="10" width="19" hidden="0" customWidth="1"/>
    <x:col min="11" max="11" width="19" hidden="0" customWidth="1"/>
    <x:col min="12" max="12" width="40" hidden="0" customWidth="1"/>
    <x:col min="13" max="13" width="39" hidden="0" customWidth="1"/>
    <x:col min="14" max="14" width="27" hidden="0" customWidth="1"/>
  </x:cols>
  <x:sheetData>
    <x:row r="1" ht="30" customHeight="1">
      <x:c r="A1" s="596" t="str">
        <x:v>122｜N90 Standard形态敏感性：座位×空簧×CDC分开</x:v>
      </x:c>
      <x:c r="B1" s="596"/>
      <x:c r="C1" s="596"/>
      <x:c r="D1" s="596"/>
      <x:c r="E1" s="596"/>
      <x:c r="F1" s="596"/>
      <x:c r="G1" s="596"/>
      <x:c r="H1" s="596"/>
      <x:c r="I1" s="596"/>
      <x:c r="J1" s="596"/>
      <x:c r="K1" s="596"/>
      <x:c r="L1" s="596"/>
      <x:c r="M1" s="596"/>
      <x:c r="N1" s="596"/>
    </x:row>
    <x:row r="2" ht="22" customHeight="1">
      <x:c r="A2" s="599" t="str">
        <x:v>条件于Standard确实存在；中心不自动扣除5座的第三排成本</x:v>
      </x:c>
      <x:c r="B2" s="599"/>
      <x:c r="C2" s="599"/>
      <x:c r="D2" s="599"/>
      <x:c r="E2" s="599"/>
      <x:c r="F2" s="599"/>
      <x:c r="G2" s="599"/>
      <x:c r="H2" s="599"/>
      <x:c r="I2" s="599"/>
      <x:c r="J2" s="599"/>
      <x:c r="K2" s="599"/>
      <x:c r="L2" s="599"/>
      <x:c r="M2" s="599"/>
      <x:c r="N2" s="599"/>
    </x:row>
    <x:row r="3" ht="96" customHeight="1">
      <x:c r="A3" s="603" t="str">
        <x:v>修正后的主分支是“7座+螺簧+CDC”50%；所有螺簧+CDC合计68%，空悬+CDC合计27%，螺簧+被动5%。由于保留CDC且不再机械扣第三排，加权中位成本差从旧3.3B的0.89万元下修到约0.52万元；加权成本驱动含税价差约0.63万元。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</x:row>
    <x:row r="5" ht="58" customHeight="1">
      <x:c r="A5" s="608" t="str">
        <x:v>shape_id</x:v>
      </x:c>
      <x:c r="B5" s="608" t="str">
        <x:v>座位</x:v>
      </x:c>
      <x:c r="C5" s="608" t="str">
        <x:v>弹簧</x:v>
      </x:c>
      <x:c r="D5" s="608" t="str">
        <x:v>减振</x:v>
      </x:c>
      <x:c r="E5" s="608" t="str">
        <x:v>条件权重</x:v>
      </x:c>
      <x:c r="F5" s="608" t="str">
        <x:v>中心物理BOM差</x:v>
      </x:c>
      <x:c r="G5" s="608" t="str">
        <x:v>中心含覆盖成本差</x:v>
      </x:c>
      <x:c r="H5" s="608" t="str">
        <x:v>成本驱动含税价差</x:v>
      </x:c>
      <x:c r="I5" s="608" t="str">
        <x:v>商品职责</x:v>
      </x:c>
      <x:c r="J5" s="608" t="str">
        <x:v>形态置信</x:v>
      </x:c>
      <x:c r="K5" s="608" t="str">
        <x:v>中心计入</x:v>
      </x:c>
      <x:c r="L5" s="608" t="str">
        <x:v>座位价值处理</x:v>
      </x:c>
      <x:c r="M5" s="608" t="str">
        <x:v>不能推出</x:v>
      </x:c>
      <x:c r="N5" s="608" t="str">
        <x:v>更新触发</x:v>
      </x:c>
    </x:row>
    <x:row r="6" ht="72" customHeight="1">
      <x:c r="A6" s="19" t="str">
        <x:v>S1</x:v>
      </x:c>
      <x:c r="B6" s="19" t="str">
        <x:v>7座</x:v>
      </x:c>
      <x:c r="C6" s="19" t="str">
        <x:v>螺簧</x:v>
      </x:c>
      <x:c r="D6" s="19" t="str">
        <x:v>CDC</x:v>
      </x:c>
      <x:c r="E6" s="23" t="n">
        <x:v>0.5</x:v>
      </x:c>
      <x:c r="F6" s="460" t="n">
        <x:f>'105_N90标准版成本差'!D8+'105_N90标准版成本差'!D10+'105_N90标准版成本差'!D11</x:f>
        <x:v>6250</x:v>
      </x:c>
      <x:c r="G6" s="460" t="n">
        <x:f>F6*1.035</x:f>
        <x:v>6468.749999999999</x:v>
      </x:c>
      <x:c r="H6" s="460" t="n">
        <x:f>G6*('105_N90标准版成本差'!J22/'105_N90标准版成本差'!G22)</x:f>
        <x:v>7817.178571428571</x:v>
      </x:c>
      <x:c r="I6" s="19" t="str">
        <x:v>主情景：保留七座，用空簧形成底盘阶梯</x:v>
      </x:c>
      <x:c r="J6" s="19" t="str">
        <x:v>MEDIUM_LOW</x:v>
      </x:c>
      <x:c r="K6" s="19" t="str">
        <x:v>YES</x:v>
      </x:c>
      <x:c r="L6" s="19" t="str">
        <x:v>不涉及5座价值</x:v>
      </x:c>
      <x:c r="M6" s="19" t="str">
        <x:v>已确认无空悬</x:v>
      </x:c>
      <x:c r="N6" s="19" t="str">
        <x:v>正式悬架表</x:v>
      </x:c>
    </x:row>
    <x:row r="7" ht="72" customHeight="1">
      <x:c r="A7" s="609" t="str">
        <x:v>S2</x:v>
      </x:c>
      <x:c r="B7" s="609" t="str">
        <x:v>7座</x:v>
      </x:c>
      <x:c r="C7" s="609" t="str">
        <x:v>空气弹簧</x:v>
      </x:c>
      <x:c r="D7" s="609" t="str">
        <x:v>CDC</x:v>
      </x:c>
      <x:c r="E7" s="613" t="n">
        <x:v>0.2</x:v>
      </x:c>
      <x:c r="F7" s="614" t="n">
        <x:f>'105_N90标准版成本差'!D10+'105_N90标准版成本差'!D11</x:f>
        <x:v>1250</x:v>
      </x:c>
      <x:c r="G7" s="614" t="n">
        <x:f>F7*1.035</x:f>
        <x:v>1293.75</x:v>
      </x:c>
      <x:c r="H7" s="614" t="n">
        <x:f>G7*('105_N90标准版成本差'!J22/'105_N90标准版成本差'!G22)</x:f>
        <x:v>1563.4357142857143</x:v>
      </x:c>
      <x:c r="I7" s="609" t="str">
        <x:v>高价值Standard：七座与空悬均保留，只做座舱分层</x:v>
      </x:c>
      <x:c r="J7" s="609" t="str">
        <x:v>LOW_MEDIUM</x:v>
      </x:c>
      <x:c r="K7" s="609" t="str">
        <x:v>YES_SENSITIVITY</x:v>
      </x:c>
      <x:c r="L7" s="609" t="str">
        <x:v>不涉及5座价值</x:v>
      </x:c>
      <x:c r="M7" s="609" t="str">
        <x:v>少舒适项必然支持大价差</x:v>
      </x:c>
      <x:c r="N7" s="609" t="str">
        <x:v>完整座舱表</x:v>
      </x:c>
    </x:row>
    <x:row r="8" ht="72" customHeight="1">
      <x:c r="A8" s="19" t="str">
        <x:v>S3</x:v>
      </x:c>
      <x:c r="B8" s="19" t="str">
        <x:v>5座</x:v>
      </x:c>
      <x:c r="C8" s="19" t="str">
        <x:v>螺簧</x:v>
      </x:c>
      <x:c r="D8" s="19" t="str">
        <x:v>CDC</x:v>
      </x:c>
      <x:c r="E8" s="23" t="n">
        <x:v>0.18</x:v>
      </x:c>
      <x:c r="F8" s="460" t="n">
        <x:f>F6</x:f>
        <x:v>6250</x:v>
      </x:c>
      <x:c r="G8" s="460" t="n">
        <x:f>F8*1.035</x:f>
        <x:v>6468.749999999999</x:v>
      </x:c>
      <x:c r="H8" s="460" t="n">
        <x:f>G8*('105_N90标准版成本差'!J22/'105_N90标准版成本差'!G22)</x:f>
        <x:v>7817.178571428571</x:v>
      </x:c>
      <x:c r="I8" s="19" t="str">
        <x:v>五座底盘分层；与N70定位有重叠</x:v>
      </x:c>
      <x:c r="J8" s="19" t="str">
        <x:v>LOW_MEDIUM</x:v>
      </x:c>
      <x:c r="K8" s="19" t="str">
        <x:v>YES_SENSITIVITY</x:v>
      </x:c>
      <x:c r="L8" s="19" t="str">
        <x:v>仅给商业价值证据，中心不扣座椅BOM</x:v>
      </x:c>
      <x:c r="M8" s="19" t="str">
        <x:v>5座必然是Standard</x:v>
      </x:c>
      <x:c r="N8" s="19" t="str">
        <x:v>座位SKU</x:v>
      </x:c>
    </x:row>
    <x:row r="9" ht="72" customHeight="1">
      <x:c r="A9" s="609" t="str">
        <x:v>S4</x:v>
      </x:c>
      <x:c r="B9" s="609" t="str">
        <x:v>5座</x:v>
      </x:c>
      <x:c r="C9" s="609" t="str">
        <x:v>空气弹簧</x:v>
      </x:c>
      <x:c r="D9" s="609" t="str">
        <x:v>CDC</x:v>
      </x:c>
      <x:c r="E9" s="613" t="n">
        <x:v>0.07</x:v>
      </x:c>
      <x:c r="F9" s="614" t="n">
        <x:f>F7</x:f>
        <x:v>1250</x:v>
      </x:c>
      <x:c r="G9" s="614" t="n">
        <x:f>F9*1.035</x:f>
        <x:v>1293.75</x:v>
      </x:c>
      <x:c r="H9" s="614" t="n">
        <x:f>G9*('105_N90标准版成本差'!J22/'105_N90标准版成本差'!G22)</x:f>
        <x:v>1563.4357142857143</x:v>
      </x:c>
      <x:c r="I9" s="609" t="str">
        <x:v>五座高价值平行版，不必是低配</x:v>
      </x:c>
      <x:c r="J9" s="609" t="str">
        <x:v>LOW</x:v>
      </x:c>
      <x:c r="K9" s="609" t="str">
        <x:v>YES_SENSITIVITY</x:v>
      </x:c>
      <x:c r="L9" s="609" t="str">
        <x:v>问界案例支持1—2万零售价值差</x:v>
      </x:c>
      <x:c r="M9" s="609" t="str">
        <x:v>保留空悬就应与Max同价</x:v>
      </x:c>
      <x:c r="N9" s="609" t="str">
        <x:v>座位/二排配置</x:v>
      </x:c>
    </x:row>
    <x:row r="10" ht="72" customHeight="1">
      <x:c r="A10" s="19" t="str">
        <x:v>S5</x:v>
      </x:c>
      <x:c r="B10" s="19" t="str">
        <x:v>7座</x:v>
      </x:c>
      <x:c r="C10" s="19" t="str">
        <x:v>螺簧</x:v>
      </x:c>
      <x:c r="D10" s="19" t="str">
        <x:v>被动</x:v>
      </x:c>
      <x:c r="E10" s="23" t="n">
        <x:v>0.05</x:v>
      </x:c>
      <x:c r="F10" s="460" t="n">
        <x:f>'105_N90标准版成本差'!D8+'105_N90标准版成本差'!D9+'105_N90标准版成本差'!D10+'105_N90标准版成本差'!D11</x:f>
        <x:v>8750</x:v>
      </x:c>
      <x:c r="G10" s="460" t="n">
        <x:f>F10*1.035</x:f>
        <x:v>9056.25</x:v>
      </x:c>
      <x:c r="H10" s="460" t="n">
        <x:f>G10*('105_N90标准版成本差'!J22/'105_N90标准版成本差'!G22)</x:f>
        <x:v>10944.05</x:v>
      </x:c>
      <x:c r="I10" s="19" t="str">
        <x:v>旧模型形态：空簧和CDC同时删除</x:v>
      </x:c>
      <x:c r="J10" s="19" t="str">
        <x:v>LOW_TAIL</x:v>
      </x:c>
      <x:c r="K10" s="19" t="str">
        <x:v>YES_TAIL</x:v>
      </x:c>
      <x:c r="L10" s="19" t="str">
        <x:v>不涉及5座价值</x:v>
      </x:c>
      <x:c r="M10" s="19" t="str">
        <x:v>这是中心情景</x:v>
      </x:c>
      <x:c r="N10" s="19" t="str">
        <x:v>正式悬架表</x:v>
      </x:c>
    </x:row>
    <x:row r="13" ht="24" customHeight="1">
      <x:c r="A13" s="612" t="str">
        <x:v>旧口径→新口径成本差修正</x:v>
      </x:c>
      <x:c r="B13" s="612"/>
      <x:c r="C13" s="612"/>
      <x:c r="D13" s="612"/>
      <x:c r="E13" s="612"/>
      <x:c r="F13" s="612"/>
      <x:c r="G13" s="612"/>
      <x:c r="H13" s="612"/>
      <x:c r="I13" s="612"/>
      <x:c r="J13" s="612"/>
      <x:c r="K13" s="612"/>
      <x:c r="L13" s="612"/>
      <x:c r="M13" s="612"/>
      <x:c r="N13" s="612"/>
    </x:row>
    <x:row r="14" ht="46" customHeight="1">
      <x:c r="A14" s="608" t="str">
        <x:v>指标</x:v>
      </x:c>
      <x:c r="B14" s="608" t="str">
        <x:v>旧口径</x:v>
      </x:c>
      <x:c r="C14" s="608" t="str">
        <x:v>新口径</x:v>
      </x:c>
      <x:c r="D14" s="608" t="str">
        <x:v>变化</x:v>
      </x:c>
      <x:c r="E14" s="608" t="str">
        <x:v>变化率</x:v>
      </x:c>
      <x:c r="F14" s="608" t="str">
        <x:v>公式/证据</x:v>
      </x:c>
      <x:c r="G14" s="608" t="str">
        <x:v>解读</x:v>
      </x:c>
      <x:c r="H14" s="608" t="str">
        <x:v>状态</x:v>
      </x:c>
    </x:row>
    <x:row r="15" ht="56" customHeight="1">
      <x:c r="A15" s="19" t="str">
        <x:v>形态权重合计</x:v>
      </x:c>
      <x:c r="B15" s="23" t="n">
        <x:v>1</x:v>
      </x:c>
      <x:c r="C15" s="23" t="n">
        <x:f>SUM(E6:E10)</x:f>
        <x:v>1</x:v>
      </x:c>
      <x:c r="D15" s="23" t="n">
        <x:f>C15-B15</x:f>
        <x:v>0</x:v>
      </x:c>
      <x:c r="E15" s="23" t="n">
        <x:f>IFERROR(D15/B15,"")</x:f>
        <x:v>0</x:v>
      </x:c>
      <x:c r="F15" s="19" t="str">
        <x:v>本表E6:E10</x:v>
      </x:c>
      <x:c r="G15" s="19" t="str">
        <x:v>应为100%</x:v>
      </x:c>
      <x:c r="H15" s="19" t="str">
        <x:v>CHECK</x:v>
      </x:c>
    </x:row>
    <x:row r="16" ht="56" customHeight="1">
      <x:c r="A16" s="609" t="str">
        <x:v>螺簧+CDC权重</x:v>
      </x:c>
      <x:c r="B16" s="613" t="str"/>
      <x:c r="C16" s="613" t="n">
        <x:f>E6+E8</x:f>
        <x:v>0.6799999999999999</x:v>
      </x:c>
      <x:c r="D16" s="613" t="n">
        <x:f>C16-B16</x:f>
        <x:v>0.6799999999999999</x:v>
      </x:c>
      <x:c r="E16" s="613" t="str">
        <x:f>IFERROR(D16/B16,"")</x:f>
      </x:c>
      <x:c r="F16" s="609" t="str">
        <x:v>S1+S3</x:v>
      </x:c>
      <x:c r="G16" s="609" t="str">
        <x:v>中心路径约68%</x:v>
      </x:c>
      <x:c r="H16" s="609" t="str">
        <x:v>CENTRAL</x:v>
      </x:c>
    </x:row>
    <x:row r="17" ht="56" customHeight="1">
      <x:c r="A17" s="19" t="str">
        <x:v>空悬+CDC权重</x:v>
      </x:c>
      <x:c r="B17" s="23" t="n">
        <x:v>0.15</x:v>
      </x:c>
      <x:c r="C17" s="23" t="n">
        <x:f>E7+E9</x:f>
        <x:v>0.27</x:v>
      </x:c>
      <x:c r="D17" s="23" t="n">
        <x:f>C17-B17</x:f>
        <x:v>0.12000000000000002</x:v>
      </x:c>
      <x:c r="E17" s="23" t="n">
        <x:f>IFERROR(D17/B17,"")</x:f>
        <x:v>0.8000000000000002</x:v>
      </x:c>
      <x:c r="F17" s="19" t="str">
        <x:v>S2+S4</x:v>
      </x:c>
      <x:c r="G17" s="19" t="str">
        <x:v>保留高价值尾部约27%</x:v>
      </x:c>
      <x:c r="H17" s="19" t="str">
        <x:v>SENSITIVITY</x:v>
      </x:c>
    </x:row>
    <x:row r="18" ht="56" customHeight="1">
      <x:c r="A18" s="609" t="str">
        <x:v>加权中位含覆盖成本差</x:v>
      </x:c>
      <x:c r="B18" s="614" t="n">
        <x:v>8942.4</x:v>
      </x:c>
      <x:c r="C18" s="614" t="n">
        <x:f>SUMPRODUCT(E6:E10,G6:G10)</x:f>
        <x:v>5200.874999999999</x:v>
      </x:c>
      <x:c r="D18" s="614" t="n">
        <x:f>C18-B18</x:f>
        <x:v>-3741.5250000000005</x:v>
      </x:c>
      <x:c r="E18" s="613" t="n">
        <x:f>IFERROR(D18/B18,"")</x:f>
        <x:v>-0.41840277777777785</x:v>
      </x:c>
      <x:c r="F18" s="609" t="str">
        <x:v>SUMPRODUCT(E,G)</x:v>
      </x:c>
      <x:c r="G18" s="609" t="str">
        <x:v>不再自动扣第三排，且多数保留CDC</x:v>
      </x:c>
      <x:c r="H18" s="609" t="str">
        <x:v>REVISED_DOWN</x:v>
      </x:c>
    </x:row>
    <x:row r="19" ht="56" customHeight="1">
      <x:c r="A19" s="19" t="str">
        <x:v>加权成本驱动含税价差</x:v>
      </x:c>
      <x:c r="B19" s="460" t="n">
        <x:v>10806.98</x:v>
      </x:c>
      <x:c r="C19" s="460" t="n">
        <x:f>SUMPRODUCT(E6:E10,H6:H10)</x:f>
        <x:v>6285.011571428571</x:v>
      </x:c>
      <x:c r="D19" s="460" t="n">
        <x:f>C19-B19</x:f>
        <x:v>-4521.968428571428</x:v>
      </x:c>
      <x:c r="E19" s="23" t="n">
        <x:f>IFERROR(D19/B19,"")</x:f>
        <x:v>-0.4184303504375347</x:v>
      </x:c>
      <x:c r="F19" s="19" t="str">
        <x:v>SUMPRODUCT(E,H)</x:v>
      </x:c>
      <x:c r="G19" s="19" t="str">
        <x:v>商品梯度仍可高于此值</x:v>
      </x:c>
      <x:c r="H19" s="19" t="str">
        <x:v>REVISED_DOWN</x:v>
      </x:c>
    </x:row>
    <x:row r="22" ht="24" customHeight="1">
      <x:c r="A22" s="612" t="str">
        <x:v>供后续阶段直接引用的签核单元格</x:v>
      </x:c>
      <x:c r="B22" s="612"/>
      <x:c r="C22" s="612"/>
      <x:c r="D22" s="612"/>
      <x:c r="E22" s="612"/>
      <x:c r="F22" s="612"/>
      <x:c r="G22" s="612"/>
      <x:c r="H22" s="612"/>
      <x:c r="I22" s="612"/>
      <x:c r="J22" s="612"/>
      <x:c r="K22" s="612"/>
      <x:c r="L22" s="612"/>
      <x:c r="M22" s="612"/>
      <x:c r="N22" s="612"/>
    </x:row>
    <x:row r="23" ht="42" customHeight="1">
      <x:c r="A23" s="19" t="str">
        <x:v>形态权重合计</x:v>
      </x:c>
      <x:c r="B23" s="23" t="n">
        <x:f>C15</x:f>
        <x:v>1</x:v>
      </x:c>
      <x:c r="C23" s="19"/>
      <x:c r="D23" s="19"/>
      <x:c r="E23" s="19"/>
    </x:row>
    <x:row r="24" ht="42" customHeight="1">
      <x:c r="A24" s="609" t="str">
        <x:v>7座权重</x:v>
      </x:c>
      <x:c r="B24" s="613" t="n">
        <x:f>E6+E7+E10</x:f>
        <x:v>0.75</x:v>
      </x:c>
      <x:c r="C24" s="609"/>
      <x:c r="D24" s="609"/>
      <x:c r="E24" s="609"/>
    </x:row>
    <x:row r="25" ht="42" customHeight="1">
      <x:c r="A25" s="19" t="str">
        <x:v>5座权重</x:v>
      </x:c>
      <x:c r="B25" s="23" t="n">
        <x:f>E8+E9</x:f>
        <x:v>0.25</x:v>
      </x:c>
      <x:c r="C25" s="19"/>
      <x:c r="D25" s="19"/>
      <x:c r="E25" s="19"/>
    </x:row>
    <x:row r="26" ht="42" customHeight="1">
      <x:c r="A26" s="609" t="str">
        <x:v>螺簧+CDC权重</x:v>
      </x:c>
      <x:c r="B26" s="613" t="n">
        <x:f>C16</x:f>
        <x:v>0.6799999999999999</x:v>
      </x:c>
      <x:c r="C26" s="609"/>
      <x:c r="D26" s="609"/>
      <x:c r="E26" s="609"/>
    </x:row>
    <x:row r="27" ht="42" customHeight="1">
      <x:c r="A27" s="19" t="str">
        <x:v>空悬+CDC权重</x:v>
      </x:c>
      <x:c r="B27" s="23" t="n">
        <x:f>C17</x:f>
        <x:v>0.27</x:v>
      </x:c>
      <x:c r="C27" s="19"/>
      <x:c r="D27" s="19"/>
      <x:c r="E27" s="19"/>
    </x:row>
    <x:row r="28" ht="42" customHeight="1">
      <x:c r="A28" s="609" t="str">
        <x:v>螺簧+被动权重</x:v>
      </x:c>
      <x:c r="B28" s="613" t="n">
        <x:f>E10</x:f>
        <x:v>0.05</x:v>
      </x:c>
      <x:c r="C28" s="609"/>
      <x:c r="D28" s="609"/>
      <x:c r="E28" s="609"/>
    </x:row>
    <x:row r="29" ht="42" customHeight="1">
      <x:c r="A29" s="19" t="str">
        <x:v>旧加权中位成本差</x:v>
      </x:c>
      <x:c r="B29" s="460" t="n">
        <x:v>8942.4</x:v>
      </x:c>
      <x:c r="C29" s="19"/>
      <x:c r="D29" s="19"/>
      <x:c r="E29" s="19"/>
    </x:row>
    <x:row r="30" ht="42" customHeight="1">
      <x:c r="A30" s="609" t="str">
        <x:v>新加权中位成本差</x:v>
      </x:c>
      <x:c r="B30" s="614" t="n">
        <x:f>C18</x:f>
        <x:v>5200.874999999999</x:v>
      </x:c>
      <x:c r="C30" s="609"/>
      <x:c r="D30" s="609" t="str">
        <x:v>中心成本差</x:v>
      </x:c>
      <x:c r="E30" s="609" t="str">
        <x:v>约0.52万</x:v>
      </x:c>
    </x:row>
    <x:row r="31" ht="42" customHeight="1">
      <x:c r="A31" s="19" t="str">
        <x:v>新加权成本驱动含税价差</x:v>
      </x:c>
      <x:c r="B31" s="460" t="n">
        <x:f>C19</x:f>
        <x:v>6285.011571428571</x:v>
      </x:c>
      <x:c r="C31" s="19"/>
      <x:c r="D31" s="19" t="str">
        <x:v>成本驱动含税价差</x:v>
      </x:c>
      <x:c r="E31" s="19" t="str">
        <x:v>约0.63万</x:v>
      </x:c>
    </x:row>
    <x:row r="32" ht="42" customHeight="1">
      <x:c r="A32" s="609" t="str">
        <x:v>新/旧成本差比</x:v>
      </x:c>
      <x:c r="B32" s="613" t="n">
        <x:f>B30/B29</x:f>
        <x:v>0.5815972222222221</x:v>
      </x:c>
      <x:c r="C32" s="609"/>
      <x:c r="D32" s="609" t="str">
        <x:v>新/旧成本差</x:v>
      </x:c>
      <x:c r="E32" s="609" t="str">
        <x:v>约58%</x:v>
      </x:c>
    </x:row>
  </x:sheetData>
  <x:mergeCells>
    <x:mergeCell ref="A1:N1"/>
    <x:mergeCell ref="A2:N2"/>
    <x:mergeCell ref="A3:N3"/>
    <x:mergeCell ref="A13:N13"/>
    <x:mergeCell ref="A22:N22"/>
  </x:mergeCells>
  <x:conditionalFormatting sqref="J6:K10">
    <x:cfRule type="containsText" dxfId="3277" priority="1" operator="containsText" text="PASS"/>
    <x:cfRule type="containsText" dxfId="3278" priority="2" operator="containsText" text="SIGNED"/>
    <x:cfRule type="containsText" dxfId="3279" priority="3" operator="containsText" text="CONFIRMED"/>
    <x:cfRule type="containsText" dxfId="3280" priority="4" operator="containsText" text="OFFICIAL"/>
    <x:cfRule type="containsText" dxfId="3281" priority="5" operator="containsText" text="CENTRAL"/>
    <x:cfRule type="containsText" dxfId="3282" priority="6" operator="containsText" text="PRIMARY"/>
    <x:cfRule type="containsText" dxfId="3283" priority="7" operator="containsText" text="MODELLED"/>
    <x:cfRule type="containsText" dxfId="3284" priority="8" operator="containsText" text="CONDITIONAL"/>
    <x:cfRule type="containsText" dxfId="3285" priority="9" operator="containsText" text="SENSITIVITY"/>
    <x:cfRule type="containsText" dxfId="3286" priority="10" operator="containsText" text="PREDICTED"/>
    <x:cfRule type="containsText" dxfId="3287" priority="11" operator="containsText" text="MEDIUM"/>
    <x:cfRule type="containsText" dxfId="3288" priority="12" operator="containsText" text="WATCH"/>
    <x:cfRule type="containsText" dxfId="3289" priority="13" operator="containsText" text="EXCLUDED"/>
    <x:cfRule type="containsText" dxfId="3290" priority="14" operator="containsText" text="SEPARATE"/>
    <x:cfRule type="containsText" dxfId="3291" priority="15" operator="containsText" text="NO"/>
    <x:cfRule type="containsText" dxfId="3292" priority="16" operator="containsText" text="FAIL"/>
    <x:cfRule type="containsText" dxfId="3293" priority="17" operator="containsText" text="BLOCKED"/>
    <x:cfRule type="containsText" dxfId="3294" priority="18" operator="containsText" text="LOW"/>
  </x:conditionalFormatting>
  <x:conditionalFormatting sqref="H15:H19">
    <x:cfRule type="containsText" dxfId="3295" priority="19" operator="containsText" text="PASS"/>
    <x:cfRule type="containsText" dxfId="3296" priority="20" operator="containsText" text="SIGNED"/>
    <x:cfRule type="containsText" dxfId="3297" priority="21" operator="containsText" text="CONFIRMED"/>
    <x:cfRule type="containsText" dxfId="3298" priority="22" operator="containsText" text="OFFICIAL"/>
    <x:cfRule type="containsText" dxfId="3299" priority="23" operator="containsText" text="CENTRAL"/>
    <x:cfRule type="containsText" dxfId="3300" priority="24" operator="containsText" text="PRIMARY"/>
    <x:cfRule type="containsText" dxfId="3301" priority="25" operator="containsText" text="MODELLED"/>
    <x:cfRule type="containsText" dxfId="3302" priority="26" operator="containsText" text="CONDITIONAL"/>
    <x:cfRule type="containsText" dxfId="3303" priority="27" operator="containsText" text="SENSITIVITY"/>
    <x:cfRule type="containsText" dxfId="3304" priority="28" operator="containsText" text="PREDICTED"/>
    <x:cfRule type="containsText" dxfId="3305" priority="29" operator="containsText" text="MEDIUM"/>
    <x:cfRule type="containsText" dxfId="3306" priority="30" operator="containsText" text="WATCH"/>
    <x:cfRule type="containsText" dxfId="3307" priority="31" operator="containsText" text="EXCLUDED"/>
    <x:cfRule type="containsText" dxfId="3308" priority="32" operator="containsText" text="SEPARATE"/>
    <x:cfRule type="containsText" dxfId="3309" priority="33" operator="containsText" text="NO"/>
    <x:cfRule type="containsText" dxfId="3310" priority="34" operator="containsText" text="FAIL"/>
    <x:cfRule type="containsText" dxfId="3311" priority="35" operator="containsText" text="BLOCKED"/>
    <x:cfRule type="containsText" dxfId="3312" priority="36" operator="containsText" text="LOW"/>
  </x:conditionalFormatting>
  <x:pageMargins left="0.7" right="0.7" top="0.75" bottom="0.75" header="0.3" footer="0.3"/>
  <x:drawing xmlns:r="http://schemas.openxmlformats.org/officeDocument/2006/relationships" r:id="Rf10d4cbf5da4455b"/>
</x:worksheet>
</file>

<file path=xl/worksheets/sheet12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9" hidden="0" customWidth="1"/>
    <x:col min="2" max="2" width="14" hidden="0" customWidth="1"/>
    <x:col min="3" max="3" width="18" hidden="0" customWidth="1"/>
    <x:col min="4" max="4" width="18" hidden="0" customWidth="1"/>
    <x:col min="5" max="5" width="16" hidden="0" customWidth="1"/>
    <x:col min="6" max="6" width="16" hidden="0" customWidth="1"/>
    <x:col min="7" max="7" width="18" hidden="0" customWidth="1"/>
    <x:col min="8" max="8" width="29" hidden="0" customWidth="1"/>
    <x:col min="9" max="9" width="27" hidden="0" customWidth="1"/>
    <x:col min="10" max="10" width="37" hidden="0" customWidth="1"/>
    <x:col min="11" max="11" width="24" hidden="0" customWidth="1"/>
    <x:col min="12" max="12" width="39" hidden="0" customWidth="1"/>
    <x:col min="13" max="13" width="54" hidden="0" customWidth="1"/>
    <x:col min="14" max="14" width="26" hidden="0" customWidth="1"/>
  </x:cols>
  <x:sheetData>
    <x:row r="1" ht="30" customHeight="1">
      <x:c r="A1" s="596" t="str">
        <x:v>123｜小米SU7/YU7版本梯度对N90的约束</x:v>
      </x:c>
      <x:c r="B1" s="596"/>
      <x:c r="C1" s="596"/>
      <x:c r="D1" s="596"/>
      <x:c r="E1" s="596"/>
      <x:c r="F1" s="596"/>
      <x:c r="G1" s="596"/>
      <x:c r="H1" s="596"/>
      <x:c r="I1" s="596"/>
      <x:c r="J1" s="596"/>
      <x:c r="K1" s="596"/>
      <x:c r="L1" s="596"/>
      <x:c r="M1" s="596"/>
      <x:c r="N1" s="596"/>
    </x:row>
    <x:row r="2" ht="22" customHeight="1">
      <x:c r="A2" s="599" t="str">
        <x:v>用2026官方/App口径检查“同电池+同动力，只靠底盘/舒适分版”是否是小米常态</x:v>
      </x:c>
      <x:c r="B2" s="599"/>
      <x:c r="C2" s="599"/>
      <x:c r="D2" s="599"/>
      <x:c r="E2" s="599"/>
      <x:c r="F2" s="599"/>
      <x:c r="G2" s="599"/>
      <x:c r="H2" s="599"/>
      <x:c r="I2" s="599"/>
      <x:c r="J2" s="599"/>
      <x:c r="K2" s="599"/>
      <x:c r="L2" s="599"/>
      <x:c r="M2" s="599"/>
      <x:c r="N2" s="599"/>
    </x:row>
    <x:row r="3" ht="96" customHeight="1">
      <x:c r="A3" s="603" t="str">
        <x:v>当前SU7/YU7的5个主销相邻升级中，0个是“电池和动力都不变，只靠底盘/舒适分版”。因此N90若Standard/Pro/Max都保畑76kWh+310kW，必须用5/7座使用场景、空悬与一整包座舱差异建立足够清晰的商品身份；否则三档阵容应降权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</x:row>
    <x:row r="5" ht="58" customHeight="1">
      <x:c r="A5" s="608" t="str">
        <x:v>bridge_id</x:v>
      </x:c>
      <x:c r="B5" s="608" t="str">
        <x:v>车系</x:v>
      </x:c>
      <x:c r="C5" s="608" t="str">
        <x:v>低版</x:v>
      </x:c>
      <x:c r="D5" s="608" t="str">
        <x:v>高版</x:v>
      </x:c>
      <x:c r="E5" s="608" t="str">
        <x:v>低价</x:v>
      </x:c>
      <x:c r="F5" s="608" t="str">
        <x:v>高价</x:v>
      </x:c>
      <x:c r="G5" s="608" t="str">
        <x:v>含税价差</x:v>
      </x:c>
      <x:c r="H5" s="608" t="str">
        <x:v>电池变化</x:v>
      </x:c>
      <x:c r="I5" s="608" t="str">
        <x:v>动力变化</x:v>
      </x:c>
      <x:c r="J5" s="608" t="str">
        <x:v>底盘/其他大项</x:v>
      </x:c>
      <x:c r="K5" s="608" t="str">
        <x:v>是否同电池同动力</x:v>
      </x:c>
      <x:c r="L5" s="608" t="str">
        <x:v>主要含义</x:v>
      </x:c>
      <x:c r="M5" s="608" t="str">
        <x:v>来源</x:v>
      </x:c>
      <x:c r="N5" s="608" t="str">
        <x:v>状态</x:v>
      </x:c>
    </x:row>
    <x:row r="6" ht="72" customHeight="1">
      <x:c r="A6" s="19" t="str">
        <x:v>XM-SU7-01</x:v>
      </x:c>
      <x:c r="B6" s="19" t="str">
        <x:v>SU7</x:v>
      </x:c>
      <x:c r="C6" s="19" t="str">
        <x:v>Standard</x:v>
      </x:c>
      <x:c r="D6" s="19" t="str">
        <x:v>Pro</x:v>
      </x:c>
      <x:c r="E6" s="460" t="n">
        <x:v>219900</x:v>
      </x:c>
      <x:c r="F6" s="460" t="n">
        <x:v>249900</x:v>
      </x:c>
      <x:c r="G6" s="460" t="n">
        <x:f>F6-E6</x:f>
        <x:v>30000</x:v>
      </x:c>
      <x:c r="H6" s="19" t="str">
        <x:v>73→96.3kWh LFP</x:v>
      </x:c>
      <x:c r="I6" s="19" t="str">
        <x:v>同320PS</x:v>
      </x:c>
      <x:c r="J6" s="19" t="str">
        <x:v>新增双腔空悬+CDC</x:v>
      </x:c>
      <x:c r="K6" s="19" t="str">
        <x:v>NO</x:v>
      </x:c>
      <x:c r="L6" s="19" t="str">
        <x:v>电池+底盘支持3万梯度</x:v>
      </x:c>
      <x:c r="M6" s="19" t="str">
        <x:v>https://www.xiaomiev.com/su7</x:v>
      </x:c>
      <x:c r="N6" s="19" t="str">
        <x:v>OFFICIAL_2026</x:v>
      </x:c>
    </x:row>
    <x:row r="7" ht="72" customHeight="1">
      <x:c r="A7" s="609" t="str">
        <x:v>XM-SU7-02</x:v>
      </x:c>
      <x:c r="B7" s="609" t="str">
        <x:v>SU7</x:v>
      </x:c>
      <x:c r="C7" s="609" t="str">
        <x:v>Pro</x:v>
      </x:c>
      <x:c r="D7" s="609" t="str">
        <x:v>Max</x:v>
      </x:c>
      <x:c r="E7" s="614" t="n">
        <x:v>249900</x:v>
      </x:c>
      <x:c r="F7" s="614" t="n">
        <x:v>303900</x:v>
      </x:c>
      <x:c r="G7" s="614" t="n">
        <x:f>F7-E7</x:f>
        <x:v>54000</x:v>
      </x:c>
      <x:c r="H7" s="609" t="str">
        <x:v>96.3 LFP→101.7 NCM</x:v>
      </x:c>
      <x:c r="I7" s="609" t="str">
        <x:v>320PS→690PS AWD</x:v>
      </x:c>
      <x:c r="J7" s="609" t="str">
        <x:v>897V/12min/Brembo/25音响/座舱包</x:v>
      </x:c>
      <x:c r="K7" s="609" t="str">
        <x:v>NO</x:v>
      </x:c>
      <x:c r="L7" s="609" t="str">
        <x:v>电池+动力+座舱整包支持5.4万</x:v>
      </x:c>
      <x:c r="M7" s="609" t="str">
        <x:v>https://www.xiaomiev.com/su7</x:v>
      </x:c>
      <x:c r="N7" s="609" t="str">
        <x:v>OFFICIAL_2026</x:v>
      </x:c>
    </x:row>
    <x:row r="8" ht="72" customHeight="1">
      <x:c r="A8" s="19" t="str">
        <x:v>XM-YU7-01</x:v>
      </x:c>
      <x:c r="B8" s="19" t="str">
        <x:v>YU7</x:v>
      </x:c>
      <x:c r="C8" s="19" t="str">
        <x:v>Standard</x:v>
      </x:c>
      <x:c r="D8" s="19" t="str">
        <x:v>长续航</x:v>
      </x:c>
      <x:c r="E8" s="460" t="n">
        <x:v>233500</x:v>
      </x:c>
      <x:c r="F8" s="460" t="n">
        <x:v>253500</x:v>
      </x:c>
      <x:c r="G8" s="460" t="n">
        <x:f>F8-E8</x:f>
        <x:v>20000</x:v>
      </x:c>
      <x:c r="H8" s="19" t="str">
        <x:v>73→96.3kWh LFP</x:v>
      </x:c>
      <x:c r="I8" s="19" t="str">
        <x:v>同320PS</x:v>
      </x:c>
      <x:c r="J8" s="19" t="str">
        <x:v>首销标准版权益已送CDC；其余少量便利项</x:v>
      </x:c>
      <x:c r="K8" s="19" t="str">
        <x:v>NO</x:v>
      </x:c>
      <x:c r="L8" s="19" t="str">
        <x:v>成交口径2万主要由大电池支持</x:v>
      </x:c>
      <x:c r="M8" s="19" t="str">
        <x:v>用户提供小米汽车App配置/权益截图</x:v>
      </x:c>
      <x:c r="N8" s="19" t="str">
        <x:v>OFFICIAL_APP_TIME_BOUND</x:v>
      </x:c>
    </x:row>
    <x:row r="9" ht="72" customHeight="1">
      <x:c r="A9" s="609" t="str">
        <x:v>XM-YU7-02</x:v>
      </x:c>
      <x:c r="B9" s="609" t="str">
        <x:v>YU7</x:v>
      </x:c>
      <x:c r="C9" s="609" t="str">
        <x:v>长续航</x:v>
      </x:c>
      <x:c r="D9" s="609" t="str">
        <x:v>Pro</x:v>
      </x:c>
      <x:c r="E9" s="614" t="n">
        <x:v>253500</x:v>
      </x:c>
      <x:c r="F9" s="614" t="n">
        <x:v>279900</x:v>
      </x:c>
      <x:c r="G9" s="614" t="n">
        <x:f>F9-E9</x:f>
        <x:v>26400</x:v>
      </x:c>
      <x:c r="H9" s="609" t="str">
        <x:v>同96.3kWh LFP</x:v>
      </x:c>
      <x:c r="I9" s="609" t="str">
        <x:v>RWD 320PS→AWD 496PS</x:v>
      </x:c>
      <x:c r="J9" s="609" t="str">
        <x:v>新增双腔空悬</x:v>
      </x:c>
      <x:c r="K9" s="609" t="str">
        <x:v>NO</x:v>
      </x:c>
      <x:c r="L9" s="609" t="str">
        <x:v>前电机+空悬支持2.64万</x:v>
      </x:c>
      <x:c r="M9" s="609" t="str">
        <x:v>用户提供小米汽车App配置截图</x:v>
      </x:c>
      <x:c r="N9" s="609" t="str">
        <x:v>OFFICIAL_APP</x:v>
      </x:c>
    </x:row>
    <x:row r="10" ht="72" customHeight="1">
      <x:c r="A10" s="19" t="str">
        <x:v>XM-YU7-03</x:v>
      </x:c>
      <x:c r="B10" s="19" t="str">
        <x:v>YU7</x:v>
      </x:c>
      <x:c r="C10" s="19" t="str">
        <x:v>Pro</x:v>
      </x:c>
      <x:c r="D10" s="19" t="str">
        <x:v>Max</x:v>
      </x:c>
      <x:c r="E10" s="460" t="n">
        <x:v>279900</x:v>
      </x:c>
      <x:c r="F10" s="460" t="n">
        <x:v>329900</x:v>
      </x:c>
      <x:c r="G10" s="460" t="n">
        <x:f>F10-E10</x:f>
        <x:v>50000</x:v>
      </x:c>
      <x:c r="H10" s="19" t="str">
        <x:v>96.3 LFP→101.7 NCM</x:v>
      </x:c>
      <x:c r="I10" s="19" t="str">
        <x:v>496PS→690PS</x:v>
      </x:c>
      <x:c r="J10" s="19" t="str">
        <x:v>897V/12min/Brembo/后视镜/座舱包</x:v>
      </x:c>
      <x:c r="K10" s="19" t="str">
        <x:v>NO</x:v>
      </x:c>
      <x:c r="L10" s="19" t="str">
        <x:v>全套高阶硬件支持5万</x:v>
      </x:c>
      <x:c r="M10" s="19" t="str">
        <x:v>用户提供小米汽车App配置截图</x:v>
      </x:c>
      <x:c r="N10" s="19" t="str">
        <x:v>OFFICIAL_APP</x:v>
      </x:c>
    </x:row>
    <x:row r="13" ht="24" customHeight="1">
      <x:c r="A13" s="612" t="str">
        <x:v>N90同电池+同动力时的商品梯度门槛</x:v>
      </x:c>
      <x:c r="B13" s="612"/>
      <x:c r="C13" s="612"/>
      <x:c r="D13" s="612"/>
      <x:c r="E13" s="612"/>
      <x:c r="F13" s="612"/>
      <x:c r="G13" s="612"/>
      <x:c r="H13" s="612"/>
      <x:c r="I13" s="612"/>
      <x:c r="J13" s="612"/>
      <x:c r="K13" s="612"/>
      <x:c r="L13" s="612"/>
      <x:c r="M13" s="612"/>
      <x:c r="N13" s="612"/>
    </x:row>
    <x:row r="14" ht="48" customHeight="1">
      <x:c r="A14" s="608" t="str">
        <x:v>N90相邻升级类型</x:v>
      </x:c>
      <x:c r="B14" s="608" t="str">
        <x:v>建议价差</x:v>
      </x:c>
      <x:c r="C14" s="608" t="str">
        <x:v>可行性</x:v>
      </x:c>
      <x:c r="D14" s="608" t="str">
        <x:v>必须的配置信号</x:v>
      </x:c>
      <x:c r="E14" s="608" t="str">
        <x:v>小米直接先例</x:v>
      </x:c>
      <x:c r="F14" s="608" t="str">
        <x:v>对阵容的含义</x:v>
      </x:c>
      <x:c r="G14" s="608" t="str">
        <x:v>压力系数</x:v>
      </x:c>
      <x:c r="H14" s="608" t="str">
        <x:v>状态</x:v>
      </x:c>
    </x:row>
    <x:row r="15" ht="66" customHeight="1">
      <x:c r="A15" s="19" t="str">
        <x:v>只做少量舒适项</x:v>
      </x:c>
      <x:c r="B15" s="19" t="str">
        <x:v>0.8—1.5万</x:v>
      </x:c>
      <x:c r="C15" s="19" t="str">
        <x:v>LOW_MEDIUM</x:v>
      </x:c>
      <x:c r="D15" s="19" t="str">
        <x:v>少量屏幕/音响/座椅功能</x:v>
      </x:c>
      <x:c r="E15" s="19" t="str">
        <x:v>无纯类似相邻版本</x:v>
      </x:c>
      <x:c r="F15" s="19" t="str">
        <x:v>不足以同时撑起Standard/Pro/Max</x:v>
      </x:c>
      <x:c r="G15" s="23" t="n">
        <x:v>0.55</x:v>
      </x:c>
      <x:c r="H15" s="19" t="str">
        <x:v>SENSITIVITY</x:v>
      </x:c>
    </x:row>
    <x:row r="16" ht="66" customHeight="1">
      <x:c r="A16" s="609" t="str">
        <x:v>螺簧+CDC→空悬+CDC</x:v>
      </x:c>
      <x:c r="B16" s="609" t="str">
        <x:v>1.5—2.0万</x:v>
      </x:c>
      <x:c r="C16" s="609" t="str">
        <x:v>MEDIUM</x:v>
      </x:c>
      <x:c r="D16" s="609" t="str">
        <x:v>空气弹簧为明确硬件台阶</x:v>
      </x:c>
      <x:c r="E16" s="609" t="str">
        <x:v>YU7长续航→Pro包含前电机+空悬，2.64万</x:v>
      </x:c>
      <x:c r="F16" s="609" t="str">
        <x:v>Pro最合理职责</x:v>
      </x:c>
      <x:c r="G16" s="613" t="n">
        <x:v>0.85</x:v>
      </x:c>
      <x:c r="H16" s="609" t="str">
        <x:v>CENTRAL_GATE</x:v>
      </x:c>
    </x:row>
    <x:row r="17" ht="66" customHeight="1">
      <x:c r="A17" s="19" t="str">
        <x:v>5座→7座+座舱包</x:v>
      </x:c>
      <x:c r="B17" s="19" t="str">
        <x:v>1.0—2.0万</x:v>
      </x:c>
      <x:c r="C17" s="19" t="str">
        <x:v>MEDIUM</x:v>
      </x:c>
      <x:c r="D17" s="19" t="str">
        <x:v>座位用途+二/三排功能包</x:v>
      </x:c>
      <x:c r="E17" s="19" t="str">
        <x:v>问界M7/M8官方样本</x:v>
      </x:c>
      <x:c r="F17" s="19" t="str">
        <x:v>可支持平行座位版，不必叫Standard</x:v>
      </x:c>
      <x:c r="G17" s="23" t="n">
        <x:v>0.85</x:v>
      </x:c>
      <x:c r="H17" s="19" t="str">
        <x:v>COMPARABLE</x:v>
      </x:c>
    </x:row>
    <x:row r="18" ht="66" customHeight="1">
      <x:c r="A18" s="609" t="str">
        <x:v>明显底盘+座舱整包</x:v>
      </x:c>
      <x:c r="B18" s="609" t="str">
        <x:v>2.0—3.0万</x:v>
      </x:c>
      <x:c r="C18" s="609" t="str">
        <x:v>MEDIUM_HIGH</x:v>
      </x:c>
      <x:c r="D18" s="609" t="str">
        <x:v>空悬/座位/冰箱/屏幕/音响/座椅包的组合</x:v>
      </x:c>
      <x:c r="E18" s="609" t="str">
        <x:v>无完全同动力电池直接先例</x:v>
      </x:c>
      <x:c r="F18" s="609" t="str">
        <x:v>Standard+Max的3万只有明显减配才成立</x:v>
      </x:c>
      <x:c r="G18" s="613" t="n">
        <x:v>1</x:v>
      </x:c>
      <x:c r="H18" s="609" t="str">
        <x:v>CONDITIONAL_PRIMARY</x:v>
      </x:c>
    </x:row>
    <x:row r="19" ht="66" customHeight="1">
      <x:c r="A19" s="19" t="str">
        <x:v>三档址76kWh+310kW</x:v>
      </x:c>
      <x:c r="B19" s="19" t="str">
        <x:v>2万/2万</x:v>
      </x:c>
      <x:c r="C19" s="19" t="str">
        <x:v>LOW_MEDIUM</x:v>
      </x:c>
      <x:c r="D19" s="19" t="str">
        <x:v>每一步至少一个独立硬件/使用场景台阶</x:v>
      </x:c>
      <x:c r="E19" s="19" t="str">
        <x:v>当前SU7/YU7主销梯度0/5同类</x:v>
      </x:c>
      <x:c r="F19" s="19" t="str">
        <x:v>三档分支在严格情景乘0.5可行性</x:v>
      </x:c>
      <x:c r="G19" s="23" t="n">
        <x:v>0.5</x:v>
      </x:c>
      <x:c r="H19" s="19" t="str">
        <x:v>STRICT_PENALTY</x:v>
      </x:c>
    </x:row>
  </x:sheetData>
  <x:mergeCells>
    <x:mergeCell ref="A1:N1"/>
    <x:mergeCell ref="A2:N2"/>
    <x:mergeCell ref="A3:N3"/>
    <x:mergeCell ref="A13:N13"/>
  </x:mergeCells>
  <x:conditionalFormatting sqref="K6:K10">
    <x:cfRule type="containsText" dxfId="3313" priority="1" operator="containsText" text="PASS"/>
    <x:cfRule type="containsText" dxfId="3314" priority="2" operator="containsText" text="SIGNED"/>
    <x:cfRule type="containsText" dxfId="3315" priority="3" operator="containsText" text="CONFIRMED"/>
    <x:cfRule type="containsText" dxfId="3316" priority="4" operator="containsText" text="OFFICIAL"/>
    <x:cfRule type="containsText" dxfId="3317" priority="5" operator="containsText" text="CENTRAL"/>
    <x:cfRule type="containsText" dxfId="3318" priority="6" operator="containsText" text="PRIMARY"/>
    <x:cfRule type="containsText" dxfId="3319" priority="7" operator="containsText" text="MODELLED"/>
    <x:cfRule type="containsText" dxfId="3320" priority="8" operator="containsText" text="CONDITIONAL"/>
    <x:cfRule type="containsText" dxfId="3321" priority="9" operator="containsText" text="SENSITIVITY"/>
    <x:cfRule type="containsText" dxfId="3322" priority="10" operator="containsText" text="PREDICTED"/>
    <x:cfRule type="containsText" dxfId="3323" priority="11" operator="containsText" text="MEDIUM"/>
    <x:cfRule type="containsText" dxfId="3324" priority="12" operator="containsText" text="WATCH"/>
    <x:cfRule type="containsText" dxfId="3325" priority="13" operator="containsText" text="EXCLUDED"/>
    <x:cfRule type="containsText" dxfId="3326" priority="14" operator="containsText" text="SEPARATE"/>
    <x:cfRule type="containsText" dxfId="3327" priority="15" operator="containsText" text="NO"/>
    <x:cfRule type="containsText" dxfId="3328" priority="16" operator="containsText" text="FAIL"/>
    <x:cfRule type="containsText" dxfId="3329" priority="17" operator="containsText" text="BLOCKED"/>
    <x:cfRule type="containsText" dxfId="3330" priority="18" operator="containsText" text="LOW"/>
  </x:conditionalFormatting>
  <x:conditionalFormatting sqref="N6:N10">
    <x:cfRule type="containsText" dxfId="3331" priority="19" operator="containsText" text="PASS"/>
    <x:cfRule type="containsText" dxfId="3332" priority="20" operator="containsText" text="SIGNED"/>
    <x:cfRule type="containsText" dxfId="3333" priority="21" operator="containsText" text="CONFIRMED"/>
    <x:cfRule type="containsText" dxfId="3334" priority="22" operator="containsText" text="OFFICIAL"/>
    <x:cfRule type="containsText" dxfId="3335" priority="23" operator="containsText" text="CENTRAL"/>
    <x:cfRule type="containsText" dxfId="3336" priority="24" operator="containsText" text="PRIMARY"/>
    <x:cfRule type="containsText" dxfId="3337" priority="25" operator="containsText" text="MODELLED"/>
    <x:cfRule type="containsText" dxfId="3338" priority="26" operator="containsText" text="CONDITIONAL"/>
    <x:cfRule type="containsText" dxfId="3339" priority="27" operator="containsText" text="SENSITIVITY"/>
    <x:cfRule type="containsText" dxfId="3340" priority="28" operator="containsText" text="PREDICTED"/>
    <x:cfRule type="containsText" dxfId="3341" priority="29" operator="containsText" text="MEDIUM"/>
    <x:cfRule type="containsText" dxfId="3342" priority="30" operator="containsText" text="WATCH"/>
    <x:cfRule type="containsText" dxfId="3343" priority="31" operator="containsText" text="EXCLUDED"/>
    <x:cfRule type="containsText" dxfId="3344" priority="32" operator="containsText" text="SEPARATE"/>
    <x:cfRule type="containsText" dxfId="3345" priority="33" operator="containsText" text="NO"/>
    <x:cfRule type="containsText" dxfId="3346" priority="34" operator="containsText" text="FAIL"/>
    <x:cfRule type="containsText" dxfId="3347" priority="35" operator="containsText" text="BLOCKED"/>
    <x:cfRule type="containsText" dxfId="3348" priority="36" operator="containsText" text="LOW"/>
  </x:conditionalFormatting>
  <x:conditionalFormatting sqref="C15:C19">
    <x:cfRule type="containsText" dxfId="3349" priority="37" operator="containsText" text="PASS"/>
    <x:cfRule type="containsText" dxfId="3350" priority="38" operator="containsText" text="SIGNED"/>
    <x:cfRule type="containsText" dxfId="3351" priority="39" operator="containsText" text="CONFIRMED"/>
    <x:cfRule type="containsText" dxfId="3352" priority="40" operator="containsText" text="OFFICIAL"/>
    <x:cfRule type="containsText" dxfId="3353" priority="41" operator="containsText" text="CENTRAL"/>
    <x:cfRule type="containsText" dxfId="3354" priority="42" operator="containsText" text="PRIMARY"/>
    <x:cfRule type="containsText" dxfId="3355" priority="43" operator="containsText" text="MODELLED"/>
    <x:cfRule type="containsText" dxfId="3356" priority="44" operator="containsText" text="CONDITIONAL"/>
    <x:cfRule type="containsText" dxfId="3357" priority="45" operator="containsText" text="SENSITIVITY"/>
    <x:cfRule type="containsText" dxfId="3358" priority="46" operator="containsText" text="PREDICTED"/>
    <x:cfRule type="containsText" dxfId="3359" priority="47" operator="containsText" text="MEDIUM"/>
    <x:cfRule type="containsText" dxfId="3360" priority="48" operator="containsText" text="WATCH"/>
    <x:cfRule type="containsText" dxfId="3361" priority="49" operator="containsText" text="EXCLUDED"/>
    <x:cfRule type="containsText" dxfId="3362" priority="50" operator="containsText" text="SEPARATE"/>
    <x:cfRule type="containsText" dxfId="3363" priority="51" operator="containsText" text="NO"/>
    <x:cfRule type="containsText" dxfId="3364" priority="52" operator="containsText" text="FAIL"/>
    <x:cfRule type="containsText" dxfId="3365" priority="53" operator="containsText" text="BLOCKED"/>
    <x:cfRule type="containsText" dxfId="3366" priority="54" operator="containsText" text="LOW"/>
  </x:conditionalFormatting>
  <x:conditionalFormatting sqref="H15:H19">
    <x:cfRule type="containsText" dxfId="3367" priority="55" operator="containsText" text="PASS"/>
    <x:cfRule type="containsText" dxfId="3368" priority="56" operator="containsText" text="SIGNED"/>
    <x:cfRule type="containsText" dxfId="3369" priority="57" operator="containsText" text="CONFIRMED"/>
    <x:cfRule type="containsText" dxfId="3370" priority="58" operator="containsText" text="OFFICIAL"/>
    <x:cfRule type="containsText" dxfId="3371" priority="59" operator="containsText" text="CENTRAL"/>
    <x:cfRule type="containsText" dxfId="3372" priority="60" operator="containsText" text="PRIMARY"/>
    <x:cfRule type="containsText" dxfId="3373" priority="61" operator="containsText" text="MODELLED"/>
    <x:cfRule type="containsText" dxfId="3374" priority="62" operator="containsText" text="CONDITIONAL"/>
    <x:cfRule type="containsText" dxfId="3375" priority="63" operator="containsText" text="SENSITIVITY"/>
    <x:cfRule type="containsText" dxfId="3376" priority="64" operator="containsText" text="PREDICTED"/>
    <x:cfRule type="containsText" dxfId="3377" priority="65" operator="containsText" text="MEDIUM"/>
    <x:cfRule type="containsText" dxfId="3378" priority="66" operator="containsText" text="WATCH"/>
    <x:cfRule type="containsText" dxfId="3379" priority="67" operator="containsText" text="EXCLUDED"/>
    <x:cfRule type="containsText" dxfId="3380" priority="68" operator="containsText" text="SEPARATE"/>
    <x:cfRule type="containsText" dxfId="3381" priority="69" operator="containsText" text="NO"/>
    <x:cfRule type="containsText" dxfId="3382" priority="70" operator="containsText" text="FAIL"/>
    <x:cfRule type="containsText" dxfId="3383" priority="71" operator="containsText" text="BLOCKED"/>
    <x:cfRule type="containsText" dxfId="3384" priority="72" operator="containsText" text="LOW"/>
  </x:conditionalFormatting>
  <x:pageMargins left="0.7" right="0.7" top="0.75" bottom="0.75" header="0.3" footer="0.3"/>
</x:worksheet>
</file>

<file path=xl/worksheets/sheet12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31" hidden="0" customWidth="1"/>
    <x:col min="3" max="3" width="24" hidden="0" customWidth="1"/>
    <x:col min="4" max="4" width="16" hidden="0" customWidth="1"/>
    <x:col min="5" max="5" width="24" hidden="0" customWidth="1"/>
    <x:col min="6" max="6" width="16" hidden="0" customWidth="1"/>
    <x:col min="7" max="7" width="16" hidden="0" customWidth="1"/>
    <x:col min="8" max="8" width="31" hidden="0" customWidth="1"/>
    <x:col min="9" max="9" width="24" hidden="0" customWidth="1"/>
    <x:col min="10" max="10" width="39" hidden="0" customWidth="1"/>
    <x:col min="11" max="11" width="37" hidden="0" customWidth="1"/>
    <x:col min="12" max="12" width="55" hidden="0" customWidth="1"/>
    <x:col min="13" max="13" width="30" hidden="0" customWidth="1"/>
    <x:col min="14" max="14" width="27" hidden="0" customWidth="1"/>
  </x:cols>
  <x:sheetData>
    <x:row r="1" ht="30" customHeight="1">
      <x:c r="A1" s="596" t="str">
        <x:v>124｜N70—N90价格围栏：软约束，不是大车固定加价</x:v>
      </x:c>
      <x:c r="B1" s="596"/>
      <x:c r="C1" s="596"/>
      <x:c r="D1" s="596"/>
      <x:c r="E1" s="596"/>
      <x:c r="F1" s="596"/>
      <x:c r="G1" s="596"/>
      <x:c r="H1" s="596"/>
      <x:c r="I1" s="596"/>
      <x:c r="J1" s="596"/>
      <x:c r="K1" s="596"/>
      <x:c r="L1" s="596"/>
      <x:c r="M1" s="596"/>
      <x:c r="N1" s="596"/>
    </x:row>
    <x:row r="2" ht="22" customHeight="1">
      <x:c r="A2" s="599" t="str">
        <x:v>同级跨车系、高配小车→低配大车、座位形态分层分开观察</x:v>
      </x:c>
      <x:c r="B2" s="599"/>
      <x:c r="C2" s="599"/>
      <x:c r="D2" s="599"/>
      <x:c r="E2" s="599"/>
      <x:c r="F2" s="599"/>
      <x:c r="G2" s="599"/>
      <x:c r="H2" s="599"/>
      <x:c r="I2" s="599"/>
      <x:c r="J2" s="599"/>
      <x:c r="K2" s="599"/>
      <x:c r="L2" s="599"/>
      <x:c r="M2" s="599"/>
      <x:c r="N2" s="599"/>
    </x:row>
    <x:row r="3" ht="96" customHeight="1">
      <x:c r="A3" s="603" t="str">
        <x:v>小米自己已出现明显跨车系交错：技术层级接近的SU7 Pro与YU7长续航仅差0.36万，YU7 Pro甚至比SU7 Max低2.40万，而YU7 Max比SU7 Max高2.60万。因此N70 Max 24.99与N90 Standard 25.99只差1万不构成硬否决；但若Standard与N90 Max同为7座、同空悬、同动力电池，1万与3—4万的两条梯度就同时难解释。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</x:row>
    <x:row r="5" ht="58" customHeight="1">
      <x:c r="A5" s="608" t="str">
        <x:v>sample_id</x:v>
      </x:c>
      <x:c r="B5" s="608" t="str">
        <x:v>样本/情景</x:v>
      </x:c>
      <x:c r="C5" s="608" t="str">
        <x:v>低价对象</x:v>
      </x:c>
      <x:c r="D5" s="608" t="str">
        <x:v>低价</x:v>
      </x:c>
      <x:c r="E5" s="608" t="str">
        <x:v>高价对象</x:v>
      </x:c>
      <x:c r="F5" s="608" t="str">
        <x:v>高价</x:v>
      </x:c>
      <x:c r="G5" s="608" t="str">
        <x:v>价差</x:v>
      </x:c>
      <x:c r="H5" s="608" t="str">
        <x:v>关系类型</x:v>
      </x:c>
      <x:c r="I5" s="608" t="str">
        <x:v>是否直接可比</x:v>
      </x:c>
      <x:c r="J5" s="608" t="str">
        <x:v>支持的围栏</x:v>
      </x:c>
      <x:c r="K5" s="608" t="str">
        <x:v>不支持</x:v>
      </x:c>
      <x:c r="L5" s="608" t="str">
        <x:v>来源</x:v>
      </x:c>
      <x:c r="M5" s="608" t="str">
        <x:v>口径</x:v>
      </x:c>
      <x:c r="N5" s="608" t="str">
        <x:v>状态</x:v>
      </x:c>
    </x:row>
    <x:row r="6" ht="72" customHeight="1">
      <x:c r="A6" s="19" t="str">
        <x:v>F-01</x:v>
      </x:c>
      <x:c r="B6" s="19" t="str">
        <x:v>小米技术近似跨车系</x:v>
      </x:c>
      <x:c r="C6" s="19" t="str">
        <x:v>SU7 Pro</x:v>
      </x:c>
      <x:c r="D6" s="460" t="n">
        <x:v>249900</x:v>
      </x:c>
      <x:c r="E6" s="460" t="str">
        <x:v>YU7长续航</x:v>
      </x:c>
      <x:c r="F6" s="460" t="n">
        <x:v>253500</x:v>
      </x:c>
      <x:c r="G6" s="460" t="n">
        <x:f>F6-D6</x:f>
        <x:v>3600</x:v>
      </x:c>
      <x:c r="H6" s="19" t="str">
        <x:v>轿车→SUV</x:v>
      </x:c>
      <x:c r="I6" s="19" t="str">
        <x:v>MEDIUM_HIGH</x:v>
      </x:c>
      <x:c r="J6" s="19" t="str">
        <x:v>跨车系可仅0.36万</x:v>
      </x:c>
      <x:c r="K6" s="19" t="str">
        <x:v>所有大车都加1万</x:v>
      </x:c>
      <x:c r="L6" s="19" t="str">
        <x:v>https://www.xiaomiev.com/su7 ; https://www.xiaomiev.com/yu7</x:v>
      </x:c>
      <x:c r="M6" s="19" t="str">
        <x:v>2026基础价</x:v>
      </x:c>
      <x:c r="N6" s="19" t="str">
        <x:v>OFFICIAL</x:v>
      </x:c>
    </x:row>
    <x:row r="7" ht="72" customHeight="1">
      <x:c r="A7" s="609" t="str">
        <x:v>F-02</x:v>
      </x:c>
      <x:c r="B7" s="609" t="str">
        <x:v>小米跨车系交错</x:v>
      </x:c>
      <x:c r="C7" s="609" t="str">
        <x:v>YU7 Pro</x:v>
      </x:c>
      <x:c r="D7" s="614" t="n">
        <x:v>279900</x:v>
      </x:c>
      <x:c r="E7" s="614" t="str">
        <x:v>SU7 Max</x:v>
      </x:c>
      <x:c r="F7" s="614" t="n">
        <x:v>303900</x:v>
      </x:c>
      <x:c r="G7" s="614" t="n">
        <x:f>F7-D7</x:f>
        <x:v>24000</x:v>
      </x:c>
      <x:c r="H7" s="609" t="str">
        <x:v>SUV中配低于轿车高配</x:v>
      </x:c>
      <x:c r="I7" s="609" t="str">
        <x:v>HIGH_FACT</x:v>
      </x:c>
      <x:c r="J7" s="609" t="str">
        <x:v>允许车系间高度交错</x:v>
      </x:c>
      <x:c r="K7" s="609" t="str">
        <x:v>车身类型决定价格顺序</x:v>
      </x:c>
      <x:c r="L7" s="609" t="str">
        <x:v>小米官方页/App配置</x:v>
      </x:c>
      <x:c r="M7" s="609" t="str">
        <x:v>2026基础价</x:v>
      </x:c>
      <x:c r="N7" s="609" t="str">
        <x:v>OFFICIAL</x:v>
      </x:c>
    </x:row>
    <x:row r="8" ht="72" customHeight="1">
      <x:c r="A8" s="19" t="str">
        <x:v>F-03</x:v>
      </x:c>
      <x:c r="B8" s="19" t="str">
        <x:v>小米同名Max跨车系</x:v>
      </x:c>
      <x:c r="C8" s="19" t="str">
        <x:v>SU7 Max</x:v>
      </x:c>
      <x:c r="D8" s="460" t="n">
        <x:v>303900</x:v>
      </x:c>
      <x:c r="E8" s="460" t="str">
        <x:v>YU7 Max</x:v>
      </x:c>
      <x:c r="F8" s="460" t="n">
        <x:v>329900</x:v>
      </x:c>
      <x:c r="G8" s="460" t="n">
        <x:f>F8-D8</x:f>
        <x:v>26000</x:v>
      </x:c>
      <x:c r="H8" s="19" t="str">
        <x:v>同名Max</x:v>
      </x:c>
      <x:c r="I8" s="19" t="str">
        <x:v>MEDIUM_HIGH</x:v>
      </x:c>
      <x:c r="J8" s="19" t="str">
        <x:v>同名跨车系可差2.60万</x:v>
      </x:c>
      <x:c r="K8" s="19" t="str">
        <x:v>澎程必须复制2.60万</x:v>
      </x:c>
      <x:c r="L8" s="19" t="str">
        <x:v>小米官方页/App配置</x:v>
      </x:c>
      <x:c r="M8" s="19" t="str">
        <x:v>2026基础价</x:v>
      </x:c>
      <x:c r="N8" s="19" t="str">
        <x:v>OFFICIAL</x:v>
      </x:c>
    </x:row>
    <x:row r="9" ht="72" customHeight="1">
      <x:c r="A9" s="609" t="str">
        <x:v>F-04</x:v>
      </x:c>
      <x:c r="B9" s="609" t="str">
        <x:v>澎程预售同名Max</x:v>
      </x:c>
      <x:c r="C9" s="609" t="str">
        <x:v>N70 Max</x:v>
      </x:c>
      <x:c r="D9" s="614" t="n">
        <x:v>259900</x:v>
      </x:c>
      <x:c r="E9" s="614" t="str">
        <x:v>N90 Max</x:v>
      </x:c>
      <x:c r="F9" s="614" t="n">
        <x:v>299900</x:v>
      </x:c>
      <x:c r="G9" s="614" t="n">
        <x:f>F9-D9</x:f>
        <x:v>40000</x:v>
      </x:c>
      <x:c r="H9" s="609" t="str">
        <x:v>同品牌同名Max</x:v>
      </x:c>
      <x:c r="I9" s="609" t="str">
        <x:v>HIGH_FACT</x:v>
      </x:c>
      <x:c r="J9" s="609" t="str">
        <x:v>澎程官方预售已给出4万锚</x:v>
      </x:c>
      <x:c r="K9" s="609" t="str">
        <x:v>正式价必须继续差4万</x:v>
      </x:c>
      <x:c r="L9" s="609" t="str">
        <x:v>小米N70/N90官方页</x:v>
      </x:c>
      <x:c r="M9" s="609" t="str">
        <x:v>预售价</x:v>
      </x:c>
      <x:c r="N9" s="609" t="str">
        <x:v>OFFICIAL_PRESALE</x:v>
      </x:c>
    </x:row>
    <x:row r="10" ht="72" customHeight="1">
      <x:c r="A10" s="19" t="str">
        <x:v>F-05</x:v>
      </x:c>
      <x:c r="B10" s="19" t="str">
        <x:v>理想高配小车→入门大车</x:v>
      </x:c>
      <x:c r="C10" s="19" t="str">
        <x:v>理想L6 Max</x:v>
      </x:c>
      <x:c r="D10" s="460" t="n">
        <x:v>279800</x:v>
      </x:c>
      <x:c r="E10" s="460" t="str">
        <x:v>理想L7 Pro</x:v>
      </x:c>
      <x:c r="F10" s="460" t="n">
        <x:v>301800</x:v>
      </x:c>
      <x:c r="G10" s="460" t="n">
        <x:f>F10-D10</x:f>
        <x:v>22000</x:v>
      </x:c>
      <x:c r="H10" s="19" t="str">
        <x:v>高配小车→低配大车</x:v>
      </x:c>
      <x:c r="I10" s="19" t="str">
        <x:v>MEDIUM</x:v>
      </x:c>
      <x:c r="J10" s="19" t="str">
        <x:v>跨级软围栏约2.2万</x:v>
      </x:c>
      <x:c r="K10" s="19" t="str">
        <x:v>当下所有代际仍同样</x:v>
      </x:c>
      <x:c r="L10" s="19" t="str">
        <x:v>https://www.lixiang.com/help/support/5401/5429.html ; https://www.lixiang.com/help/support/2192/3079.html</x:v>
      </x:c>
      <x:c r="M10" s="19" t="str">
        <x:v>2025智能焕新版基础价</x:v>
      </x:c>
      <x:c r="N10" s="19" t="str">
        <x:v>OFFICIAL_HISTORICAL</x:v>
      </x:c>
    </x:row>
    <x:row r="11" ht="72" customHeight="1">
      <x:c r="A11" s="609" t="str">
        <x:v>F-06</x:v>
      </x:c>
      <x:c r="B11" s="609" t="str">
        <x:v>理想相邻车系同档</x:v>
      </x:c>
      <x:c r="C11" s="609" t="str">
        <x:v>理想L7 Pro</x:v>
      </x:c>
      <x:c r="D11" s="614" t="n">
        <x:v>301800</x:v>
      </x:c>
      <x:c r="E11" s="614" t="str">
        <x:v>理想L8 Pro</x:v>
      </x:c>
      <x:c r="F11" s="614" t="n">
        <x:v>321800</x:v>
      </x:c>
      <x:c r="G11" s="614" t="n">
        <x:f>F11-D11</x:f>
        <x:v>20000</x:v>
      </x:c>
      <x:c r="H11" s="609" t="str">
        <x:v>同档跨车系</x:v>
      </x:c>
      <x:c r="I11" s="609" t="str">
        <x:v>MEDIUM</x:v>
      </x:c>
      <x:c r="J11" s="609" t="str">
        <x:v>历史同档可稳定差2万</x:v>
      </x:c>
      <x:c r="K11" s="609" t="str">
        <x:v>适用于2026全新L8</x:v>
      </x:c>
      <x:c r="L11" s="609" t="str">
        <x:v>理想官方帮助中心</x:v>
      </x:c>
      <x:c r="M11" s="609" t="str">
        <x:v>2025一代产品</x:v>
      </x:c>
      <x:c r="N11" s="609" t="str">
        <x:v>OFFICIAL_HISTORICAL</x:v>
      </x:c>
    </x:row>
    <x:row r="12" ht="72" customHeight="1">
      <x:c r="A12" s="19" t="str">
        <x:v>F-07</x:v>
      </x:c>
      <x:c r="B12" s="19" t="str">
        <x:v>问界M7同档5/6座</x:v>
      </x:c>
      <x:c r="C12" s="19" t="str">
        <x:v>问界M7 5座</x:v>
      </x:c>
      <x:c r="D12" s="460" t="n">
        <x:v>299800</x:v>
      </x:c>
      <x:c r="E12" s="460" t="str">
        <x:v>问界M7 6座</x:v>
      </x:c>
      <x:c r="F12" s="460" t="n">
        <x:v>319800</x:v>
      </x:c>
      <x:c r="G12" s="460" t="n">
        <x:f>F12-D12</x:f>
        <x:v>20000</x:v>
      </x:c>
      <x:c r="H12" s="19" t="str">
        <x:v>同车身座位形态</x:v>
      </x:c>
      <x:c r="I12" s="19" t="str">
        <x:v>HIGH</x:v>
      </x:c>
      <x:c r="J12" s="19" t="str">
        <x:v>座位价值可支持2万</x:v>
      </x:c>
      <x:c r="K12" s="19" t="str">
        <x:v>物理BOM差等于2万</x:v>
      </x:c>
      <x:c r="L12" s="19" t="str">
        <x:v>https://aito.auto/model/m7-new/configuration/</x:v>
      </x:c>
      <x:c r="M12" s="19" t="str">
        <x:v>2026款增程Max长续航举例</x:v>
      </x:c>
      <x:c r="N12" s="19" t="str">
        <x:v>OFFICIAL</x:v>
      </x:c>
    </x:row>
    <x:row r="13" ht="72" customHeight="1">
      <x:c r="A13" s="609" t="str">
        <x:v>F-08</x:v>
      </x:c>
      <x:c r="B13" s="609" t="str">
        <x:v>问界M8同档5/6座</x:v>
      </x:c>
      <x:c r="C13" s="609" t="str">
        <x:v>问界M8 5座</x:v>
      </x:c>
      <x:c r="D13" s="614" t="n">
        <x:v>359800</x:v>
      </x:c>
      <x:c r="E13" s="614" t="str">
        <x:v>问界M8 6座</x:v>
      </x:c>
      <x:c r="F13" s="614" t="n">
        <x:v>369800</x:v>
      </x:c>
      <x:c r="G13" s="614" t="n">
        <x:f>F13-D13</x:f>
        <x:v>10000</x:v>
      </x:c>
      <x:c r="H13" s="609" t="str">
        <x:v>同车身座位形态</x:v>
      </x:c>
      <x:c r="I13" s="609" t="str">
        <x:v>HIGH</x:v>
      </x:c>
      <x:c r="J13" s="609" t="str">
        <x:v>座位价值可支持1—2万</x:v>
      </x:c>
      <x:c r="K13" s="609" t="str">
        <x:v>每一版都必然差1万</x:v>
      </x:c>
      <x:c r="L13" s="609" t="str">
        <x:v>https://aito.auto/model/m8/configuration/</x:v>
      </x:c>
      <x:c r="M13" s="609" t="str">
        <x:v>2026款增程Max举例</x:v>
      </x:c>
      <x:c r="N13" s="609" t="str">
        <x:v>OFFICIAL</x:v>
      </x:c>
    </x:row>
    <x:row r="14" ht="72" customHeight="1">
      <x:c r="A14" s="19" t="str">
        <x:v>F-09</x:v>
      </x:c>
      <x:c r="B14" s="19" t="str">
        <x:v>N70 Max→N90 Standard建模围栏</x:v>
      </x:c>
      <x:c r="C14" s="19" t="str">
        <x:v>N70 Max</x:v>
      </x:c>
      <x:c r="D14" s="460" t="n">
        <x:v>249900</x:v>
      </x:c>
      <x:c r="E14" s="460" t="str">
        <x:v>N90 Standard</x:v>
      </x:c>
      <x:c r="F14" s="460" t="n">
        <x:v>269900</x:v>
      </x:c>
      <x:c r="G14" s="460" t="n">
        <x:f>F14-D14</x:f>
        <x:v>20000</x:v>
      </x:c>
      <x:c r="H14" s="19" t="str">
        <x:v>高配小车→入门大车</x:v>
      </x:c>
      <x:c r="I14" s="19" t="str">
        <x:v>MODEL</x:v>
      </x:c>
      <x:c r="J14" s="19" t="str">
        <x:v>中心2万；1万可接受；0万需显著职责差</x:v>
      </x:c>
      <x:c r="K14" s="19" t="str">
        <x:v>围栏是硬下限</x:v>
      </x:c>
      <x:c r="L14" s="19" t="str">
        <x:v>123/125</x:v>
      </x:c>
      <x:c r="M14" s="19" t="str">
        <x:v>决策权重</x:v>
      </x:c>
      <x:c r="N14" s="19" t="str">
        <x:v>CENTRAL_FENCE</x:v>
      </x:c>
    </x:row>
    <x:row r="17" ht="24" customHeight="1">
      <x:c r="A17" s="612" t="str">
        <x:v>关键价格组合的围栏压力测试</x:v>
      </x:c>
      <x:c r="B17" s="612"/>
      <x:c r="C17" s="612"/>
      <x:c r="D17" s="612"/>
      <x:c r="E17" s="612"/>
      <x:c r="F17" s="612"/>
      <x:c r="G17" s="612"/>
      <x:c r="H17" s="612"/>
      <x:c r="I17" s="612"/>
      <x:c r="J17" s="612"/>
      <x:c r="K17" s="612"/>
      <x:c r="L17" s="612"/>
      <x:c r="M17" s="612"/>
      <x:c r="N17" s="612"/>
    </x:row>
    <x:row r="18" ht="50" customHeight="1">
      <x:c r="A18" s="608" t="str">
        <x:v>case_id</x:v>
      </x:c>
      <x:c r="B18" s="608" t="str">
        <x:v>N70 Max</x:v>
      </x:c>
      <x:c r="C18" s="608" t="str">
        <x:v>N90 Standard</x:v>
      </x:c>
      <x:c r="D18" s="608" t="str">
        <x:v>N90 Pro</x:v>
      </x:c>
      <x:c r="E18" s="608" t="str">
        <x:v>N90 Max</x:v>
      </x:c>
      <x:c r="F18" s="608" t="str">
        <x:v>Std—N70 Max</x:v>
      </x:c>
      <x:c r="G18" s="608" t="str">
        <x:v>Max—N70 Max</x:v>
      </x:c>
      <x:c r="H18" s="608" t="str">
        <x:v>Std—Max</x:v>
      </x:c>
      <x:c r="I18" s="608" t="str">
        <x:v>阵容</x:v>
      </x:c>
      <x:c r="J18" s="608" t="str">
        <x:v>围栏判读</x:v>
      </x:c>
      <x:c r="K18" s="608" t="str">
        <x:v>成立条件</x:v>
      </x:c>
      <x:c r="L18" s="608" t="str">
        <x:v>建议用途</x:v>
      </x:c>
    </x:row>
    <x:row r="19" ht="62" customHeight="1">
      <x:c r="A19" s="19" t="str">
        <x:v>PF-01</x:v>
      </x:c>
      <x:c r="B19" s="460" t="n">
        <x:v>249900</x:v>
      </x:c>
      <x:c r="C19" s="460" t="n">
        <x:v>259900</x:v>
      </x:c>
      <x:c r="D19" s="460"/>
      <x:c r="E19" s="460" t="n">
        <x:v>289900</x:v>
      </x:c>
      <x:c r="F19" s="460" t="n">
        <x:f>IF(C19="","",C19-B19)</x:f>
        <x:v>10000</x:v>
      </x:c>
      <x:c r="G19" s="460" t="n">
        <x:f>E19-B19</x:f>
        <x:v>40000</x:v>
      </x:c>
      <x:c r="H19" s="460" t="n">
        <x:f>IF(C19="","",E19-C19)</x:f>
        <x:v>30000</x:v>
      </x:c>
      <x:c r="I19" s="19" t="str">
        <x:v>Standard+Max</x:v>
      </x:c>
      <x:c r="J19" s="19" t="str">
        <x:v>可接受的1万重叠围栏</x:v>
      </x:c>
      <x:c r="K19" s="19" t="str">
        <x:v>Standard必须有5/7座或底盘明确差异</x:v>
      </x:c>
      <x:c r="L19" s="19" t="str">
        <x:v>性价比两版向量</x:v>
      </x:c>
    </x:row>
    <x:row r="20" ht="62" customHeight="1">
      <x:c r="A20" s="609" t="str">
        <x:v>PF-02</x:v>
      </x:c>
      <x:c r="B20" s="614" t="n">
        <x:v>249900</x:v>
      </x:c>
      <x:c r="C20" s="614" t="n">
        <x:v>269900</x:v>
      </x:c>
      <x:c r="D20" s="614"/>
      <x:c r="E20" s="614" t="n">
        <x:v>299900</x:v>
      </x:c>
      <x:c r="F20" s="614" t="n">
        <x:f>IF(C20="","",C20-B20)</x:f>
        <x:v>20000</x:v>
      </x:c>
      <x:c r="G20" s="614" t="n">
        <x:f>E20-B20</x:f>
        <x:v>50000</x:v>
      </x:c>
      <x:c r="H20" s="614" t="n">
        <x:f>IF(C20="","",E20-C20)</x:f>
        <x:v>30000</x:v>
      </x:c>
      <x:c r="I20" s="609" t="str">
        <x:v>Standard+Max</x:v>
      </x:c>
      <x:c r="J20" s="609" t="str">
        <x:v>中心2万产品围栏</x:v>
      </x:c>
      <x:c r="K20" s="609" t="str">
        <x:v>Standard与Max保留3万整包梯度</x:v>
      </x:c>
      <x:c r="L20" s="609" t="str">
        <x:v>产品围栏两版向量</x:v>
      </x:c>
    </x:row>
    <x:row r="21" ht="62" customHeight="1">
      <x:c r="A21" s="19" t="str">
        <x:v>PF-03</x:v>
      </x:c>
      <x:c r="B21" s="460" t="n">
        <x:v>239900</x:v>
      </x:c>
      <x:c r="C21" s="460" t="n">
        <x:v>259900</x:v>
      </x:c>
      <x:c r="D21" s="460"/>
      <x:c r="E21" s="460" t="n">
        <x:v>289900</x:v>
      </x:c>
      <x:c r="F21" s="460" t="n">
        <x:f>IF(C21="","",C21-B21)</x:f>
        <x:v>20000</x:v>
      </x:c>
      <x:c r="G21" s="460" t="n">
        <x:f>E21-B21</x:f>
        <x:v>50000</x:v>
      </x:c>
      <x:c r="H21" s="460" t="n">
        <x:f>IF(C21="","",E21-C21)</x:f>
        <x:v>30000</x:v>
      </x:c>
      <x:c r="I21" s="19" t="str">
        <x:v>Standard+Max</x:v>
      </x:c>
      <x:c r="J21" s="19" t="str">
        <x:v>两车同步下移，保留2万</x:v>
      </x:c>
      <x:c r="K21" s="19" t="str">
        <x:v>N70 Max需落至23.99尾部</x:v>
      </x:c>
      <x:c r="L21" s="19" t="str">
        <x:v>平行降价敏感性</x:v>
      </x:c>
    </x:row>
    <x:row r="22" ht="62" customHeight="1">
      <x:c r="A22" s="609" t="str">
        <x:v>PF-04</x:v>
      </x:c>
      <x:c r="B22" s="614" t="n">
        <x:v>239900</x:v>
      </x:c>
      <x:c r="C22" s="614" t="n">
        <x:v>259900</x:v>
      </x:c>
      <x:c r="D22" s="614" t="n">
        <x:v>279900</x:v>
      </x:c>
      <x:c r="E22" s="614" t="n">
        <x:v>299900</x:v>
      </x:c>
      <x:c r="F22" s="614" t="n">
        <x:f>IF(C22="","",C22-B22)</x:f>
        <x:v>20000</x:v>
      </x:c>
      <x:c r="G22" s="614" t="n">
        <x:f>E22-B22</x:f>
        <x:v>60000</x:v>
      </x:c>
      <x:c r="H22" s="614" t="n">
        <x:f>IF(C22="","",E22-C22)</x:f>
        <x:v>40000</x:v>
      </x:c>
      <x:c r="I22" s="609" t="str">
        <x:v>Standard+Pro+Max</x:v>
      </x:c>
      <x:c r="J22" s="609" t="str">
        <x:v>三档2万/2万，与N70保留2万</x:v>
      </x:c>
      <x:c r="K22" s="609" t="str">
        <x:v>每一步必须有独立硬件/用途阶梯</x:v>
      </x:c>
      <x:c r="L22" s="609" t="str">
        <x:v>完整三档主向量</x:v>
      </x:c>
    </x:row>
    <x:row r="23" ht="62" customHeight="1">
      <x:c r="A23" s="19" t="str">
        <x:v>PF-05</x:v>
      </x:c>
      <x:c r="B23" s="460" t="n">
        <x:v>249900</x:v>
      </x:c>
      <x:c r="C23" s="460"/>
      <x:c r="D23" s="460"/>
      <x:c r="E23" s="460" t="n">
        <x:v>279900</x:v>
      </x:c>
      <x:c r="F23" s="460" t="str">
        <x:f>IF(C23="","",C23-B23)</x:f>
      </x:c>
      <x:c r="G23" s="460" t="n">
        <x:f>E23-B23</x:f>
        <x:v>30000</x:v>
      </x:c>
      <x:c r="H23" s="460" t="str">
        <x:f>IF(C23="","",E23-C23)</x:f>
      </x:c>
      <x:c r="I23" s="19" t="str">
        <x:v>仅Max</x:v>
      </x:c>
      <x:c r="J23" s="19" t="str">
        <x:v>同名Max间隔3万</x:v>
      </x:c>
      <x:c r="K23" s="19" t="str">
        <x:v>N90 Max独自承担起售价</x:v>
      </x:c>
      <x:c r="L23" s="19" t="str">
        <x:v>仅Max主向量</x:v>
      </x:c>
    </x:row>
    <x:row r="24" ht="62" customHeight="1">
      <x:c r="A24" s="609" t="str">
        <x:v>PF-06</x:v>
      </x:c>
      <x:c r="B24" s="614" t="n">
        <x:v>239900</x:v>
      </x:c>
      <x:c r="C24" s="614"/>
      <x:c r="D24" s="614"/>
      <x:c r="E24" s="614" t="n">
        <x:v>269900</x:v>
      </x:c>
      <x:c r="F24" s="614" t="str">
        <x:f>IF(C24="","",C24-B24)</x:f>
      </x:c>
      <x:c r="G24" s="614" t="n">
        <x:f>E24-B24</x:f>
        <x:v>30000</x:v>
      </x:c>
      <x:c r="H24" s="614" t="str">
        <x:f>IF(C24="","",E24-C24)</x:f>
      </x:c>
      <x:c r="I24" s="609" t="str">
        <x:v>仅Max进取尾</x:v>
      </x:c>
      <x:c r="J24" s="609" t="str">
        <x:v>两车同步深降，同名仍差3万</x:v>
      </x:c>
      <x:c r="K24" s="609" t="str">
        <x:v>需强供应链传导/竞争压力</x:v>
      </x:c>
      <x:c r="L24" s="609" t="str">
        <x:v>3.4A低价尾</x:v>
      </x:c>
    </x:row>
  </x:sheetData>
  <x:mergeCells>
    <x:mergeCell ref="A1:N1"/>
    <x:mergeCell ref="A2:N2"/>
    <x:mergeCell ref="A3:N3"/>
    <x:mergeCell ref="A17:N17"/>
  </x:mergeCells>
  <x:conditionalFormatting sqref="I6:I14">
    <x:cfRule type="containsText" dxfId="3385" priority="1" operator="containsText" text="PASS"/>
    <x:cfRule type="containsText" dxfId="3386" priority="2" operator="containsText" text="SIGNED"/>
    <x:cfRule type="containsText" dxfId="3387" priority="3" operator="containsText" text="CONFIRMED"/>
    <x:cfRule type="containsText" dxfId="3388" priority="4" operator="containsText" text="OFFICIAL"/>
    <x:cfRule type="containsText" dxfId="3389" priority="5" operator="containsText" text="CENTRAL"/>
    <x:cfRule type="containsText" dxfId="3390" priority="6" operator="containsText" text="PRIMARY"/>
    <x:cfRule type="containsText" dxfId="3391" priority="7" operator="containsText" text="MODELLED"/>
    <x:cfRule type="containsText" dxfId="3392" priority="8" operator="containsText" text="CONDITIONAL"/>
    <x:cfRule type="containsText" dxfId="3393" priority="9" operator="containsText" text="SENSITIVITY"/>
    <x:cfRule type="containsText" dxfId="3394" priority="10" operator="containsText" text="PREDICTED"/>
    <x:cfRule type="containsText" dxfId="3395" priority="11" operator="containsText" text="MEDIUM"/>
    <x:cfRule type="containsText" dxfId="3396" priority="12" operator="containsText" text="WATCH"/>
    <x:cfRule type="containsText" dxfId="3397" priority="13" operator="containsText" text="EXCLUDED"/>
    <x:cfRule type="containsText" dxfId="3398" priority="14" operator="containsText" text="SEPARATE"/>
    <x:cfRule type="containsText" dxfId="3399" priority="15" operator="containsText" text="NO"/>
    <x:cfRule type="containsText" dxfId="3400" priority="16" operator="containsText" text="FAIL"/>
    <x:cfRule type="containsText" dxfId="3401" priority="17" operator="containsText" text="BLOCKED"/>
    <x:cfRule type="containsText" dxfId="3402" priority="18" operator="containsText" text="LOW"/>
  </x:conditionalFormatting>
  <x:conditionalFormatting sqref="N6:N14">
    <x:cfRule type="containsText" dxfId="3403" priority="19" operator="containsText" text="PASS"/>
    <x:cfRule type="containsText" dxfId="3404" priority="20" operator="containsText" text="SIGNED"/>
    <x:cfRule type="containsText" dxfId="3405" priority="21" operator="containsText" text="CONFIRMED"/>
    <x:cfRule type="containsText" dxfId="3406" priority="22" operator="containsText" text="OFFICIAL"/>
    <x:cfRule type="containsText" dxfId="3407" priority="23" operator="containsText" text="CENTRAL"/>
    <x:cfRule type="containsText" dxfId="3408" priority="24" operator="containsText" text="PRIMARY"/>
    <x:cfRule type="containsText" dxfId="3409" priority="25" operator="containsText" text="MODELLED"/>
    <x:cfRule type="containsText" dxfId="3410" priority="26" operator="containsText" text="CONDITIONAL"/>
    <x:cfRule type="containsText" dxfId="3411" priority="27" operator="containsText" text="SENSITIVITY"/>
    <x:cfRule type="containsText" dxfId="3412" priority="28" operator="containsText" text="PREDICTED"/>
    <x:cfRule type="containsText" dxfId="3413" priority="29" operator="containsText" text="MEDIUM"/>
    <x:cfRule type="containsText" dxfId="3414" priority="30" operator="containsText" text="WATCH"/>
    <x:cfRule type="containsText" dxfId="3415" priority="31" operator="containsText" text="EXCLUDED"/>
    <x:cfRule type="containsText" dxfId="3416" priority="32" operator="containsText" text="SEPARATE"/>
    <x:cfRule type="containsText" dxfId="3417" priority="33" operator="containsText" text="NO"/>
    <x:cfRule type="containsText" dxfId="3418" priority="34" operator="containsText" text="FAIL"/>
    <x:cfRule type="containsText" dxfId="3419" priority="35" operator="containsText" text="BLOCKED"/>
    <x:cfRule type="containsText" dxfId="3420" priority="36" operator="containsText" text="LOW"/>
  </x:conditionalFormatting>
  <x:pageMargins left="0.7" right="0.7" top="0.75" bottom="0.75" header="0.3" footer="0.3"/>
</x:worksheet>
</file>

<file path=xl/worksheets/sheet12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24" hidden="0" customWidth="1"/>
    <x:col min="3" max="3" width="18" hidden="0" customWidth="1"/>
    <x:col min="4" max="4" width="14" hidden="0" customWidth="1"/>
    <x:col min="5" max="5" width="13" hidden="0" customWidth="1"/>
    <x:col min="6" max="6" width="26" hidden="0" customWidth="1"/>
    <x:col min="7" max="7" width="27" hidden="0" customWidth="1"/>
    <x:col min="8" max="8" width="27" hidden="0" customWidth="1"/>
    <x:col min="9" max="9" width="16" hidden="0" customWidth="1"/>
    <x:col min="10" max="10" width="16" hidden="0" customWidth="1"/>
    <x:col min="11" max="11" width="16" hidden="0" customWidth="1"/>
    <x:col min="12" max="12" width="24" hidden="0" customWidth="1"/>
    <x:col min="13" max="13" width="43" hidden="0" customWidth="1"/>
    <x:col min="14" max="14" width="18" hidden="0" customWidth="1"/>
    <x:col min="15" max="15" width="39" hidden="0" customWidth="1"/>
    <x:col min="16" max="16" width="27" hidden="0" customWidth="1"/>
  </x:cols>
  <x:sheetData>
    <x:row r="1" ht="30" customHeight="1">
      <x:c r="A1" s="596" t="str">
        <x:v>125｜N90固定顶阵容×价格向量：25.99与26.99各有条件</x:v>
      </x:c>
      <x:c r="B1" s="596"/>
      <x:c r="C1" s="596"/>
      <x:c r="D1" s="596"/>
      <x:c r="E1" s="596"/>
      <x:c r="F1" s="596"/>
      <x:c r="G1" s="596"/>
      <x:c r="H1" s="596"/>
      <x:c r="I1" s="596"/>
      <x:c r="J1" s="596"/>
      <x:c r="K1" s="596"/>
      <x:c r="L1" s="596"/>
      <x:c r="M1" s="596"/>
      <x:c r="N1" s="596"/>
      <x:c r="O1" s="596"/>
      <x:c r="P1" s="596"/>
    </x:row>
    <x:row r="2" ht="22" customHeight="1">
      <x:c r="A2" s="599" t="str">
        <x:v>先判断上几个版本，再判断每个版本卖多少；不再对Standard做脱离阵容的单点平均</x:v>
      </x:c>
      <x:c r="B2" s="599"/>
      <x:c r="C2" s="599"/>
      <x:c r="D2" s="599"/>
      <x:c r="E2" s="599"/>
      <x:c r="F2" s="599"/>
      <x:c r="G2" s="599"/>
      <x:c r="H2" s="599"/>
      <x:c r="I2" s="599"/>
      <x:c r="J2" s="599"/>
      <x:c r="K2" s="599"/>
      <x:c r="L2" s="599"/>
      <x:c r="M2" s="599"/>
      <x:c r="N2" s="599"/>
      <x:c r="O2" s="599"/>
      <x:c r="P2" s="599"/>
    </x:row>
    <x:row r="3" ht="96" customHeight="1">
      <x:c r="A3" s="603" t="str">
        <x:v>中心阵容权重仍沿用3.3B的60/25/5/10，因为新证据同时朝两个方向作用：5/7座准入提高额外SKU可行性，但小米现有梯度又没有“同电池同动力、纯座舱分三档”直接先例。在Standard+Max两版阵容中，26.99/29.99偏产品围栏，25.99/28.99偏性价比，条件权重60/40；三档阵容则以25.99/27.99/29.99才能形成2万/2万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  <x:c r="O3" s="603"/>
      <x:c r="P3" s="603"/>
    </x:row>
    <x:row r="5" ht="60" customHeight="1">
      <x:c r="A5" s="608" t="str">
        <x:v>branch_id</x:v>
      </x:c>
      <x:c r="B5" s="608" t="str">
        <x:v>固定顶阵容</x:v>
      </x:c>
      <x:c r="C5" s="608" t="str">
        <x:v>发布时中心权重</x:v>
      </x:c>
      <x:c r="D5" s="608" t="str">
        <x:v>Standard存在</x:v>
      </x:c>
      <x:c r="E5" s="608" t="str">
        <x:v>Pro存在</x:v>
      </x:c>
      <x:c r="F5" s="608" t="str">
        <x:v>主价格向量</x:v>
      </x:c>
      <x:c r="G5" s="608" t="str">
        <x:v>备选价格向量</x:v>
      </x:c>
      <x:c r="H5" s="608" t="str">
        <x:v>主/备条件权重</x:v>
      </x:c>
      <x:c r="I5" s="608" t="str">
        <x:v>Standard主价</x:v>
      </x:c>
      <x:c r="J5" s="608" t="str">
        <x:v>Pro主价</x:v>
      </x:c>
      <x:c r="K5" s="608" t="str">
        <x:v>Max主价</x:v>
      </x:c>
      <x:c r="L5" s="608" t="str">
        <x:v>主相邻梯度</x:v>
      </x:c>
      <x:c r="M5" s="608" t="str">
        <x:v>配置成立条件</x:v>
      </x:c>
      <x:c r="N5" s="608" t="str">
        <x:v>严格可行性系数</x:v>
      </x:c>
      <x:c r="O5" s="608" t="str">
        <x:v>商业解读</x:v>
      </x:c>
      <x:c r="P5" s="608" t="str">
        <x:v>状态</x:v>
      </x:c>
    </x:row>
    <x:row r="6" ht="78" customHeight="1">
      <x:c r="A6" s="19" t="str">
        <x:v>B0</x:v>
      </x:c>
      <x:c r="B6" s="19" t="str">
        <x:v>仅Max</x:v>
      </x:c>
      <x:c r="C6" s="23" t="n">
        <x:v>0.6</x:v>
      </x:c>
      <x:c r="D6" s="106" t="n">
        <x:v>0</x:v>
      </x:c>
      <x:c r="E6" s="106" t="n">
        <x:v>0</x:v>
      </x:c>
      <x:c r="F6" s="19" t="str">
        <x:v>27.99</x:v>
      </x:c>
      <x:c r="G6" s="19" t="str">
        <x:v>26.99/28.99低高尾</x:v>
      </x:c>
      <x:c r="H6" s="19" t="str">
        <x:v>3.3C同版边际待3.4A合并</x:v>
      </x:c>
      <x:c r="I6" s="460"/>
      <x:c r="J6" s="460"/>
      <x:c r="K6" s="460" t="n">
        <x:v>279900</x:v>
      </x:c>
      <x:c r="L6" s="19" t="str">
        <x:v>不适用</x:v>
      </x:c>
      <x:c r="M6" s="19" t="str">
        <x:v>Max同时承担起售价和旗舰配置</x:v>
      </x:c>
      <x:c r="N6" s="23" t="n">
        <x:v>1</x:v>
      </x:c>
      <x:c r="O6" s="19" t="str">
        <x:v>主分支；价格headline由Max自己下探</x:v>
      </x:c>
      <x:c r="P6" s="19" t="str">
        <x:v>CENTRAL_PRIMARY</x:v>
      </x:c>
    </x:row>
    <x:row r="7" ht="78" customHeight="1">
      <x:c r="A7" s="609" t="str">
        <x:v>B1</x:v>
      </x:c>
      <x:c r="B7" s="609" t="str">
        <x:v>Standard+Max</x:v>
      </x:c>
      <x:c r="C7" s="613" t="n">
        <x:v>0.25</x:v>
      </x:c>
      <x:c r="D7" s="619" t="n">
        <x:v>1</x:v>
      </x:c>
      <x:c r="E7" s="619" t="n">
        <x:v>0</x:v>
      </x:c>
      <x:c r="F7" s="609" t="str">
        <x:v>26.99 / 29.99</x:v>
      </x:c>
      <x:c r="G7" s="609" t="str">
        <x:v>25.99 / 28.99</x:v>
      </x:c>
      <x:c r="H7" s="609" t="str">
        <x:v>60% / 40%</x:v>
      </x:c>
      <x:c r="I7" s="614" t="n">
        <x:v>269900</x:v>
      </x:c>
      <x:c r="J7" s="614"/>
      <x:c r="K7" s="614" t="n">
        <x:v>299900</x:v>
      </x:c>
      <x:c r="L7" s="609" t="str">
        <x:v>3万</x:v>
      </x:c>
      <x:c r="M7" s="609" t="str">
        <x:v>Standard须有座位/空簧/整包明显差异</x:v>
      </x:c>
      <x:c r="N7" s="613" t="n">
        <x:v>1</x:v>
      </x:c>
      <x:c r="O7" s="609" t="str">
        <x:v>26.99保护N70；25.99强调性价比</x:v>
      </x:c>
      <x:c r="P7" s="609" t="str">
        <x:v>CONDITIONAL_PRIMARY</x:v>
      </x:c>
    </x:row>
    <x:row r="8" ht="78" customHeight="1">
      <x:c r="A8" s="19" t="str">
        <x:v>B2</x:v>
      </x:c>
      <x:c r="B8" s="19" t="str">
        <x:v>Pro+Max</x:v>
      </x:c>
      <x:c r="C8" s="23" t="n">
        <x:v>0.05</x:v>
      </x:c>
      <x:c r="D8" s="106" t="n">
        <x:v>0</x:v>
      </x:c>
      <x:c r="E8" s="106" t="n">
        <x:v>1</x:v>
      </x:c>
      <x:c r="F8" s="19" t="str">
        <x:v>27.99 / 29.99</x:v>
      </x:c>
      <x:c r="G8" s="19" t="str">
        <x:v>无必要额外一档</x:v>
      </x:c>
      <x:c r="H8" s="19" t="str">
        <x:v>100%</x:v>
      </x:c>
      <x:c r="I8" s="460"/>
      <x:c r="J8" s="460" t="n">
        <x:v>279900</x:v>
      </x:c>
      <x:c r="K8" s="460" t="n">
        <x:v>299900</x:v>
      </x:c>
      <x:c r="L8" s="19" t="str">
        <x:v>2万</x:v>
      </x:c>
      <x:c r="M8" s="19" t="str">
        <x:v>Pro最合理为空悬+CDC，Max独占高阶座舱包</x:v>
      </x:c>
      <x:c r="N8" s="23" t="n">
        <x:v>1</x:v>
      </x:c>
      <x:c r="O8" s="19" t="str">
        <x:v>两档硬件+座舱职责清晰</x:v>
      </x:c>
      <x:c r="P8" s="19" t="str">
        <x:v>CONDITIONAL</x:v>
      </x:c>
    </x:row>
    <x:row r="9" ht="78" customHeight="1">
      <x:c r="A9" s="609" t="str">
        <x:v>B3</x:v>
      </x:c>
      <x:c r="B9" s="609" t="str">
        <x:v>Standard+Pro+Max</x:v>
      </x:c>
      <x:c r="C9" s="613" t="n">
        <x:v>0.1</x:v>
      </x:c>
      <x:c r="D9" s="619" t="n">
        <x:v>1</x:v>
      </x:c>
      <x:c r="E9" s="619" t="n">
        <x:v>1</x:v>
      </x:c>
      <x:c r="F9" s="609" t="str">
        <x:v>25.99 / 27.99 / 29.99</x:v>
      </x:c>
      <x:c r="G9" s="609" t="str">
        <x:v>无等价替代向量</x:v>
      </x:c>
      <x:c r="H9" s="609" t="str">
        <x:v>100%</x:v>
      </x:c>
      <x:c r="I9" s="614" t="n">
        <x:v>259900</x:v>
      </x:c>
      <x:c r="J9" s="614" t="n">
        <x:v>279900</x:v>
      </x:c>
      <x:c r="K9" s="614" t="n">
        <x:v>299900</x:v>
      </x:c>
      <x:c r="L9" s="609" t="str">
        <x:v>2万 / 2万</x:v>
      </x:c>
      <x:c r="M9" s="609" t="str">
        <x:v>每一步至少一个座位/空悬/整包硬台阶</x:v>
      </x:c>
      <x:c r="N9" s="613" t="n">
        <x:v>0.5</x:v>
      </x:c>
      <x:c r="O9" s="609" t="str">
        <x:v>价格最整齐，但同电池同动力三档尚无小米直接先例</x:v>
      </x:c>
      <x:c r="P9" s="609" t="str">
        <x:v>STRICT_PENALTY</x:v>
      </x:c>
    </x:row>
    <x:row r="12" ht="24" customHeight="1">
      <x:c r="A12" s="612" t="str">
        <x:v>阵容结构敏感性：宽松 / 中心 / 小米梯度严格</x:v>
      </x:c>
      <x:c r="B12" s="612"/>
      <x:c r="C12" s="612"/>
      <x:c r="D12" s="612"/>
      <x:c r="E12" s="612"/>
      <x:c r="F12" s="612"/>
      <x:c r="G12" s="612"/>
      <x:c r="H12" s="612"/>
      <x:c r="I12" s="612"/>
      <x:c r="J12" s="612"/>
      <x:c r="K12" s="612"/>
      <x:c r="L12" s="612"/>
      <x:c r="M12" s="612"/>
      <x:c r="N12" s="612"/>
      <x:c r="O12" s="612"/>
      <x:c r="P12" s="612"/>
    </x:row>
    <x:row r="13" ht="58" customHeight="1">
      <x:c r="A13" s="608" t="str">
        <x:v>结构情景</x:v>
      </x:c>
      <x:c r="B13" s="608" t="str">
        <x:v>仅Max</x:v>
      </x:c>
      <x:c r="C13" s="608" t="str">
        <x:v>Standard+Max</x:v>
      </x:c>
      <x:c r="D13" s="608" t="str">
        <x:v>Pro+Max</x:v>
      </x:c>
      <x:c r="E13" s="608" t="str">
        <x:v>三档</x:v>
      </x:c>
      <x:c r="F13" s="608" t="str">
        <x:v>合计</x:v>
      </x:c>
      <x:c r="G13" s="608" t="str">
        <x:v>P(Standard)</x:v>
      </x:c>
      <x:c r="H13" s="608" t="str">
        <x:v>P(Pro)</x:v>
      </x:c>
      <x:c r="I13" s="608" t="str">
        <x:v>P(Max=27.99代表点)</x:v>
      </x:c>
      <x:c r="J13" s="608" t="str">
        <x:v>P(Max=28.99代表点)</x:v>
      </x:c>
      <x:c r="K13" s="608" t="str">
        <x:v>P(Max=29.99代表点)</x:v>
      </x:c>
      <x:c r="L13" s="608" t="str">
        <x:v>P(Std=25.99|Std存在)</x:v>
      </x:c>
      <x:c r="M13" s="608" t="str">
        <x:v>P(Std=26.99|Std存在)</x:v>
      </x:c>
    </x:row>
    <x:row r="14" ht="52" customHeight="1">
      <x:c r="A14" s="19" t="str">
        <x:v>宽松扩展</x:v>
      </x:c>
      <x:c r="B14" s="23" t="n">
        <x:v>0.5</x:v>
      </x:c>
      <x:c r="C14" s="23" t="n">
        <x:v>0.3</x:v>
      </x:c>
      <x:c r="D14" s="23" t="n">
        <x:v>0.05</x:v>
      </x:c>
      <x:c r="E14" s="23" t="n">
        <x:v>0.15</x:v>
      </x:c>
      <x:c r="F14" s="23" t="n">
        <x:f>SUM(B14:E14)</x:f>
        <x:v>1</x:v>
      </x:c>
      <x:c r="G14" s="23" t="n">
        <x:f>C14+E14</x:f>
        <x:v>0.44999999999999996</x:v>
      </x:c>
      <x:c r="H14" s="23" t="n">
        <x:f>D14+E14</x:f>
        <x:v>0.2</x:v>
      </x:c>
      <x:c r="I14" s="23" t="n">
        <x:f>B14</x:f>
        <x:v>0.5</x:v>
      </x:c>
      <x:c r="J14" s="23" t="n">
        <x:f>C14*40%</x:f>
        <x:v>0.12</x:v>
      </x:c>
      <x:c r="K14" s="23" t="n">
        <x:f>C14*60%+D14+E14</x:f>
        <x:v>0.38</x:v>
      </x:c>
      <x:c r="L14" s="23" t="n">
        <x:f>(C14*40%+E14)/(C14+E14)</x:f>
        <x:v>0.6000000000000001</x:v>
      </x:c>
      <x:c r="M14" s="23" t="n">
        <x:f>(C14*60%)/(C14+E14)</x:f>
        <x:v>0.4</x:v>
      </x:c>
    </x:row>
    <x:row r="15" ht="52" customHeight="1">
      <x:c r="A15" s="609" t="str">
        <x:v>中心</x:v>
      </x:c>
      <x:c r="B15" s="613" t="n">
        <x:v>0.6</x:v>
      </x:c>
      <x:c r="C15" s="613" t="n">
        <x:v>0.25</x:v>
      </x:c>
      <x:c r="D15" s="613" t="n">
        <x:v>0.05</x:v>
      </x:c>
      <x:c r="E15" s="613" t="n">
        <x:v>0.1</x:v>
      </x:c>
      <x:c r="F15" s="613" t="n">
        <x:f>SUM(B15:E15)</x:f>
        <x:v>1</x:v>
      </x:c>
      <x:c r="G15" s="613" t="n">
        <x:f>C15+E15</x:f>
        <x:v>0.35</x:v>
      </x:c>
      <x:c r="H15" s="613" t="n">
        <x:f>D15+E15</x:f>
        <x:v>0.15000000000000002</x:v>
      </x:c>
      <x:c r="I15" s="613" t="n">
        <x:f>B15</x:f>
        <x:v>0.6</x:v>
      </x:c>
      <x:c r="J15" s="613" t="n">
        <x:f>C15*40%</x:f>
        <x:v>0.1</x:v>
      </x:c>
      <x:c r="K15" s="613" t="n">
        <x:f>C15*60%+D15+E15</x:f>
        <x:v>0.30000000000000004</x:v>
      </x:c>
      <x:c r="L15" s="613" t="n">
        <x:f>(C15*40%+E15)/(C15+E15)</x:f>
        <x:v>0.5714285714285715</x:v>
      </x:c>
      <x:c r="M15" s="613" t="n">
        <x:f>(C15*60%)/(C15+E15)</x:f>
        <x:v>0.4285714285714286</x:v>
      </x:c>
    </x:row>
    <x:row r="16" ht="52" customHeight="1">
      <x:c r="A16" s="19" t="str">
        <x:v>小米梯度严格</x:v>
      </x:c>
      <x:c r="B16" s="23" t="n">
        <x:v>0.65</x:v>
      </x:c>
      <x:c r="C16" s="23" t="n">
        <x:v>0.25</x:v>
      </x:c>
      <x:c r="D16" s="23" t="n">
        <x:v>0.05</x:v>
      </x:c>
      <x:c r="E16" s="23" t="n">
        <x:v>0.05</x:v>
      </x:c>
      <x:c r="F16" s="23" t="n">
        <x:f>SUM(B16:E16)</x:f>
        <x:v>1</x:v>
      </x:c>
      <x:c r="G16" s="23" t="n">
        <x:f>C16+E16</x:f>
        <x:v>0.3</x:v>
      </x:c>
      <x:c r="H16" s="23" t="n">
        <x:f>D16+E16</x:f>
        <x:v>0.1</x:v>
      </x:c>
      <x:c r="I16" s="23" t="n">
        <x:f>B16</x:f>
        <x:v>0.65</x:v>
      </x:c>
      <x:c r="J16" s="23" t="n">
        <x:f>C16*40%</x:f>
        <x:v>0.1</x:v>
      </x:c>
      <x:c r="K16" s="23" t="n">
        <x:f>C16*60%+D16+E16</x:f>
        <x:v>0.25</x:v>
      </x:c>
      <x:c r="L16" s="23" t="n">
        <x:f>(C16*40%+E16)/(C16+E16)</x:f>
        <x:v>0.5000000000000001</x:v>
      </x:c>
      <x:c r="M16" s="23" t="n">
        <x:f>(C16*60%)/(C16+E16)</x:f>
        <x:v>0.5</x:v>
      </x:c>
    </x:row>
    <x:row r="19" ht="24" customHeight="1">
      <x:c r="A19" s="612" t="str">
        <x:v>中心阵容下的代表价格边际（仍未合并3.3C同版低价尾）</x:v>
      </x:c>
      <x:c r="B19" s="612"/>
      <x:c r="C19" s="612"/>
      <x:c r="D19" s="612"/>
      <x:c r="E19" s="612"/>
      <x:c r="F19" s="612"/>
      <x:c r="G19" s="612"/>
      <x:c r="H19" s="612"/>
      <x:c r="I19" s="612"/>
      <x:c r="J19" s="612"/>
      <x:c r="K19" s="612"/>
      <x:c r="L19" s="612"/>
      <x:c r="M19" s="612"/>
      <x:c r="N19" s="612"/>
      <x:c r="O19" s="612"/>
      <x:c r="P19" s="612"/>
    </x:row>
    <x:row r="20" ht="46" customHeight="1">
      <x:c r="A20" s="608" t="str">
        <x:v>价格对象</x:v>
      </x:c>
      <x:c r="B20" s="608" t="str">
        <x:v>价格点</x:v>
      </x:c>
      <x:c r="C20" s="608" t="str">
        <x:v>代表权重</x:v>
      </x:c>
      <x:c r="D20" s="608" t="str">
        <x:v>来源公式</x:v>
      </x:c>
      <x:c r="E20" s="608" t="str">
        <x:v>解读</x:v>
      </x:c>
      <x:c r="H20" s="608" t="str">
        <x:v>结构情景</x:v>
      </x:c>
      <x:c r="I20" s="608" t="str">
        <x:v>27.99</x:v>
      </x:c>
      <x:c r="J20" s="608" t="str">
        <x:v>28.99</x:v>
      </x:c>
      <x:c r="K20" s="608" t="str">
        <x:v>29.99</x:v>
      </x:c>
      <x:c r="L20" s="608" t="str">
        <x:v>合计</x:v>
      </x:c>
    </x:row>
    <x:row r="21" ht="48" customHeight="1">
      <x:c r="A21" s="19" t="str">
        <x:v>N90 Max</x:v>
      </x:c>
      <x:c r="B21" s="460" t="n">
        <x:v>279900</x:v>
      </x:c>
      <x:c r="C21" s="23" t="n">
        <x:f>I15</x:f>
        <x:v>0.6</x:v>
      </x:c>
      <x:c r="D21" s="19" t="str">
        <x:v>仅Max分支</x:v>
      </x:c>
      <x:c r="E21" s="19" t="str">
        <x:v>仅Max时承担低价headline</x:v>
      </x:c>
      <x:c r="H21" s="19" t="str">
        <x:f>A14</x:f>
        <x:v>宽松扩展</x:v>
      </x:c>
      <x:c r="I21" s="23" t="n">
        <x:f>I14</x:f>
        <x:v>0.5</x:v>
      </x:c>
      <x:c r="J21" s="23" t="n">
        <x:f>J14</x:f>
        <x:v>0.12</x:v>
      </x:c>
      <x:c r="K21" s="23" t="n">
        <x:f>K14</x:f>
        <x:v>0.38</x:v>
      </x:c>
      <x:c r="L21" s="23" t="n">
        <x:f>SUM(I21:K21)</x:f>
        <x:v>1</x:v>
      </x:c>
    </x:row>
    <x:row r="22" ht="48" customHeight="1">
      <x:c r="A22" s="609" t="str">
        <x:v>N90 Max</x:v>
      </x:c>
      <x:c r="B22" s="614" t="n">
        <x:v>289900</x:v>
      </x:c>
      <x:c r="C22" s="613" t="n">
        <x:f>J15</x:f>
        <x:v>0.1</x:v>
      </x:c>
      <x:c r="D22" s="609" t="str">
        <x:v>Standard+Max备选的40%</x:v>
      </x:c>
      <x:c r="E22" s="609" t="str">
        <x:v>性价比两版向量</x:v>
      </x:c>
      <x:c r="F22" s="620"/>
      <x:c r="G22" s="620"/>
      <x:c r="H22" s="609" t="str">
        <x:f>A15</x:f>
        <x:v>中心</x:v>
      </x:c>
      <x:c r="I22" s="613" t="n">
        <x:f>I15</x:f>
        <x:v>0.6</x:v>
      </x:c>
      <x:c r="J22" s="613" t="n">
        <x:f>J15</x:f>
        <x:v>0.1</x:v>
      </x:c>
      <x:c r="K22" s="613" t="n">
        <x:f>K15</x:f>
        <x:v>0.30000000000000004</x:v>
      </x:c>
      <x:c r="L22" s="613" t="n">
        <x:f>SUM(I22:K22)</x:f>
        <x:v>1</x:v>
      </x:c>
    </x:row>
    <x:row r="23" ht="48" customHeight="1">
      <x:c r="A23" s="19" t="str">
        <x:v>N90 Max</x:v>
      </x:c>
      <x:c r="B23" s="460" t="n">
        <x:v>299900</x:v>
      </x:c>
      <x:c r="C23" s="23" t="n">
        <x:f>K15</x:f>
        <x:v>0.30000000000000004</x:v>
      </x:c>
      <x:c r="D23" s="19" t="str">
        <x:v>Standard+Max主60%+Pro/Max+三档</x:v>
      </x:c>
      <x:c r="E23" s="19" t="str">
        <x:v>低价SKU存在时Max回归预售锚</x:v>
      </x:c>
      <x:c r="H23" s="19" t="str">
        <x:f>A16</x:f>
        <x:v>小米梯度严格</x:v>
      </x:c>
      <x:c r="I23" s="23" t="n">
        <x:f>I16</x:f>
        <x:v>0.65</x:v>
      </x:c>
      <x:c r="J23" s="23" t="n">
        <x:f>J16</x:f>
        <x:v>0.1</x:v>
      </x:c>
      <x:c r="K23" s="23" t="n">
        <x:f>K16</x:f>
        <x:v>0.25</x:v>
      </x:c>
      <x:c r="L23" s="23" t="n">
        <x:f>SUM(I23:K23)</x:f>
        <x:v>1</x:v>
      </x:c>
    </x:row>
    <x:row r="24" ht="52" customHeight="1">
      <x:c r="A24" s="609" t="str">
        <x:v>N90 Standard|存在</x:v>
      </x:c>
      <x:c r="B24" s="614" t="n">
        <x:v>259900</x:v>
      </x:c>
      <x:c r="C24" s="613" t="n">
        <x:f>L15</x:f>
        <x:v>0.5714285714285715</x:v>
      </x:c>
      <x:c r="D24" s="609" t="str">
        <x:v>Standard+Max备40%+三档</x:v>
      </x:c>
      <x:c r="E24" s="609" t="str">
        <x:v>中心条件众数</x:v>
      </x:c>
    </x:row>
    <x:row r="25" ht="52" customHeight="1">
      <x:c r="A25" s="19" t="str">
        <x:v>N90 Standard|存在</x:v>
      </x:c>
      <x:c r="B25" s="460" t="n">
        <x:v>269900</x:v>
      </x:c>
      <x:c r="C25" s="23" t="n">
        <x:f>M15</x:f>
        <x:v>0.4285714285714286</x:v>
      </x:c>
      <x:c r="D25" s="19" t="str">
        <x:v>Standard+Max主60%</x:v>
      </x:c>
      <x:c r="E25" s="19" t="str">
        <x:v>两版阵容首选，但条件总权重略低</x:v>
      </x:c>
    </x:row>
  </x:sheetData>
  <x:mergeCells>
    <x:mergeCell ref="A1:P1"/>
    <x:mergeCell ref="A2:P2"/>
    <x:mergeCell ref="A3:P3"/>
    <x:mergeCell ref="A12:P12"/>
    <x:mergeCell ref="A19:P19"/>
  </x:mergeCells>
  <x:conditionalFormatting sqref="P6:P9">
    <x:cfRule type="containsText" dxfId="3421" priority="1" operator="containsText" text="PASS"/>
    <x:cfRule type="containsText" dxfId="3422" priority="2" operator="containsText" text="SIGNED"/>
    <x:cfRule type="containsText" dxfId="3423" priority="3" operator="containsText" text="CONFIRMED"/>
    <x:cfRule type="containsText" dxfId="3424" priority="4" operator="containsText" text="OFFICIAL"/>
    <x:cfRule type="containsText" dxfId="3425" priority="5" operator="containsText" text="CENTRAL"/>
    <x:cfRule type="containsText" dxfId="3426" priority="6" operator="containsText" text="PRIMARY"/>
    <x:cfRule type="containsText" dxfId="3427" priority="7" operator="containsText" text="MODELLED"/>
    <x:cfRule type="containsText" dxfId="3428" priority="8" operator="containsText" text="CONDITIONAL"/>
    <x:cfRule type="containsText" dxfId="3429" priority="9" operator="containsText" text="SENSITIVITY"/>
    <x:cfRule type="containsText" dxfId="3430" priority="10" operator="containsText" text="PREDICTED"/>
    <x:cfRule type="containsText" dxfId="3431" priority="11" operator="containsText" text="MEDIUM"/>
    <x:cfRule type="containsText" dxfId="3432" priority="12" operator="containsText" text="WATCH"/>
    <x:cfRule type="containsText" dxfId="3433" priority="13" operator="containsText" text="EXCLUDED"/>
    <x:cfRule type="containsText" dxfId="3434" priority="14" operator="containsText" text="SEPARATE"/>
    <x:cfRule type="containsText" dxfId="3435" priority="15" operator="containsText" text="NO"/>
    <x:cfRule type="containsText" dxfId="3436" priority="16" operator="containsText" text="FAIL"/>
    <x:cfRule type="containsText" dxfId="3437" priority="17" operator="containsText" text="BLOCKED"/>
    <x:cfRule type="containsText" dxfId="3438" priority="18" operator="containsText" text="LOW"/>
  </x:conditionalFormatting>
  <x:pageMargins left="0.7" right="0.7" top="0.75" bottom="0.75" header="0.3" footer="0.3"/>
  <x:drawing xmlns:r="http://schemas.openxmlformats.org/officeDocument/2006/relationships" r:id="R5534276529a04b24"/>
</x:worksheet>
</file>

<file path=xl/worksheets/sheet12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7" hidden="0" customWidth="1"/>
    <x:col min="3" max="3" width="43" hidden="0" customWidth="1"/>
    <x:col min="4" max="4" width="25" hidden="0" customWidth="1"/>
    <x:col min="5" max="5" width="32" hidden="0" customWidth="1"/>
    <x:col min="6" max="6" width="25" hidden="0" customWidth="1"/>
    <x:col min="7" max="7" width="20" hidden="0" customWidth="1"/>
    <x:col min="8" max="8" width="27" hidden="0" customWidth="1"/>
    <x:col min="9" max="9" width="37" hidden="0" customWidth="1"/>
    <x:col min="10" max="10" width="41" hidden="0" customWidth="1"/>
    <x:col min="11" max="11" width="39" hidden="0" customWidth="1"/>
    <x:col min="12" max="12" width="36" hidden="0" customWidth="1"/>
    <x:col min="13" max="13" width="34" hidden="0" customWidth="1"/>
    <x:col min="14" max="14" width="20" hidden="0" customWidth="1"/>
  </x:cols>
  <x:sheetData>
    <x:row r="1" ht="36" customHeight="1">
      <x:c r="A1" s="626" t="str">
        <x:v>【历史阶段｜不得作为最终结论】126_3.3D修正结论</x:v>
      </x:c>
      <x:c r="B1" s="626"/>
      <x:c r="C1" s="626"/>
      <x:c r="D1" s="626"/>
      <x:c r="E1" s="626"/>
      <x:c r="F1" s="626"/>
      <x:c r="G1" s="626"/>
      <x:c r="H1" s="626"/>
      <x:c r="I1" s="626"/>
      <x:c r="J1" s="626"/>
      <x:c r="K1" s="626"/>
      <x:c r="L1" s="626"/>
      <x:c r="M1" s="626"/>
      <x:c r="N1" s="626"/>
      <x:c r="O1" s="626"/>
      <x:c r="P1" s="626"/>
      <x:c r="Q1" s="626"/>
      <x:c r="R1" s="626"/>
      <x:c r="S1" s="626"/>
      <x:c r="T1" s="626"/>
      <x:c r="U1" s="626"/>
      <x:c r="V1" s="626"/>
      <x:c r="W1" s="626"/>
      <x:c r="X1" s="626"/>
      <x:c r="Y1" s="626"/>
      <x:c r="Z1" s="626"/>
    </x:row>
    <x:row r="2" ht="30" customHeight="1">
      <x:c r="A2" s="626" t="str">
        <x:v>本表保留用于审计追溯；最终结论以142_最终反证审计与134_全系结论为准。</x:v>
      </x:c>
      <x:c r="B2" s="626"/>
      <x:c r="C2" s="626"/>
      <x:c r="D2" s="626"/>
      <x:c r="E2" s="626"/>
      <x:c r="F2" s="626"/>
      <x:c r="G2" s="626"/>
      <x:c r="H2" s="626"/>
      <x:c r="I2" s="626"/>
      <x:c r="J2" s="626"/>
      <x:c r="K2" s="626"/>
      <x:c r="L2" s="626"/>
      <x:c r="M2" s="626"/>
      <x:c r="N2" s="626"/>
      <x:c r="O2" s="626"/>
      <x:c r="P2" s="626"/>
      <x:c r="Q2" s="626"/>
      <x:c r="R2" s="626"/>
      <x:c r="S2" s="626"/>
      <x:c r="T2" s="626"/>
      <x:c r="U2" s="626"/>
      <x:c r="V2" s="626"/>
      <x:c r="W2" s="626"/>
      <x:c r="X2" s="626"/>
      <x:c r="Y2" s="626"/>
      <x:c r="Z2" s="626"/>
    </x:row>
    <x:row r="3" ht="96" customHeight="1">
      <x:c r="A3" s="603" t="str">
        <x:v>一句话版：N90有额外固定顶版本的合规条件，但官方当前仅确认Max；Standard如果存在，中心是7座+螺簧+CDC，或5座平行形态，动力电池不变，主要缩减空簧和座舱包；Pro最合理是恢复空悬+CDC；Max保留7座高舒适座舱。价格上，仅Max时27.99最合理；Standard+Max两版时26.99/29.99略优于25.99/28.99；三档时25.99/27.99/29.99才有整齐2万/2万梯度，但配置必须真的分开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</x:row>
    <x:row r="5" ht="58" customHeight="1">
      <x:c r="A5" s="608" t="str">
        <x:v>结论ID</x:v>
      </x:c>
      <x:c r="B5" s="608" t="str">
        <x:v>问题</x:v>
      </x:c>
      <x:c r="C5" s="608" t="str">
        <x:v>结论</x:v>
      </x:c>
      <x:c r="D5" s="608" t="str">
        <x:v>中心数值/价格</x:v>
      </x:c>
      <x:c r="E5" s="608" t="str">
        <x:v>条件区间</x:v>
      </x:c>
      <x:c r="F5" s="608" t="str">
        <x:v>证据</x:v>
      </x:c>
      <x:c r="G5" s="608" t="str">
        <x:v>置信</x:v>
      </x:c>
      <x:c r="H5" s="608" t="str">
        <x:v>状态</x:v>
      </x:c>
      <x:c r="I5" s="608" t="str">
        <x:v>可以直接说</x:v>
      </x:c>
      <x:c r="J5" s="608" t="str">
        <x:v>不能直接说</x:v>
      </x:c>
      <x:c r="K5" s="608" t="str">
        <x:v>配置主差异</x:v>
      </x:c>
      <x:c r="L5" s="608" t="str">
        <x:v>价格含义</x:v>
      </x:c>
      <x:c r="M5" s="608" t="str">
        <x:v>推翻/更新条件</x:v>
      </x:c>
      <x:c r="N5" s="608" t="str">
        <x:v>回链</x:v>
      </x:c>
    </x:row>
    <x:row r="6" ht="76" customHeight="1">
      <x:c r="A6" s="19" t="str">
        <x:v>C-33D-01</x:v>
      </x:c>
      <x:c r="B6" s="19" t="str">
        <x:v>工信部是否只有N90 Max升顶</x:v>
      </x:c>
      <x:c r="C6" s="19" t="str">
        <x:v>升顶是独立5座专用车申报，申报图有N90 Max尾标；仍未商品化</x:v>
      </x:c>
      <x:c r="D6" s="19" t="str">
        <x:v>不进固定顶主价格树</x:v>
      </x:c>
      <x:c r="E6" s="19" t="str">
        <x:v>商品化后另算</x:v>
      </x:c>
      <x:c r="F6" s="19" t="str">
        <x:v>MIIT</x:v>
      </x:c>
      <x:c r="G6" s="19" t="str">
        <x:v>HIGH_BOUNDARY</x:v>
      </x:c>
      <x:c r="H6" s="19" t="str">
        <x:v>SIGNED</x:v>
      </x:c>
      <x:c r="I6" s="19" t="str">
        <x:v>可称已申报升顶候选</x:v>
      </x:c>
      <x:c r="J6" s="19" t="str">
        <x:v>已官宣N90 Max升顶版</x:v>
      </x:c>
      <x:c r="K6" s="19" t="str">
        <x:v>升顶/床板/边柜/侧帐接口</x:v>
      </x:c>
      <x:c r="L6" s="19" t="str">
        <x:v>当前不加5万，不入主向量</x:v>
      </x:c>
      <x:c r="M6" s="19" t="str">
        <x:v>官方SKU/登记方式</x:v>
      </x:c>
      <x:c r="N6" s="19" t="str">
        <x:v>121</x:v>
      </x:c>
    </x:row>
    <x:row r="7" ht="76" customHeight="1">
      <x:c r="A7" s="609" t="str">
        <x:v>C-33D-02</x:v>
      </x:c>
      <x:c r="B7" s="609" t="str">
        <x:v>N90有没有Standard</x:v>
      </x:c>
      <x:c r="C7" s="609" t="str">
        <x:v>有技术/准入可能，但未官宣</x:v>
      </x:c>
      <x:c r="D7" s="613" t="n">
        <x:f>'125_阵容价格耦合'!G15</x:f>
        <x:v>0.35</x:v>
      </x:c>
      <x:c r="E7" s="609" t="str">
        <x:v>30%—45%发布时工作权重</x:v>
      </x:c>
      <x:c r="F7" s="609" t="str">
        <x:v>MIIT+小米梯度</x:v>
      </x:c>
      <x:c r="G7" s="609" t="str">
        <x:v>MEDIUM_LOW</x:v>
      </x:c>
      <x:c r="H7" s="609" t="str">
        <x:v>SIGNED_MODEL</x:v>
      </x:c>
      <x:c r="I7" s="609" t="str">
        <x:v>标准版是重要候选</x:v>
      </x:c>
      <x:c r="J7" s="609" t="str">
        <x:v>工信部已命名Standard</x:v>
      </x:c>
      <x:c r="K7" s="609" t="str">
        <x:v>若存在，需座位/底盘/座舱身份</x:v>
      </x:c>
      <x:c r="L7" s="609" t="str">
        <x:v>价格必须条件于阵容</x:v>
      </x:c>
      <x:c r="M7" s="609" t="str">
        <x:v>官方App卡</x:v>
      </x:c>
      <x:c r="N7" s="609" t="str">
        <x:v>120/121/125</x:v>
      </x:c>
    </x:row>
    <x:row r="8" ht="76" customHeight="1">
      <x:c r="A8" s="19" t="str">
        <x:v>C-33D-03</x:v>
      </x:c>
      <x:c r="B8" s="19" t="str">
        <x:v>N90有没有Pro</x:v>
      </x:c>
      <x:c r="C8" s="19" t="str">
        <x:v>存在可能低于Standard，未官宣</x:v>
      </x:c>
      <x:c r="D8" s="23" t="n">
        <x:f>'125_阵容价格耦合'!H15</x:f>
        <x:v>0.15000000000000002</x:v>
      </x:c>
      <x:c r="E8" s="19" t="str">
        <x:v>10%—20%发布时工作权重</x:v>
      </x:c>
      <x:c r="F8" s="19" t="str">
        <x:v>小米梯度</x:v>
      </x:c>
      <x:c r="G8" s="19" t="str">
        <x:v>LOW_MEDIUM</x:v>
      </x:c>
      <x:c r="H8" s="19" t="str">
        <x:v>SIGNED_MODEL</x:v>
      </x:c>
      <x:c r="I8" s="19" t="str">
        <x:v>Pro是低权重候选</x:v>
      </x:c>
      <x:c r="J8" s="19" t="str">
        <x:v>已确认Pro</x:v>
      </x:c>
      <x:c r="K8" s="19" t="str">
        <x:v>最合理是空悬+CDC</x:v>
      </x:c>
      <x:c r="L8" s="19" t="str">
        <x:v>如存在，27.99万最自洽</x:v>
      </x:c>
      <x:c r="M8" s="19" t="str">
        <x:v>官方App卡</x:v>
      </x:c>
      <x:c r="N8" s="19" t="str">
        <x:v>121/123/125</x:v>
      </x:c>
    </x:row>
    <x:row r="9" ht="76" customHeight="1">
      <x:c r="A9" s="609" t="str">
        <x:v>C-33D-04</x:v>
      </x:c>
      <x:c r="B9" s="609" t="str">
        <x:v>Standard座位</x:v>
      </x:c>
      <x:c r="C9" s="609" t="str">
        <x:v>条件中心为7座，5座保留为平行形态</x:v>
      </x:c>
      <x:c r="D9" s="609" t="str">
        <x:v>7座75% / 5座25%</x:v>
      </x:c>
      <x:c r="E9" s="609" t="str">
        <x:v>固定顶5座首发20%</x:v>
      </x:c>
      <x:c r="F9" s="609" t="str">
        <x:v>MIIT+N70定位</x:v>
      </x:c>
      <x:c r="G9" s="609" t="str">
        <x:v>MEDIUM_LOW</x:v>
      </x:c>
      <x:c r="H9" s="609" t="str">
        <x:v>SIGNED_MODEL</x:v>
      </x:c>
      <x:c r="I9" s="609" t="str">
        <x:v>5座和7座都有准入路径</x:v>
      </x:c>
      <x:c r="J9" s="609" t="str">
        <x:v>5座必然是Standard</x:v>
      </x:c>
      <x:c r="K9" s="609" t="str">
        <x:v>座位是版本外独立维度</x:v>
      </x:c>
      <x:c r="L9" s="609" t="str">
        <x:v>座位价值可1—2万</x:v>
      </x:c>
      <x:c r="M9" s="609" t="str">
        <x:v>官方座位卡</x:v>
      </x:c>
      <x:c r="N9" s="609" t="str">
        <x:v>121/122</x:v>
      </x:c>
    </x:row>
    <x:row r="10" ht="76" customHeight="1">
      <x:c r="A10" s="19" t="str">
        <x:v>C-33D-05</x:v>
      </x:c>
      <x:c r="B10" s="19" t="str">
        <x:v>Standard底盘</x:v>
      </x:c>
      <x:c r="C10" s="19" t="str">
        <x:v>中心为螺簧+CDC，不再默认去CDC</x:v>
      </x:c>
      <x:c r="D10" s="19" t="str">
        <x:v>螺簧+CDC 68%</x:v>
      </x:c>
      <x:c r="E10" s="19" t="str">
        <x:v>空悬+CDC 27%；螺簧+被动5%</x:v>
      </x:c>
      <x:c r="F10" s="19" t="str">
        <x:v>YU7商品实践+工程模型</x:v>
      </x:c>
      <x:c r="G10" s="19" t="str">
        <x:v>MEDIUM_LOW</x:v>
      </x:c>
      <x:c r="H10" s="19" t="str">
        <x:v>SIGNED_REVISION</x:v>
      </x:c>
      <x:c r="I10" s="19" t="str">
        <x:v>CDC可保留</x:v>
      </x:c>
      <x:c r="J10" s="19" t="str">
        <x:v>标准版已确认螺簧+CDC</x:v>
      </x:c>
      <x:c r="K10" s="19" t="str">
        <x:v>主要硬件差改为空气弹簧</x:v>
      </x:c>
      <x:c r="L10" s="19" t="str">
        <x:v>成本差显著下修</x:v>
      </x:c>
      <x:c r="M10" s="19" t="str">
        <x:v>正式悬架表</x:v>
      </x:c>
      <x:c r="N10" s="19" t="str">
        <x:v>122</x:v>
      </x:c>
    </x:row>
    <x:row r="11" ht="76" customHeight="1">
      <x:c r="A11" s="609" t="str">
        <x:v>C-33D-06</x:v>
      </x:c>
      <x:c r="B11" s="609" t="str">
        <x:v>Standard成本差</x:v>
      </x:c>
      <x:c r="C11" s="609" t="str">
        <x:v>旧口径高估；新加权中位约0.52万</x:v>
      </x:c>
      <x:c r="D11" s="614" t="n">
        <x:f>'122_版本形态敏感'!B30</x:f>
        <x:v>5200.874999999999</x:v>
      </x:c>
      <x:c r="E11" s="609" t="str">
        <x:v>工程量级，不是采购价</x:v>
      </x:c>
      <x:c r="F11" s="609" t="str">
        <x:v>105+122</x:v>
      </x:c>
      <x:c r="G11" s="609" t="str">
        <x:v>MEDIUM_LOW</x:v>
      </x:c>
      <x:c r="H11" s="609" t="str">
        <x:v>SIGNED_REVISION</x:v>
      </x:c>
      <x:c r="I11" s="609" t="str">
        <x:v>新中值约0.52万</x:v>
      </x:c>
      <x:c r="J11" s="609" t="str">
        <x:v>正式价必只差0.52万</x:v>
      </x:c>
      <x:c r="K11" s="609" t="str">
        <x:v>空簧/冰箱/音响；5座不自动扣座椅</x:v>
      </x:c>
      <x:c r="L11" s="609" t="str">
        <x:v>零售梯度主要由商品价值扩大</x:v>
      </x:c>
      <x:c r="M11" s="609" t="str">
        <x:v>座椅/悬架配置</x:v>
      </x:c>
      <x:c r="N11" s="609" t="str">
        <x:v>105/122</x:v>
      </x:c>
    </x:row>
    <x:row r="12" ht="76" customHeight="1">
      <x:c r="A12" s="19" t="str">
        <x:v>C-33D-07</x:v>
      </x:c>
      <x:c r="B12" s="19" t="str">
        <x:v>N70—N90价格围栏</x:v>
      </x:c>
      <x:c r="C12" s="19" t="str">
        <x:v>不是固定常数；N90 Std—N70 Max中心2万，1万可接受</x:v>
      </x:c>
      <x:c r="D12" s="19" t="str">
        <x:v>中心2万</x:v>
      </x:c>
      <x:c r="E12" s="19" t="str">
        <x:v>0—3万压力</x:v>
      </x:c>
      <x:c r="F12" s="19" t="str">
        <x:v>小米/理想/问界官方样本</x:v>
      </x:c>
      <x:c r="G12" s="19" t="str">
        <x:v>MEDIUM</x:v>
      </x:c>
      <x:c r="H12" s="19" t="str">
        <x:v>SIGNED_FENCE</x:v>
      </x:c>
      <x:c r="I12" s="19" t="str">
        <x:v>25.99不因1万间隔被否决</x:v>
      </x:c>
      <x:c r="J12" s="19" t="str">
        <x:v>大车必须加固定数</x:v>
      </x:c>
      <x:c r="K12" s="19" t="str">
        <x:v>需同时检查Standard配置身份</x:v>
      </x:c>
      <x:c r="L12" s="19" t="str">
        <x:v>两版26.99/29.99略优</x:v>
      </x:c>
      <x:c r="M12" s="19" t="str">
        <x:v>正式价格</x:v>
      </x:c>
      <x:c r="N12" s="19" t="str">
        <x:v>124</x:v>
      </x:c>
    </x:row>
    <x:row r="13" ht="76" customHeight="1">
      <x:c r="A13" s="609" t="str">
        <x:v>C-33D-08</x:v>
      </x:c>
      <x:c r="B13" s="609" t="str">
        <x:v>Standard价格</x:v>
      </x:c>
      <x:c r="C13" s="609" t="str">
        <x:v>不应给脱离阵容的单一结论</x:v>
      </x:c>
      <x:c r="D13" s="609" t="str">
        <x:v>25.99条件众数</x:v>
      </x:c>
      <x:c r="E13" s="609" t="str">
        <x:v>26.99在Standard+Max分支内占60%</x:v>
      </x:c>
      <x:c r="F13" s="609" t="str">
        <x:v>125联合</x:v>
      </x:c>
      <x:c r="G13" s="609" t="str">
        <x:v>LOW_MEDIUM</x:v>
      </x:c>
      <x:c r="H13" s="609" t="str">
        <x:v>SIGNED_CONDITIONAL</x:v>
      </x:c>
      <x:c r="I13" s="609" t="str">
        <x:v>三档25.99；两档26.99主/备25.99</x:v>
      </x:c>
      <x:c r="J13" s="609" t="str">
        <x:v>标准版一定25.99</x:v>
      </x:c>
      <x:c r="K13" s="609" t="str">
        <x:v>与Pro/Max共同形成梯度</x:v>
      </x:c>
      <x:c r="L13" s="609" t="str">
        <x:v>中心条件P(25.99|Std)=57%</x:v>
      </x:c>
      <x:c r="M13" s="609" t="str">
        <x:v>官方阵容/价格</x:v>
      </x:c>
      <x:c r="N13" s="609" t="str">
        <x:v>125</x:v>
      </x:c>
    </x:row>
    <x:row r="14" ht="76" customHeight="1">
      <x:c r="A14" s="19" t="str">
        <x:v>C-33D-09</x:v>
      </x:c>
      <x:c r="B14" s="19" t="str">
        <x:v>Pro价格</x:v>
      </x:c>
      <x:c r="C14" s="19" t="str">
        <x:v>条件于Pro存在时27.99最合理</x:v>
      </x:c>
      <x:c r="D14" s="19" t="n">
        <x:v>279900</x:v>
      </x:c>
      <x:c r="E14" s="19" t="str">
        <x:v>需硬件台阶</x:v>
      </x:c>
      <x:c r="F14" s="19" t="str">
        <x:v>123/125</x:v>
      </x:c>
      <x:c r="G14" s="19" t="str">
        <x:v>LOW_MEDIUM</x:v>
      </x:c>
      <x:c r="H14" s="19" t="str">
        <x:v>SIGNED_CONDITIONAL</x:v>
      </x:c>
      <x:c r="I14" s="19" t="str">
        <x:v>Pro条价27.99</x:v>
      </x:c>
      <x:c r="J14" s="19" t="str">
        <x:v>官方已定价</x:v>
      </x:c>
      <x:c r="K14" s="19" t="str">
        <x:v>空悬+CDC或等价硬件包</x:v>
      </x:c>
      <x:c r="L14" s="19" t="str">
        <x:v>与Max保留2万</x:v>
      </x:c>
      <x:c r="M14" s="19" t="str">
        <x:v>官方SKU</x:v>
      </x:c>
      <x:c r="N14" s="19" t="str">
        <x:v>125</x:v>
      </x:c>
    </x:row>
    <x:row r="15" ht="76" customHeight="1">
      <x:c r="A15" s="609" t="str">
        <x:v>C-33D-10</x:v>
      </x:c>
      <x:c r="B15" s="609" t="str">
        <x:v>Max价格</x:v>
      </x:c>
      <x:c r="C15" s="609" t="str">
        <x:v>仅Max时27.99；有低价SKU时29.99更合理</x:v>
      </x:c>
      <x:c r="D15" s="609" t="str">
        <x:v>27.99 / 29.99</x:v>
      </x:c>
      <x:c r="E15" s="609" t="str">
        <x:v>3.3C同版低价尾待3.4A合并</x:v>
      </x:c>
      <x:c r="F15" s="609" t="str">
        <x:v>117+125</x:v>
      </x:c>
      <x:c r="G15" s="609" t="str">
        <x:v>MEDIUM</x:v>
      </x:c>
      <x:c r="H15" s="609" t="str">
        <x:v>SIGNED_CONDITIONAL</x:v>
      </x:c>
      <x:c r="I15" s="609" t="str">
        <x:v>阵容决定Max任务</x:v>
      </x:c>
      <x:c r="J15" s="609" t="str">
        <x:v>全部情景Max=27.99</x:v>
      </x:c>
      <x:c r="K15" s="609" t="str">
        <x:v>有低价SKU时保留官方高配锚</x:v>
      </x:c>
      <x:c r="L15" s="609" t="str">
        <x:v>中心代表点权重60%/10%/30%</x:v>
      </x:c>
      <x:c r="M15" s="609" t="str">
        <x:v>官方阵容</x:v>
      </x:c>
      <x:c r="N15" s="609" t="str">
        <x:v>117/125</x:v>
      </x:c>
    </x:row>
    <x:row r="16" ht="76" customHeight="1">
      <x:c r="A16" s="19" t="str">
        <x:v>C-33D-11</x:v>
      </x:c>
      <x:c r="B16" s="19" t="str">
        <x:v>是否已最终封盘</x:v>
      </x:c>
      <x:c r="C16" s="19" t="str">
        <x:v>未封盘；门槛已完成，进入3.4A全系联合</x:v>
      </x:c>
      <x:c r="D16" s="19" t="str">
        <x:v>READY_PHASE_3.4A</x:v>
      </x:c>
      <x:c r="E16" s="19" t="str">
        <x:v>需合并供应链低价尾</x:v>
      </x:c>
      <x:c r="F16" s="19" t="str">
        <x:v>120—128</x:v>
      </x:c>
      <x:c r="G16" s="19" t="str">
        <x:v>HIGH_METHOD</x:v>
      </x:c>
      <x:c r="H16" s="19" t="str">
        <x:v>READY_NEXT_PHASE</x:v>
      </x:c>
      <x:c r="I16" s="19" t="str">
        <x:v>版本/配置/围栏已相互约束</x:v>
      </x:c>
      <x:c r="J16" s="19" t="str">
        <x:v>当前价格已是官方结论</x:v>
      </x:c>
      <x:c r="K16" s="19" t="str">
        <x:v>下一步生成全系最终联合</x:v>
      </x:c>
      <x:c r="L16" s="19" t="str">
        <x:v>不再额外新建重大假设</x:v>
      </x:c>
      <x:c r="M16" s="19" t="str">
        <x:v>官方新信息</x:v>
      </x:c>
      <x:c r="N16" s="19" t="str">
        <x:v>127/128</x:v>
      </x:c>
    </x:row>
  </x:sheetData>
  <x:mergeCells>
    <x:mergeCell ref="A1:N1"/>
    <x:mergeCell ref="A2:N2"/>
    <x:mergeCell ref="A3:N3"/>
  </x:mergeCells>
  <x:conditionalFormatting sqref="G6:H16">
    <x:cfRule type="containsText" dxfId="3439" priority="1" operator="containsText" text="PASS"/>
    <x:cfRule type="containsText" dxfId="3440" priority="2" operator="containsText" text="SIGNED"/>
    <x:cfRule type="containsText" dxfId="3441" priority="3" operator="containsText" text="CONFIRMED"/>
    <x:cfRule type="containsText" dxfId="3442" priority="4" operator="containsText" text="OFFICIAL"/>
    <x:cfRule type="containsText" dxfId="3443" priority="5" operator="containsText" text="CENTRAL"/>
    <x:cfRule type="containsText" dxfId="3444" priority="6" operator="containsText" text="PRIMARY"/>
    <x:cfRule type="containsText" dxfId="3445" priority="7" operator="containsText" text="MODELLED"/>
    <x:cfRule type="containsText" dxfId="3446" priority="8" operator="containsText" text="CONDITIONAL"/>
    <x:cfRule type="containsText" dxfId="3447" priority="9" operator="containsText" text="SENSITIVITY"/>
    <x:cfRule type="containsText" dxfId="3448" priority="10" operator="containsText" text="PREDICTED"/>
    <x:cfRule type="containsText" dxfId="3449" priority="11" operator="containsText" text="MEDIUM"/>
    <x:cfRule type="containsText" dxfId="3450" priority="12" operator="containsText" text="WATCH"/>
    <x:cfRule type="containsText" dxfId="3451" priority="13" operator="containsText" text="EXCLUDED"/>
    <x:cfRule type="containsText" dxfId="3452" priority="14" operator="containsText" text="SEPARATE"/>
    <x:cfRule type="containsText" dxfId="3453" priority="15" operator="containsText" text="NO"/>
    <x:cfRule type="containsText" dxfId="3454" priority="16" operator="containsText" text="FAIL"/>
    <x:cfRule type="containsText" dxfId="3455" priority="17" operator="containsText" text="BLOCKED"/>
    <x:cfRule type="containsText" dxfId="3456" priority="18" operator="containsText" text="LOW"/>
  </x:conditionalFormatting>
  <x:pageMargins left="0.7" right="0.7" top="0.75" bottom="0.75" header="0.3" footer="0.3"/>
</x:worksheet>
</file>

<file path=xl/worksheets/sheet12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41" hidden="0" customWidth="1"/>
    <x:col min="4" max="4" width="24" hidden="0" customWidth="1"/>
    <x:col min="5" max="5" width="24" hidden="0" customWidth="1"/>
    <x:col min="6" max="6" width="22" hidden="0" customWidth="1"/>
    <x:col min="7" max="7" width="35" hidden="0" customWidth="1"/>
    <x:col min="8" max="8" width="34" hidden="0" customWidth="1"/>
    <x:col min="9" max="9" width="38" hidden="0" customWidth="1"/>
    <x:col min="10" max="10" width="38" hidden="0" customWidth="1"/>
    <x:col min="11" max="11" width="20" hidden="0" customWidth="1"/>
    <x:col min="12" max="12" width="27" hidden="0" customWidth="1"/>
    <x:col min="13" max="13" width="28" hidden="0" customWidth="1"/>
    <x:col min="14" max="14" width="20" hidden="0" customWidth="1"/>
  </x:cols>
  <x:sheetData>
    <x:row r="1" ht="30" customHeight="1">
      <x:c r="A1" s="596" t="str">
        <x:v>127｜Phase 3.3D签核：中心权重不随意改，但成本口径与条件价格已经修正</x:v>
      </x:c>
      <x:c r="B1" s="596"/>
      <x:c r="C1" s="596"/>
      <x:c r="D1" s="596"/>
      <x:c r="E1" s="596"/>
      <x:c r="F1" s="596"/>
      <x:c r="G1" s="596"/>
      <x:c r="H1" s="596"/>
      <x:c r="I1" s="596"/>
      <x:c r="J1" s="596"/>
      <x:c r="K1" s="596"/>
      <x:c r="L1" s="596"/>
      <x:c r="M1" s="596"/>
      <x:c r="N1" s="596"/>
    </x:row>
    <x:row r="2" ht="22" customHeight="1">
      <x:c r="A2" s="599" t="str">
        <x:v>硬事实、工作权重、商品价值和成本差四层分开</x:v>
      </x:c>
      <x:c r="B2" s="599"/>
      <x:c r="C2" s="599"/>
      <x:c r="D2" s="599"/>
      <x:c r="E2" s="599"/>
      <x:c r="F2" s="599"/>
      <x:c r="G2" s="599"/>
      <x:c r="H2" s="599"/>
      <x:c r="I2" s="599"/>
      <x:c r="J2" s="599"/>
      <x:c r="K2" s="599"/>
      <x:c r="L2" s="599"/>
      <x:c r="M2" s="599"/>
      <x:c r="N2" s="599"/>
    </x:row>
    <x:row r="3" ht="96" customHeight="1">
      <x:c r="A3" s="603" t="str">
        <x:v>签核判断：本阶段不因为单一新证据便机械改动Standard/Pro中心存在权重；改用宽松/中心/严格三个结构情景表达30%—45%的Standard发布存在区间。实质修正发生在配置形态与成本：CDC不再与空簧捆绑删除，5座不再自动扣第三排BOM，因此Standard中位成本差下修约42%。价格结论改为阵容条件向量，不再用一个Standard固定点覆盖所有情景。</x:v>
      </x:c>
      <x:c r="B3" s="603"/>
      <x:c r="C3" s="603"/>
      <x:c r="D3" s="603"/>
      <x:c r="E3" s="603"/>
      <x:c r="F3" s="603"/>
      <x:c r="G3" s="603"/>
      <x:c r="H3" s="603"/>
      <x:c r="I3" s="603"/>
      <x:c r="J3" s="603"/>
      <x:c r="K3" s="603"/>
      <x:c r="L3" s="603"/>
      <x:c r="M3" s="603"/>
      <x:c r="N3" s="603"/>
    </x:row>
    <x:row r="5" ht="58" customHeight="1">
      <x:c r="A5" s="608" t="str">
        <x:v>sign_id</x:v>
      </x:c>
      <x:c r="B5" s="608" t="str">
        <x:v>签核项</x:v>
      </x:c>
      <x:c r="C5" s="608" t="str">
        <x:v>签核结论</x:v>
      </x:c>
      <x:c r="D5" s="608" t="str">
        <x:v>关键数值</x:v>
      </x:c>
      <x:c r="E5" s="608" t="str">
        <x:v>是否改变3.3B中心</x:v>
      </x:c>
      <x:c r="F5" s="608" t="str">
        <x:v>是否进入3.4A</x:v>
      </x:c>
      <x:c r="G5" s="608" t="str">
        <x:v>证据边界</x:v>
      </x:c>
      <x:c r="H5" s="608" t="str">
        <x:v>工程边界</x:v>
      </x:c>
      <x:c r="I5" s="608" t="str">
        <x:v>商业边界</x:v>
      </x:c>
      <x:c r="J5" s="608" t="str">
        <x:v>模型风险</x:v>
      </x:c>
      <x:c r="K5" s="608" t="str">
        <x:v>置信</x:v>
      </x:c>
      <x:c r="L5" s="608" t="str">
        <x:v>状态</x:v>
      </x:c>
      <x:c r="M5" s="608" t="str">
        <x:v>更新触发</x:v>
      </x:c>
      <x:c r="N5" s="608" t="str">
        <x:v>回链</x:v>
      </x:c>
    </x:row>
    <x:row r="6" ht="72" customHeight="1">
      <x:c r="A6" s="19" t="str">
        <x:v>S-33D-01</x:v>
      </x:c>
      <x:c r="B6" s="19" t="str">
        <x:v>固定顶5/7座</x:v>
      </x:c>
      <x:c r="C6" s="19" t="str">
        <x:v>准入确认，商品身份未确认</x:v>
      </x:c>
      <x:c r="D6" s="19" t="str">
        <x:v>5 / 7</x:v>
      </x:c>
      <x:c r="E6" s="19" t="str">
        <x:v>NO</x:v>
      </x:c>
      <x:c r="F6" s="19" t="str">
        <x:v>YES</x:v>
      </x:c>
      <x:c r="G6" s="19" t="str">
        <x:v>同型号允许集合</x:v>
      </x:c>
      <x:c r="H6" s="19" t="str">
        <x:v>整备质量不支持拆BOM</x:v>
      </x:c>
      <x:c r="I6" s="19" t="str">
        <x:v>座位与等级两维分开</x:v>
      </x:c>
      <x:c r="J6" s="19" t="str">
        <x:v>把5座直接命名Standard</x:v>
      </x:c>
      <x:c r="K6" s="19" t="str">
        <x:v>HIGH_BOUNDARY</x:v>
      </x:c>
      <x:c r="L6" s="19" t="str">
        <x:v>SIGNED</x:v>
      </x:c>
      <x:c r="M6" s="19" t="str">
        <x:v>官方座位卡</x:v>
      </x:c>
      <x:c r="N6" s="19" t="str">
        <x:v>121</x:v>
      </x:c>
    </x:row>
    <x:row r="7" ht="72" customHeight="1">
      <x:c r="A7" s="609" t="str">
        <x:v>S-33D-02</x:v>
      </x:c>
      <x:c r="B7" s="609" t="str">
        <x:v>固定顶5座商品化</x:v>
      </x:c>
      <x:c r="C7" s="609" t="str">
        <x:v>首发20%/生命周期35%的独立工作权重</x:v>
      </x:c>
      <x:c r="D7" s="609" t="str">
        <x:v>20% / 35%</x:v>
      </x:c>
      <x:c r="E7" s="609" t="str">
        <x:v>NO</x:v>
      </x:c>
      <x:c r="F7" s="609" t="str">
        <x:v>YES</x:v>
      </x:c>
      <x:c r="G7" s="609" t="str">
        <x:v>MIIT只证明可行</x:v>
      </x:c>
      <x:c r="H7" s="609" t="str">
        <x:v>不产生确定负成本</x:v>
      </x:c>
      <x:c r="I7" s="609" t="str">
        <x:v>N70大五座定位形成重叠</x:v>
      </x:c>
      <x:c r="J7" s="609" t="str">
        <x:v>将其并入Standard概率</x:v>
      </x:c>
      <x:c r="K7" s="609" t="str">
        <x:v>LOW_MEDIUM</x:v>
      </x:c>
      <x:c r="L7" s="609" t="str">
        <x:v>SIGNED_MODEL</x:v>
      </x:c>
      <x:c r="M7" s="609" t="str">
        <x:v>官方SKU</x:v>
      </x:c>
      <x:c r="N7" s="609" t="str">
        <x:v>121/122</x:v>
      </x:c>
    </x:row>
    <x:row r="8" ht="72" customHeight="1">
      <x:c r="A8" s="19" t="str">
        <x:v>S-33D-03</x:v>
      </x:c>
      <x:c r="B8" s="19" t="str">
        <x:v>Standard存在权重</x:v>
      </x:c>
      <x:c r="C8" s="19" t="str">
        <x:v>中心保留35%，敏感30%—45%</x:v>
      </x:c>
      <x:c r="D8" s="19" t="str">
        <x:v>35%</x:v>
      </x:c>
      <x:c r="E8" s="19" t="str">
        <x:v>NO</x:v>
      </x:c>
      <x:c r="F8" s="19" t="str">
        <x:v>YES</x:v>
      </x:c>
      <x:c r="G8" s="19" t="str">
        <x:v>无官方SKU</x:v>
      </x:c>
      <x:c r="H8" s="19" t="str">
        <x:v>配置门槛改变条件形态</x:v>
      </x:c>
      <x:c r="I8" s="19" t="str">
        <x:v>两方向证据抵消</x:v>
      </x:c>
      <x:c r="J8" s="19" t="str">
        <x:v>工作权重被误读为统计概率</x:v>
      </x:c>
      <x:c r="K8" s="19" t="str">
        <x:v>MEDIUM_LOW</x:v>
      </x:c>
      <x:c r="L8" s="19" t="str">
        <x:v>SIGNED_MODEL</x:v>
      </x:c>
      <x:c r="M8" s="19" t="str">
        <x:v>官方SKU</x:v>
      </x:c>
      <x:c r="N8" s="19" t="str">
        <x:v>120/125</x:v>
      </x:c>
    </x:row>
    <x:row r="9" ht="72" customHeight="1">
      <x:c r="A9" s="609" t="str">
        <x:v>S-33D-04</x:v>
      </x:c>
      <x:c r="B9" s="609" t="str">
        <x:v>Pro存在权重</x:v>
      </x:c>
      <x:c r="C9" s="609" t="str">
        <x:v>中心保留15%，敏感10%—20%</x:v>
      </x:c>
      <x:c r="D9" s="609" t="str">
        <x:v>15%</x:v>
      </x:c>
      <x:c r="E9" s="609" t="str">
        <x:v>NO</x:v>
      </x:c>
      <x:c r="F9" s="609" t="str">
        <x:v>YES</x:v>
      </x:c>
      <x:c r="G9" s="609" t="str">
        <x:v>无官方SKU</x:v>
      </x:c>
      <x:c r="H9" s="609" t="str">
        <x:v>需空悬或等价硬件台阶</x:v>
      </x:c>
      <x:c r="I9" s="609" t="str">
        <x:v>三档同底层是新做法</x:v>
      </x:c>
      <x:c r="J9" s="609" t="str">
        <x:v>为了凑三档虚构Pro</x:v>
      </x:c>
      <x:c r="K9" s="609" t="str">
        <x:v>LOW_MEDIUM</x:v>
      </x:c>
      <x:c r="L9" s="609" t="str">
        <x:v>SIGNED_MODEL</x:v>
      </x:c>
      <x:c r="M9" s="609" t="str">
        <x:v>官方SKU</x:v>
      </x:c>
      <x:c r="N9" s="609" t="str">
        <x:v>123/125</x:v>
      </x:c>
    </x:row>
    <x:row r="10" ht="72" customHeight="1">
      <x:c r="A10" s="19" t="str">
        <x:v>S-33D-05</x:v>
      </x:c>
      <x:c r="B10" s="19" t="str">
        <x:v>Standard悬架形态</x:v>
      </x:c>
      <x:c r="C10" s="19" t="str">
        <x:v>中心修正为螺簧+CDC</x:v>
      </x:c>
      <x:c r="D10" s="19" t="str">
        <x:v>68%</x:v>
      </x:c>
      <x:c r="E10" s="19" t="str">
        <x:v>YES_CONFIG</x:v>
      </x:c>
      <x:c r="F10" s="19" t="str">
        <x:v>YES</x:v>
      </x:c>
      <x:c r="G10" s="19" t="str">
        <x:v>YU7证明CDC不必与空悬捆绑</x:v>
      </x:c>
      <x:c r="H10" s="19" t="str">
        <x:v>空簧与CDC分开建模</x:v>
      </x:c>
      <x:c r="I10" s="19" t="str">
        <x:v>正式配置未披露</x:v>
      </x:c>
      <x:c r="J10" s="19" t="str">
        <x:v>把购车权益当永久标配</x:v>
      </x:c>
      <x:c r="K10" s="19" t="str">
        <x:v>MEDIUM_LOW</x:v>
      </x:c>
      <x:c r="L10" s="19" t="str">
        <x:v>SIGNED_REVISION</x:v>
      </x:c>
      <x:c r="M10" s="19" t="str">
        <x:v>正式悬架表</x:v>
      </x:c>
      <x:c r="N10" s="19" t="str">
        <x:v>121/122</x:v>
      </x:c>
    </x:row>
    <x:row r="11" ht="72" customHeight="1">
      <x:c r="A11" s="609" t="str">
        <x:v>S-33D-06</x:v>
      </x:c>
      <x:c r="B11" s="609" t="str">
        <x:v>Standard中位成本差</x:v>
      </x:c>
      <x:c r="C11" s="609" t="str">
        <x:v>从0.89万下修至0.52万元</x:v>
      </x:c>
      <x:c r="D11" s="614" t="n">
        <x:f>'122_版本形态敏感'!B30</x:f>
        <x:v>5200.874999999999</x:v>
      </x:c>
      <x:c r="E11" s="609" t="str">
        <x:v>YES_COST</x:v>
      </x:c>
      <x:c r="F11" s="609" t="str">
        <x:v>YES</x:v>
      </x:c>
      <x:c r="G11" s="609" t="str">
        <x:v>成本原子可回链</x:v>
      </x:c>
      <x:c r="H11" s="609" t="str">
        <x:v>5座不自动扣第三排</x:v>
      </x:c>
      <x:c r="I11" s="609" t="str">
        <x:v>商品价差不等于BOM</x:v>
      </x:c>
      <x:c r="J11" s="609" t="str">
        <x:v>将下修解读为Standard不可能</x:v>
      </x:c>
      <x:c r="K11" s="609" t="str">
        <x:v>MEDIUM_LOW</x:v>
      </x:c>
      <x:c r="L11" s="609" t="str">
        <x:v>SIGNED_REVISION</x:v>
      </x:c>
      <x:c r="M11" s="609" t="str">
        <x:v>拆车/配置</x:v>
      </x:c>
      <x:c r="N11" s="609" t="str">
        <x:v>105/122</x:v>
      </x:c>
    </x:row>
    <x:row r="12" ht="72" customHeight="1">
      <x:c r="A12" s="19" t="str">
        <x:v>S-33D-07</x:v>
      </x:c>
      <x:c r="B12" s="19" t="str">
        <x:v>N70—N90围栏</x:v>
      </x:c>
      <x:c r="C12" s="19" t="str">
        <x:v>改为软围栏；1万可接受、2万中心</x:v>
      </x:c>
      <x:c r="D12" s="19" t="str">
        <x:v>1—2万</x:v>
      </x:c>
      <x:c r="E12" s="19" t="str">
        <x:v>YES_PRICE_LOGIC</x:v>
      </x:c>
      <x:c r="F12" s="19" t="str">
        <x:v>YES</x:v>
      </x:c>
      <x:c r="G12" s="19" t="str">
        <x:v>跨车系交错有官方样本</x:v>
      </x:c>
      <x:c r="H12" s="19" t="str">
        <x:v>不用于倒推BOM</x:v>
      </x:c>
      <x:c r="I12" s="19" t="str">
        <x:v>需同时看阵容职责</x:v>
      </x:c>
      <x:c r="J12" s="19" t="str">
        <x:v>围栏被误读为硬下限</x:v>
      </x:c>
      <x:c r="K12" s="19" t="str">
        <x:v>MEDIUM</x:v>
      </x:c>
      <x:c r="L12" s="19" t="str">
        <x:v>SIGNED_FENCE</x:v>
      </x:c>
      <x:c r="M12" s="19" t="str">
        <x:v>正式价格</x:v>
      </x:c>
      <x:c r="N12" s="19" t="str">
        <x:v>124</x:v>
      </x:c>
    </x:row>
    <x:row r="13" ht="72" customHeight="1">
      <x:c r="A13" s="609" t="str">
        <x:v>S-33D-08</x:v>
      </x:c>
      <x:c r="B13" s="609" t="str">
        <x:v>Standard+Max价格向量</x:v>
      </x:c>
      <x:c r="C13" s="609" t="str">
        <x:v>26.99/29.99与25.99/28.99按60/40</x:v>
      </x:c>
      <x:c r="D13" s="609" t="str">
        <x:v>60% / 40%</x:v>
      </x:c>
      <x:c r="E13" s="609" t="str">
        <x:v>YES_CONDITIONAL</x:v>
      </x:c>
      <x:c r="F13" s="609" t="str">
        <x:v>YES</x:v>
      </x:c>
      <x:c r="G13" s="609" t="str">
        <x:v>不是统计频率</x:v>
      </x:c>
      <x:c r="H13" s="609" t="str">
        <x:v>两向量均保留3万</x:v>
      </x:c>
      <x:c r="I13" s="609" t="str">
        <x:v>一个偏围栏，一个偏性价比</x:v>
      </x:c>
      <x:c r="J13" s="609" t="str">
        <x:v>脱离阵容平均为26.59</x:v>
      </x:c>
      <x:c r="K13" s="609" t="str">
        <x:v>LOW_MEDIUM</x:v>
      </x:c>
      <x:c r="L13" s="609" t="str">
        <x:v>SIGNED_CONDITIONAL</x:v>
      </x:c>
      <x:c r="M13" s="609" t="str">
        <x:v>官方阵容</x:v>
      </x:c>
      <x:c r="N13" s="609" t="str">
        <x:v>125</x:v>
      </x:c>
    </x:row>
    <x:row r="14" ht="72" customHeight="1">
      <x:c r="A14" s="19" t="str">
        <x:v>S-33D-09</x:v>
      </x:c>
      <x:c r="B14" s="19" t="str">
        <x:v>三档价格向量</x:v>
      </x:c>
      <x:c r="C14" s="19" t="str">
        <x:v>25.99/27.99/29.99；严格情景可行性乘0.5</x:v>
      </x:c>
      <x:c r="D14" s="19" t="str">
        <x:v>2万 / 2万</x:v>
      </x:c>
      <x:c r="E14" s="19" t="str">
        <x:v>YES_CONDITIONAL</x:v>
      </x:c>
      <x:c r="F14" s="19" t="str">
        <x:v>YES</x:v>
      </x:c>
      <x:c r="G14" s="19" t="str">
        <x:v>价格心理可自洽</x:v>
      </x:c>
      <x:c r="H14" s="19" t="str">
        <x:v>配置需每步硬台阶</x:v>
      </x:c>
      <x:c r="I14" s="19" t="str">
        <x:v>现有小米无同底层三档直接先例</x:v>
      </x:c>
      <x:c r="J14" s="19" t="str">
        <x:v>价格整齐被误读为阵容必然</x:v>
      </x:c>
      <x:c r="K14" s="19" t="str">
        <x:v>LOW_MEDIUM</x:v>
      </x:c>
      <x:c r="L14" s="19" t="str">
        <x:v>SIGNED_CONDITIONAL</x:v>
      </x:c>
      <x:c r="M14" s="19" t="str">
        <x:v>官方配置</x:v>
      </x:c>
      <x:c r="N14" s="19" t="str">
        <x:v>123/125</x:v>
      </x:c>
    </x:row>
    <x:row r="15" ht="72" customHeight="1">
      <x:c r="A15" s="609" t="str">
        <x:v>S-33D-10</x:v>
      </x:c>
      <x:c r="B15" s="609" t="str">
        <x:v>Max价格职责</x:v>
      </x:c>
      <x:c r="C15" s="609" t="str">
        <x:v>仅Max时27.99；有低价SKU时29.99为锚</x:v>
      </x:c>
      <x:c r="D15" s="609" t="str">
        <x:v>27.99 / 29.99</x:v>
      </x:c>
      <x:c r="E15" s="609" t="str">
        <x:v>YES_CONDITIONAL</x:v>
      </x:c>
      <x:c r="F15" s="609" t="str">
        <x:v>YES</x:v>
      </x:c>
      <x:c r="G15" s="609" t="str">
        <x:v>3.3C同版边际仍有效</x:v>
      </x:c>
      <x:c r="H15" s="609" t="str">
        <x:v>下一阶段合并低价尾</x:v>
      </x:c>
      <x:c r="I15" s="609" t="str">
        <x:v>价格任务随阵容改变</x:v>
      </x:c>
      <x:c r="J15" s="609" t="str">
        <x:v>丢弃3.3C的26.99/25.99尾部</x:v>
      </x:c>
      <x:c r="K15" s="609" t="str">
        <x:v>MEDIUM</x:v>
      </x:c>
      <x:c r="L15" s="609" t="str">
        <x:v>SIGNED_CONDITIONAL</x:v>
      </x:c>
      <x:c r="M15" s="609" t="str">
        <x:v>阵容/正式价</x:v>
      </x:c>
      <x:c r="N15" s="609" t="str">
        <x:v>117/125</x:v>
      </x:c>
    </x:row>
    <x:row r="16" ht="72" customHeight="1">
      <x:c r="A16" s="19" t="str">
        <x:v>S-33D-11</x:v>
      </x:c>
      <x:c r="B16" s="19" t="str">
        <x:v>Phase 3.4A准入</x:v>
      </x:c>
      <x:c r="C16" s="19" t="str">
        <x:v>版本门槛与围栏已签核，可进入全系最终联合</x:v>
      </x:c>
      <x:c r="D16" s="19" t="str">
        <x:v>READY</x:v>
      </x:c>
      <x:c r="E16" s="19" t="str">
        <x:v>NO</x:v>
      </x:c>
      <x:c r="F16" s="19" t="str">
        <x:v>YES</x:v>
      </x:c>
      <x:c r="G16" s="19" t="str">
        <x:v>仍无正式官方售价</x:v>
      </x:c>
      <x:c r="H16" s="19" t="str">
        <x:v>需保留工程不确定性</x:v>
      </x:c>
      <x:c r="I16" s="19" t="str">
        <x:v>只能输出预测</x:v>
      </x:c>
      <x:c r="J16" s="19" t="str">
        <x:v>在3.3D就宣布官方结论</x:v>
      </x:c>
      <x:c r="K16" s="19" t="str">
        <x:v>HIGH_METHOD</x:v>
      </x:c>
      <x:c r="L16" s="19" t="str">
        <x:v>READY_PHASE_3.4A</x:v>
      </x:c>
      <x:c r="M16" s="19" t="str">
        <x:v>官方新信息</x:v>
      </x:c>
      <x:c r="N16" s="19" t="str">
        <x:v>126/128</x:v>
      </x:c>
    </x:row>
  </x:sheetData>
  <x:mergeCells>
    <x:mergeCell ref="A1:N1"/>
    <x:mergeCell ref="A2:N2"/>
    <x:mergeCell ref="A3:N3"/>
  </x:mergeCells>
  <x:conditionalFormatting sqref="E6:F16">
    <x:cfRule type="containsText" dxfId="3457" priority="1" operator="containsText" text="PASS"/>
    <x:cfRule type="containsText" dxfId="3458" priority="2" operator="containsText" text="SIGNED"/>
    <x:cfRule type="containsText" dxfId="3459" priority="3" operator="containsText" text="CONFIRMED"/>
    <x:cfRule type="containsText" dxfId="3460" priority="4" operator="containsText" text="OFFICIAL"/>
    <x:cfRule type="containsText" dxfId="3461" priority="5" operator="containsText" text="CENTRAL"/>
    <x:cfRule type="containsText" dxfId="3462" priority="6" operator="containsText" text="PRIMARY"/>
    <x:cfRule type="containsText" dxfId="3463" priority="7" operator="containsText" text="MODELLED"/>
    <x:cfRule type="containsText" dxfId="3464" priority="8" operator="containsText" text="CONDITIONAL"/>
    <x:cfRule type="containsText" dxfId="3465" priority="9" operator="containsText" text="SENSITIVITY"/>
    <x:cfRule type="containsText" dxfId="3466" priority="10" operator="containsText" text="PREDICTED"/>
    <x:cfRule type="containsText" dxfId="3467" priority="11" operator="containsText" text="MEDIUM"/>
    <x:cfRule type="containsText" dxfId="3468" priority="12" operator="containsText" text="WATCH"/>
    <x:cfRule type="containsText" dxfId="3469" priority="13" operator="containsText" text="EXCLUDED"/>
    <x:cfRule type="containsText" dxfId="3470" priority="14" operator="containsText" text="SEPARATE"/>
    <x:cfRule type="containsText" dxfId="3471" priority="15" operator="containsText" text="NO"/>
    <x:cfRule type="containsText" dxfId="3472" priority="16" operator="containsText" text="FAIL"/>
    <x:cfRule type="containsText" dxfId="3473" priority="17" operator="containsText" text="BLOCKED"/>
    <x:cfRule type="containsText" dxfId="3474" priority="18" operator="containsText" text="LOW"/>
  </x:conditionalFormatting>
  <x:conditionalFormatting sqref="K6:L16">
    <x:cfRule type="containsText" dxfId="3475" priority="19" operator="containsText" text="PASS"/>
    <x:cfRule type="containsText" dxfId="3476" priority="20" operator="containsText" text="SIGNED"/>
    <x:cfRule type="containsText" dxfId="3477" priority="21" operator="containsText" text="CONFIRMED"/>
    <x:cfRule type="containsText" dxfId="3478" priority="22" operator="containsText" text="OFFICIAL"/>
    <x:cfRule type="containsText" dxfId="3479" priority="23" operator="containsText" text="CENTRAL"/>
    <x:cfRule type="containsText" dxfId="3480" priority="24" operator="containsText" text="PRIMARY"/>
    <x:cfRule type="containsText" dxfId="3481" priority="25" operator="containsText" text="MODELLED"/>
    <x:cfRule type="containsText" dxfId="3482" priority="26" operator="containsText" text="CONDITIONAL"/>
    <x:cfRule type="containsText" dxfId="3483" priority="27" operator="containsText" text="SENSITIVITY"/>
    <x:cfRule type="containsText" dxfId="3484" priority="28" operator="containsText" text="PREDICTED"/>
    <x:cfRule type="containsText" dxfId="3485" priority="29" operator="containsText" text="MEDIUM"/>
    <x:cfRule type="containsText" dxfId="3486" priority="30" operator="containsText" text="WATCH"/>
    <x:cfRule type="containsText" dxfId="3487" priority="31" operator="containsText" text="EXCLUDED"/>
    <x:cfRule type="containsText" dxfId="3488" priority="32" operator="containsText" text="SEPARATE"/>
    <x:cfRule type="containsText" dxfId="3489" priority="33" operator="containsText" text="NO"/>
    <x:cfRule type="containsText" dxfId="3490" priority="34" operator="containsText" text="FAIL"/>
    <x:cfRule type="containsText" dxfId="3491" priority="35" operator="containsText" text="BLOCKED"/>
    <x:cfRule type="containsText" dxfId="3492" priority="36" operator="containsText" text="LOW"/>
  </x:conditionalFormatting>
  <x:pageMargins left="0.7" right="0.7" top="0.75" bottom="0.75" header="0.3" footer="0.3"/>
</x:worksheet>
</file>

<file path=xl/worksheets/sheet12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8" hidden="0" customWidth="1"/>
    <x:col min="3" max="3" width="50" hidden="0" customWidth="1"/>
    <x:col min="4" max="4" width="24" hidden="0" customWidth="1"/>
    <x:col min="5" max="5" width="24" hidden="0" customWidth="1"/>
    <x:col min="6" max="6" width="14" hidden="0" customWidth="1"/>
    <x:col min="7" max="7" width="14" hidden="0" customWidth="1"/>
    <x:col min="8" max="8" width="45" hidden="0" customWidth="1"/>
  </x:cols>
  <x:sheetData>
    <x:row r="1" ht="30" customHeight="1">
      <x:c r="A1" s="596" t="str">
        <x:v>128｜Phase 3.3D机器校验</x:v>
      </x:c>
      <x:c r="B1" s="596"/>
      <x:c r="C1" s="596"/>
      <x:c r="D1" s="596"/>
      <x:c r="E1" s="596"/>
      <x:c r="F1" s="596"/>
      <x:c r="G1" s="596"/>
      <x:c r="H1" s="596"/>
    </x:row>
    <x:row r="2" ht="22" customHeight="1">
      <x:c r="A2" s="599" t="str">
        <x:v>配置形态权重、阵容权重、价格边际、成本修正、工信部边界与官方价格状态</x:v>
      </x:c>
      <x:c r="B2" s="599"/>
      <x:c r="C2" s="599"/>
      <x:c r="D2" s="599"/>
      <x:c r="E2" s="599"/>
      <x:c r="F2" s="599"/>
      <x:c r="G2" s="599"/>
      <x:c r="H2" s="599"/>
    </x:row>
    <x:row r="3" ht="96" customHeight="1">
      <x:c r="A3" s="603" t="str">
        <x:v>校验通过只代表模型内部一致，不代表预测一定实现。本阶段的三个强边界是：5座不等于Standard；螺簧不等于取消CDC；升顶不进固定顶主价格树。</x:v>
      </x:c>
      <x:c r="B3" s="603"/>
      <x:c r="C3" s="603"/>
      <x:c r="D3" s="603"/>
      <x:c r="E3" s="603"/>
      <x:c r="F3" s="603"/>
      <x:c r="G3" s="603"/>
      <x:c r="H3" s="603"/>
    </x:row>
    <x:row r="5" ht="48" customHeight="1">
      <x:c r="A5" s="608" t="str">
        <x:v>check_id</x:v>
      </x:c>
      <x:c r="B5" s="608" t="str">
        <x:v>类别</x:v>
      </x:c>
      <x:c r="C5" s="608" t="str">
        <x:v>断言</x:v>
      </x:c>
      <x:c r="D5" s="608" t="str">
        <x:v>Expected</x:v>
      </x:c>
      <x:c r="E5" s="608" t="str">
        <x:v>Actual</x:v>
      </x:c>
      <x:c r="F5" s="608" t="str">
        <x:v>Result</x:v>
      </x:c>
      <x:c r="G5" s="608" t="str">
        <x:v>Severity</x:v>
      </x:c>
      <x:c r="H5" s="608" t="str">
        <x:v>说明</x:v>
      </x:c>
    </x:row>
    <x:row r="6" ht="40" customHeight="1">
      <x:c r="A6" s="19" t="str">
        <x:v>CHK-33D-01</x:v>
      </x:c>
      <x:c r="B6" s="19" t="str">
        <x:v>CONFIG</x:v>
      </x:c>
      <x:c r="C6" s="19" t="str">
        <x:v>Standard形态权重合计</x:v>
      </x:c>
      <x:c r="D6" s="19" t="n">
        <x:v>1</x:v>
      </x:c>
      <x:c r="E6" s="19" t="n">
        <x:f>SUM('122_版本形态敏感'!E6:E10)</x:f>
        <x:v>1</x:v>
      </x:c>
      <x:c r="F6" s="19" t="str">
        <x:f>IF(ABS(E6-D6)&lt;0.0001,"PASS","FAIL")</x:f>
        <x:v>PASS</x:v>
      </x:c>
      <x:c r="G6" s="19" t="str">
        <x:v>ERROR</x:v>
      </x:c>
      <x:c r="H6" s="19" t="str"/>
    </x:row>
    <x:row r="7" ht="40" customHeight="1">
      <x:c r="A7" s="609" t="str">
        <x:v>CHK-33D-02</x:v>
      </x:c>
      <x:c r="B7" s="609" t="str">
        <x:v>CONFIG</x:v>
      </x:c>
      <x:c r="C7" s="609" t="str">
        <x:v>7座条件权重</x:v>
      </x:c>
      <x:c r="D7" s="609" t="n">
        <x:v>0.75</x:v>
      </x:c>
      <x:c r="E7" s="609" t="n">
        <x:f>'122_版本形态敏感'!B24</x:f>
        <x:v>0.75</x:v>
      </x:c>
      <x:c r="F7" s="609" t="str">
        <x:f>IF(ABS(E7-D7)&lt;0.0001,"PASS","FAIL")</x:f>
        <x:v>PASS</x:v>
      </x:c>
      <x:c r="G7" s="609" t="str">
        <x:v>ERROR</x:v>
      </x:c>
      <x:c r="H7" s="609" t="str"/>
    </x:row>
    <x:row r="8" ht="40" customHeight="1">
      <x:c r="A8" s="19" t="str">
        <x:v>CHK-33D-03</x:v>
      </x:c>
      <x:c r="B8" s="19" t="str">
        <x:v>CONFIG</x:v>
      </x:c>
      <x:c r="C8" s="19" t="str">
        <x:v>5座条件权重</x:v>
      </x:c>
      <x:c r="D8" s="19" t="n">
        <x:v>0.25</x:v>
      </x:c>
      <x:c r="E8" s="19" t="n">
        <x:f>'122_版本形态敏感'!B25</x:f>
        <x:v>0.25</x:v>
      </x:c>
      <x:c r="F8" s="19" t="str">
        <x:f>IF(ABS(E8-D8)&lt;0.0001,"PASS","FAIL")</x:f>
        <x:v>PASS</x:v>
      </x:c>
      <x:c r="G8" s="19" t="str">
        <x:v>ERROR</x:v>
      </x:c>
      <x:c r="H8" s="19" t="str"/>
    </x:row>
    <x:row r="9" ht="40" customHeight="1">
      <x:c r="A9" s="609" t="str">
        <x:v>CHK-33D-04</x:v>
      </x:c>
      <x:c r="B9" s="609" t="str">
        <x:v>CONFIG</x:v>
      </x:c>
      <x:c r="C9" s="609" t="str">
        <x:v>螺簧+CDC权重</x:v>
      </x:c>
      <x:c r="D9" s="609" t="n">
        <x:v>0.68</x:v>
      </x:c>
      <x:c r="E9" s="609" t="n">
        <x:f>'122_版本形态敏感'!B26</x:f>
        <x:v>0.6799999999999999</x:v>
      </x:c>
      <x:c r="F9" s="609" t="str">
        <x:f>IF(ABS(E9-D9)&lt;0.0001,"PASS","FAIL")</x:f>
        <x:v>PASS</x:v>
      </x:c>
      <x:c r="G9" s="609" t="str">
        <x:v>ERROR</x:v>
      </x:c>
      <x:c r="H9" s="609" t="str"/>
    </x:row>
    <x:row r="10" ht="40" customHeight="1">
      <x:c r="A10" s="19" t="str">
        <x:v>CHK-33D-05</x:v>
      </x:c>
      <x:c r="B10" s="19" t="str">
        <x:v>CONFIG</x:v>
      </x:c>
      <x:c r="C10" s="19" t="str">
        <x:v>空悬+CDC权重</x:v>
      </x:c>
      <x:c r="D10" s="19" t="n">
        <x:v>0.27</x:v>
      </x:c>
      <x:c r="E10" s="19" t="n">
        <x:f>'122_版本形态敏感'!B27</x:f>
        <x:v>0.27</x:v>
      </x:c>
      <x:c r="F10" s="19" t="str">
        <x:f>IF(ABS(E10-D10)&lt;0.0001,"PASS","FAIL")</x:f>
        <x:v>PASS</x:v>
      </x:c>
      <x:c r="G10" s="19" t="str">
        <x:v>ERROR</x:v>
      </x:c>
      <x:c r="H10" s="19" t="str"/>
    </x:row>
    <x:row r="11" ht="40" customHeight="1">
      <x:c r="A11" s="609" t="str">
        <x:v>CHK-33D-06</x:v>
      </x:c>
      <x:c r="B11" s="609" t="str">
        <x:v>CONFIG</x:v>
      </x:c>
      <x:c r="C11" s="609" t="str">
        <x:v>螺簧+被动权重</x:v>
      </x:c>
      <x:c r="D11" s="609" t="n">
        <x:v>0.05</x:v>
      </x:c>
      <x:c r="E11" s="609" t="n">
        <x:f>'122_版本形态敏感'!B28</x:f>
        <x:v>0.05</x:v>
      </x:c>
      <x:c r="F11" s="609" t="str">
        <x:f>IF(ABS(E11-D11)&lt;0.0001,"PASS","FAIL")</x:f>
        <x:v>PASS</x:v>
      </x:c>
      <x:c r="G11" s="609" t="str">
        <x:v>ERROR</x:v>
      </x:c>
      <x:c r="H11" s="609" t="str"/>
    </x:row>
    <x:row r="12" ht="40" customHeight="1">
      <x:c r="A12" s="19" t="str">
        <x:v>CHK-33D-07</x:v>
      </x:c>
      <x:c r="B12" s="19" t="str">
        <x:v>COST</x:v>
      </x:c>
      <x:c r="C12" s="19" t="str">
        <x:v>螺簧+CDC中位物理BOM差</x:v>
      </x:c>
      <x:c r="D12" s="19" t="n">
        <x:v>6250</x:v>
      </x:c>
      <x:c r="E12" s="19" t="n">
        <x:f>'122_版本形态敏感'!F6</x:f>
        <x:v>6250</x:v>
      </x:c>
      <x:c r="F12" s="19" t="str">
        <x:f>IF(ABS(E12-D12)&lt;0.0001,"PASS","FAIL")</x:f>
        <x:v>PASS</x:v>
      </x:c>
      <x:c r="G12" s="19" t="str">
        <x:v>ERROR</x:v>
      </x:c>
      <x:c r="H12" s="19" t="str"/>
    </x:row>
    <x:row r="13" ht="40" customHeight="1">
      <x:c r="A13" s="609" t="str">
        <x:v>CHK-33D-08</x:v>
      </x:c>
      <x:c r="B13" s="609" t="str">
        <x:v>COST</x:v>
      </x:c>
      <x:c r="C13" s="609" t="str">
        <x:v>空悬+CDC中位物理BOM差</x:v>
      </x:c>
      <x:c r="D13" s="609" t="n">
        <x:v>1250</x:v>
      </x:c>
      <x:c r="E13" s="609" t="n">
        <x:f>'122_版本形态敏感'!F7</x:f>
        <x:v>1250</x:v>
      </x:c>
      <x:c r="F13" s="609" t="str">
        <x:f>IF(ABS(E13-D13)&lt;0.0001,"PASS","FAIL")</x:f>
        <x:v>PASS</x:v>
      </x:c>
      <x:c r="G13" s="609" t="str">
        <x:v>ERROR</x:v>
      </x:c>
      <x:c r="H13" s="609" t="str"/>
    </x:row>
    <x:row r="14" ht="40" customHeight="1">
      <x:c r="A14" s="19" t="str">
        <x:v>CHK-33D-09</x:v>
      </x:c>
      <x:c r="B14" s="19" t="str">
        <x:v>COST</x:v>
      </x:c>
      <x:c r="C14" s="19" t="str">
        <x:v>螺簧+被动中位物理BOM差</x:v>
      </x:c>
      <x:c r="D14" s="19" t="n">
        <x:v>8750</x:v>
      </x:c>
      <x:c r="E14" s="19" t="n">
        <x:f>'122_版本形态敏感'!F10</x:f>
        <x:v>8750</x:v>
      </x:c>
      <x:c r="F14" s="19" t="str">
        <x:f>IF(ABS(E14-D14)&lt;0.0001,"PASS","FAIL")</x:f>
        <x:v>PASS</x:v>
      </x:c>
      <x:c r="G14" s="19" t="str">
        <x:v>ERROR</x:v>
      </x:c>
      <x:c r="H14" s="19" t="str"/>
    </x:row>
    <x:row r="15" ht="40" customHeight="1">
      <x:c r="A15" s="609" t="str">
        <x:v>CHK-33D-10</x:v>
      </x:c>
      <x:c r="B15" s="609" t="str">
        <x:v>COST</x:v>
      </x:c>
      <x:c r="C15" s="609" t="str">
        <x:v>新加权中位成本差</x:v>
      </x:c>
      <x:c r="D15" s="609" t="n">
        <x:v>5200.875</x:v>
      </x:c>
      <x:c r="E15" s="609" t="n">
        <x:f>'122_版本形态敏感'!B30</x:f>
        <x:v>5200.874999999999</x:v>
      </x:c>
      <x:c r="F15" s="609" t="str">
        <x:f>IF(ABS(E15-D15)&lt;0.0001,"PASS","FAIL")</x:f>
        <x:v>PASS</x:v>
      </x:c>
      <x:c r="G15" s="609" t="str">
        <x:v>ERROR</x:v>
      </x:c>
      <x:c r="H15" s="609" t="str"/>
    </x:row>
    <x:row r="16" ht="40" customHeight="1">
      <x:c r="A16" s="19" t="str">
        <x:v>CHK-33D-11</x:v>
      </x:c>
      <x:c r="B16" s="19" t="str">
        <x:v>COST</x:v>
      </x:c>
      <x:c r="C16" s="19" t="str">
        <x:v>新成本驱动含税价差</x:v>
      </x:c>
      <x:c r="D16" s="19" t="n">
        <x:v>6285.01157142857</x:v>
      </x:c>
      <x:c r="E16" s="19" t="n">
        <x:f>'122_版本形态敏感'!B31</x:f>
        <x:v>6285.011571428571</x:v>
      </x:c>
      <x:c r="F16" s="19" t="str">
        <x:f>IF(ABS(E16-D16)&lt;0.0001,"PASS","FAIL")</x:f>
        <x:v>PASS</x:v>
      </x:c>
      <x:c r="G16" s="19" t="str">
        <x:v>ERROR</x:v>
      </x:c>
      <x:c r="H16" s="19" t="str"/>
    </x:row>
    <x:row r="17" ht="40" customHeight="1">
      <x:c r="A17" s="609" t="str">
        <x:v>CHK-33D-12</x:v>
      </x:c>
      <x:c r="B17" s="609" t="str">
        <x:v>COST</x:v>
      </x:c>
      <x:c r="C17" s="609" t="str">
        <x:v>新中值低于旧中值</x:v>
      </x:c>
      <x:c r="D17" s="609" t="n">
        <x:v>1</x:v>
      </x:c>
      <x:c r="E17" s="609" t="n">
        <x:f>IF('122_版本形态敏感'!B30&lt;'122_版本形态敏感'!B29,1,0)</x:f>
        <x:v>1</x:v>
      </x:c>
      <x:c r="F17" s="609" t="str">
        <x:f>IF(ABS(E17-D17)&lt;0.0001,"PASS","FAIL")</x:f>
        <x:v>PASS</x:v>
      </x:c>
      <x:c r="G17" s="609" t="str">
        <x:v>ERROR</x:v>
      </x:c>
      <x:c r="H17" s="609" t="str"/>
    </x:row>
    <x:row r="18" ht="40" customHeight="1">
      <x:c r="A18" s="19" t="str">
        <x:v>CHK-33D-13</x:v>
      </x:c>
      <x:c r="B18" s="19" t="str">
        <x:v>LINEUP</x:v>
      </x:c>
      <x:c r="C18" s="19" t="str">
        <x:v>阵容情景14权重合计</x:v>
      </x:c>
      <x:c r="D18" s="19" t="n">
        <x:v>1</x:v>
      </x:c>
      <x:c r="E18" s="19" t="n">
        <x:f>'125_阵容价格耦合'!F14</x:f>
        <x:v>1</x:v>
      </x:c>
      <x:c r="F18" s="19" t="str">
        <x:f>IF(ABS(E18-D18)&lt;0.0001,"PASS","FAIL")</x:f>
        <x:v>PASS</x:v>
      </x:c>
      <x:c r="G18" s="19" t="str">
        <x:v>ERROR</x:v>
      </x:c>
      <x:c r="H18" s="19" t="str"/>
    </x:row>
    <x:row r="19" ht="40" customHeight="1">
      <x:c r="A19" s="609" t="str">
        <x:v>CHK-33D-14</x:v>
      </x:c>
      <x:c r="B19" s="609" t="str">
        <x:v>PRICE</x:v>
      </x:c>
      <x:c r="C19" s="609" t="str">
        <x:v>Max代表价权重14合计</x:v>
      </x:c>
      <x:c r="D19" s="609" t="n">
        <x:v>1</x:v>
      </x:c>
      <x:c r="E19" s="609" t="n">
        <x:f>SUM('125_阵容价格耦合'!I14:K14)</x:f>
        <x:v>1</x:v>
      </x:c>
      <x:c r="F19" s="609" t="str">
        <x:f>IF(ABS(E19-D19)&lt;0.0001,"PASS","FAIL")</x:f>
        <x:v>PASS</x:v>
      </x:c>
      <x:c r="G19" s="609" t="str">
        <x:v>ERROR</x:v>
      </x:c>
      <x:c r="H19" s="609" t="str"/>
    </x:row>
    <x:row r="20" ht="40" customHeight="1">
      <x:c r="A20" s="19" t="str">
        <x:v>CHK-33D-15</x:v>
      </x:c>
      <x:c r="B20" s="19" t="str">
        <x:v>PRICE</x:v>
      </x:c>
      <x:c r="C20" s="19" t="str">
        <x:v>Standard条价权重14合计</x:v>
      </x:c>
      <x:c r="D20" s="19" t="n">
        <x:v>1</x:v>
      </x:c>
      <x:c r="E20" s="19" t="n">
        <x:f>SUM('125_阵容价格耦合'!L14:M14)</x:f>
        <x:v>1</x:v>
      </x:c>
      <x:c r="F20" s="19" t="str">
        <x:f>IF(ABS(E20-D20)&lt;0.0001,"PASS","FAIL")</x:f>
        <x:v>PASS</x:v>
      </x:c>
      <x:c r="G20" s="19" t="str">
        <x:v>ERROR</x:v>
      </x:c>
      <x:c r="H20" s="19" t="str"/>
    </x:row>
    <x:row r="21" ht="40" customHeight="1">
      <x:c r="A21" s="609" t="str">
        <x:v>CHK-33D-16</x:v>
      </x:c>
      <x:c r="B21" s="609" t="str">
        <x:v>LINEUP</x:v>
      </x:c>
      <x:c r="C21" s="609" t="str">
        <x:v>阵容情景15权重合计</x:v>
      </x:c>
      <x:c r="D21" s="609" t="n">
        <x:v>1</x:v>
      </x:c>
      <x:c r="E21" s="609" t="n">
        <x:f>'125_阵容价格耦合'!F15</x:f>
        <x:v>1</x:v>
      </x:c>
      <x:c r="F21" s="609" t="str">
        <x:f>IF(ABS(E21-D21)&lt;0.0001,"PASS","FAIL")</x:f>
        <x:v>PASS</x:v>
      </x:c>
      <x:c r="G21" s="609" t="str">
        <x:v>ERROR</x:v>
      </x:c>
      <x:c r="H21" s="609" t="str"/>
    </x:row>
    <x:row r="22" ht="40" customHeight="1">
      <x:c r="A22" s="19" t="str">
        <x:v>CHK-33D-17</x:v>
      </x:c>
      <x:c r="B22" s="19" t="str">
        <x:v>PRICE</x:v>
      </x:c>
      <x:c r="C22" s="19" t="str">
        <x:v>Max代表价权重15合计</x:v>
      </x:c>
      <x:c r="D22" s="19" t="n">
        <x:v>1</x:v>
      </x:c>
      <x:c r="E22" s="19" t="n">
        <x:f>SUM('125_阵容价格耦合'!I15:K15)</x:f>
        <x:v>1</x:v>
      </x:c>
      <x:c r="F22" s="19" t="str">
        <x:f>IF(ABS(E22-D22)&lt;0.0001,"PASS","FAIL")</x:f>
        <x:v>PASS</x:v>
      </x:c>
      <x:c r="G22" s="19" t="str">
        <x:v>ERROR</x:v>
      </x:c>
      <x:c r="H22" s="19" t="str"/>
    </x:row>
    <x:row r="23" ht="40" customHeight="1">
      <x:c r="A23" s="609" t="str">
        <x:v>CHK-33D-18</x:v>
      </x:c>
      <x:c r="B23" s="609" t="str">
        <x:v>PRICE</x:v>
      </x:c>
      <x:c r="C23" s="609" t="str">
        <x:v>Standard条价权重15合计</x:v>
      </x:c>
      <x:c r="D23" s="609" t="n">
        <x:v>1</x:v>
      </x:c>
      <x:c r="E23" s="609" t="n">
        <x:f>SUM('125_阵容价格耦合'!L15:M15)</x:f>
        <x:v>1</x:v>
      </x:c>
      <x:c r="F23" s="609" t="str">
        <x:f>IF(ABS(E23-D23)&lt;0.0001,"PASS","FAIL")</x:f>
        <x:v>PASS</x:v>
      </x:c>
      <x:c r="G23" s="609" t="str">
        <x:v>ERROR</x:v>
      </x:c>
      <x:c r="H23" s="609" t="str"/>
    </x:row>
    <x:row r="24" ht="40" customHeight="1">
      <x:c r="A24" s="19" t="str">
        <x:v>CHK-33D-19</x:v>
      </x:c>
      <x:c r="B24" s="19" t="str">
        <x:v>LINEUP</x:v>
      </x:c>
      <x:c r="C24" s="19" t="str">
        <x:v>阵容情景16权重合计</x:v>
      </x:c>
      <x:c r="D24" s="19" t="n">
        <x:v>1</x:v>
      </x:c>
      <x:c r="E24" s="19" t="n">
        <x:f>'125_阵容价格耦合'!F16</x:f>
        <x:v>1</x:v>
      </x:c>
      <x:c r="F24" s="19" t="str">
        <x:f>IF(ABS(E24-D24)&lt;0.0001,"PASS","FAIL")</x:f>
        <x:v>PASS</x:v>
      </x:c>
      <x:c r="G24" s="19" t="str">
        <x:v>ERROR</x:v>
      </x:c>
      <x:c r="H24" s="19" t="str"/>
    </x:row>
    <x:row r="25" ht="40" customHeight="1">
      <x:c r="A25" s="609" t="str">
        <x:v>CHK-33D-20</x:v>
      </x:c>
      <x:c r="B25" s="609" t="str">
        <x:v>PRICE</x:v>
      </x:c>
      <x:c r="C25" s="609" t="str">
        <x:v>Max代表价权重16合计</x:v>
      </x:c>
      <x:c r="D25" s="609" t="n">
        <x:v>1</x:v>
      </x:c>
      <x:c r="E25" s="609" t="n">
        <x:f>SUM('125_阵容价格耦合'!I16:K16)</x:f>
        <x:v>1</x:v>
      </x:c>
      <x:c r="F25" s="609" t="str">
        <x:f>IF(ABS(E25-D25)&lt;0.0001,"PASS","FAIL")</x:f>
        <x:v>PASS</x:v>
      </x:c>
      <x:c r="G25" s="609" t="str">
        <x:v>ERROR</x:v>
      </x:c>
      <x:c r="H25" s="609" t="str"/>
    </x:row>
    <x:row r="26" ht="40" customHeight="1">
      <x:c r="A26" s="19" t="str">
        <x:v>CHK-33D-21</x:v>
      </x:c>
      <x:c r="B26" s="19" t="str">
        <x:v>PRICE</x:v>
      </x:c>
      <x:c r="C26" s="19" t="str">
        <x:v>Standard条价权重16合计</x:v>
      </x:c>
      <x:c r="D26" s="19" t="n">
        <x:v>1</x:v>
      </x:c>
      <x:c r="E26" s="19" t="n">
        <x:f>SUM('125_阵容价格耦合'!L16:M16)</x:f>
        <x:v>1</x:v>
      </x:c>
      <x:c r="F26" s="19" t="str">
        <x:f>IF(ABS(E26-D26)&lt;0.0001,"PASS","FAIL")</x:f>
        <x:v>PASS</x:v>
      </x:c>
      <x:c r="G26" s="19" t="str">
        <x:v>ERROR</x:v>
      </x:c>
      <x:c r="H26" s="19" t="str"/>
    </x:row>
    <x:row r="27" ht="40" customHeight="1">
      <x:c r="A27" s="609" t="str">
        <x:v>CHK-33D-22</x:v>
      </x:c>
      <x:c r="B27" s="609" t="str">
        <x:v>LINEUP</x:v>
      </x:c>
      <x:c r="C27" s="609" t="str">
        <x:v>中心P(Standard)</x:v>
      </x:c>
      <x:c r="D27" s="609" t="n">
        <x:v>0.35</x:v>
      </x:c>
      <x:c r="E27" s="609" t="n">
        <x:f>'125_阵容价格耦合'!G15</x:f>
        <x:v>0.35</x:v>
      </x:c>
      <x:c r="F27" s="609" t="str">
        <x:f>IF(ABS(E27-D27)&lt;0.0001,"PASS","FAIL")</x:f>
        <x:v>PASS</x:v>
      </x:c>
      <x:c r="G27" s="609" t="str">
        <x:v>ERROR</x:v>
      </x:c>
      <x:c r="H27" s="609" t="str"/>
    </x:row>
    <x:row r="28" ht="40" customHeight="1">
      <x:c r="A28" s="19" t="str">
        <x:v>CHK-33D-23</x:v>
      </x:c>
      <x:c r="B28" s="19" t="str">
        <x:v>LINEUP</x:v>
      </x:c>
      <x:c r="C28" s="19" t="str">
        <x:v>中心P(Pro)</x:v>
      </x:c>
      <x:c r="D28" s="19" t="n">
        <x:v>0.15</x:v>
      </x:c>
      <x:c r="E28" s="19" t="n">
        <x:f>'125_阵容价格耦合'!H15</x:f>
        <x:v>0.15000000000000002</x:v>
      </x:c>
      <x:c r="F28" s="19" t="str">
        <x:f>IF(ABS(E28-D28)&lt;0.0001,"PASS","FAIL")</x:f>
        <x:v>PASS</x:v>
      </x:c>
      <x:c r="G28" s="19" t="str">
        <x:v>ERROR</x:v>
      </x:c>
      <x:c r="H28" s="19" t="str"/>
    </x:row>
    <x:row r="29" ht="40" customHeight="1">
      <x:c r="A29" s="609" t="str">
        <x:v>CHK-33D-24</x:v>
      </x:c>
      <x:c r="B29" s="609" t="str">
        <x:v>PRICE</x:v>
      </x:c>
      <x:c r="C29" s="609" t="str">
        <x:v>中心Max 27.99代表权重</x:v>
      </x:c>
      <x:c r="D29" s="609" t="n">
        <x:v>0.6</x:v>
      </x:c>
      <x:c r="E29" s="609" t="n">
        <x:f>'125_阵容价格耦合'!I15</x:f>
        <x:v>0.6</x:v>
      </x:c>
      <x:c r="F29" s="609" t="str">
        <x:f>IF(ABS(E29-D29)&lt;0.0001,"PASS","FAIL")</x:f>
        <x:v>PASS</x:v>
      </x:c>
      <x:c r="G29" s="609" t="str">
        <x:v>ERROR</x:v>
      </x:c>
      <x:c r="H29" s="609" t="str"/>
    </x:row>
    <x:row r="30" ht="40" customHeight="1">
      <x:c r="A30" s="19" t="str">
        <x:v>CHK-33D-25</x:v>
      </x:c>
      <x:c r="B30" s="19" t="str">
        <x:v>PRICE</x:v>
      </x:c>
      <x:c r="C30" s="19" t="str">
        <x:v>中心Max 28.99代表权重</x:v>
      </x:c>
      <x:c r="D30" s="19" t="n">
        <x:v>0.1</x:v>
      </x:c>
      <x:c r="E30" s="19" t="n">
        <x:f>'125_阵容价格耦合'!J15</x:f>
        <x:v>0.1</x:v>
      </x:c>
      <x:c r="F30" s="19" t="str">
        <x:f>IF(ABS(E30-D30)&lt;0.0001,"PASS","FAIL")</x:f>
        <x:v>PASS</x:v>
      </x:c>
      <x:c r="G30" s="19" t="str">
        <x:v>ERROR</x:v>
      </x:c>
      <x:c r="H30" s="19" t="str"/>
    </x:row>
    <x:row r="31" ht="40" customHeight="1">
      <x:c r="A31" s="609" t="str">
        <x:v>CHK-33D-26</x:v>
      </x:c>
      <x:c r="B31" s="609" t="str">
        <x:v>PRICE</x:v>
      </x:c>
      <x:c r="C31" s="609" t="str">
        <x:v>中心Max 29.99代表权重</x:v>
      </x:c>
      <x:c r="D31" s="609" t="n">
        <x:v>0.3</x:v>
      </x:c>
      <x:c r="E31" s="609" t="n">
        <x:f>'125_阵容价格耦合'!K15</x:f>
        <x:v>0.30000000000000004</x:v>
      </x:c>
      <x:c r="F31" s="609" t="str">
        <x:f>IF(ABS(E31-D31)&lt;0.0001,"PASS","FAIL")</x:f>
        <x:v>PASS</x:v>
      </x:c>
      <x:c r="G31" s="609" t="str">
        <x:v>ERROR</x:v>
      </x:c>
      <x:c r="H31" s="609" t="str"/>
    </x:row>
    <x:row r="32" ht="40" customHeight="1">
      <x:c r="A32" s="19" t="str">
        <x:v>CHK-33D-27</x:v>
      </x:c>
      <x:c r="B32" s="19" t="str">
        <x:v>PRICE</x:v>
      </x:c>
      <x:c r="C32" s="19" t="str">
        <x:v>中心P(Standard=25.99|Standard存在)</x:v>
      </x:c>
      <x:c r="D32" s="19" t="n">
        <x:v>0.5714285714285714</x:v>
      </x:c>
      <x:c r="E32" s="19" t="n">
        <x:f>'125_阵容价格耦合'!L15</x:f>
        <x:v>0.5714285714285715</x:v>
      </x:c>
      <x:c r="F32" s="19" t="str">
        <x:f>IF(ABS(E32-D32)&lt;0.0001,"PASS","FAIL")</x:f>
        <x:v>PASS</x:v>
      </x:c>
      <x:c r="G32" s="19" t="str">
        <x:v>ERROR</x:v>
      </x:c>
      <x:c r="H32" s="19" t="str"/>
    </x:row>
    <x:row r="33" ht="40" customHeight="1">
      <x:c r="A33" s="609" t="str">
        <x:v>CHK-33D-28</x:v>
      </x:c>
      <x:c r="B33" s="609" t="str">
        <x:v>PRICE</x:v>
      </x:c>
      <x:c r="C33" s="609" t="str">
        <x:v>中心P(Standard=26.99|Standard存在)</x:v>
      </x:c>
      <x:c r="D33" s="609" t="n">
        <x:v>0.42857142857142855</x:v>
      </x:c>
      <x:c r="E33" s="609" t="n">
        <x:f>'125_阵容价格耦合'!M15</x:f>
        <x:v>0.4285714285714286</x:v>
      </x:c>
      <x:c r="F33" s="609" t="str">
        <x:f>IF(ABS(E33-D33)&lt;0.0001,"PASS","FAIL")</x:f>
        <x:v>PASS</x:v>
      </x:c>
      <x:c r="G33" s="609" t="str">
        <x:v>ERROR</x:v>
      </x:c>
      <x:c r="H33" s="609" t="str"/>
    </x:row>
    <x:row r="34" ht="40" customHeight="1">
      <x:c r="A34" s="19" t="str">
        <x:v>CHK-33D-29</x:v>
      </x:c>
      <x:c r="B34" s="19" t="str">
        <x:v>LADDER</x:v>
      </x:c>
      <x:c r="C34" s="19" t="str">
        <x:v>SU7 Standard→Pro价差</x:v>
      </x:c>
      <x:c r="D34" s="19" t="n">
        <x:v>30000</x:v>
      </x:c>
      <x:c r="E34" s="19" t="n">
        <x:f>'123_小米梯度门槛'!G6</x:f>
        <x:v>30000</x:v>
      </x:c>
      <x:c r="F34" s="19" t="str">
        <x:f>IF(ABS(E34-D34)&lt;0.0001,"PASS","FAIL")</x:f>
        <x:v>PASS</x:v>
      </x:c>
      <x:c r="G34" s="19" t="str">
        <x:v>ERROR</x:v>
      </x:c>
      <x:c r="H34" s="19" t="str"/>
    </x:row>
    <x:row r="35" ht="40" customHeight="1">
      <x:c r="A35" s="609" t="str">
        <x:v>CHK-33D-30</x:v>
      </x:c>
      <x:c r="B35" s="609" t="str">
        <x:v>LADDER</x:v>
      </x:c>
      <x:c r="C35" s="609" t="str">
        <x:v>SU7 Pro→Max价差</x:v>
      </x:c>
      <x:c r="D35" s="609" t="n">
        <x:v>54000</x:v>
      </x:c>
      <x:c r="E35" s="609" t="n">
        <x:f>'123_小米梯度门槛'!G7</x:f>
        <x:v>54000</x:v>
      </x:c>
      <x:c r="F35" s="609" t="str">
        <x:f>IF(ABS(E35-D35)&lt;0.0001,"PASS","FAIL")</x:f>
        <x:v>PASS</x:v>
      </x:c>
      <x:c r="G35" s="609" t="str">
        <x:v>ERROR</x:v>
      </x:c>
      <x:c r="H35" s="609" t="str"/>
    </x:row>
    <x:row r="36" ht="40" customHeight="1">
      <x:c r="A36" s="19" t="str">
        <x:v>CHK-33D-31</x:v>
      </x:c>
      <x:c r="B36" s="19" t="str">
        <x:v>LADDER</x:v>
      </x:c>
      <x:c r="C36" s="19" t="str">
        <x:v>YU7 Standard→长续航价差</x:v>
      </x:c>
      <x:c r="D36" s="19" t="n">
        <x:v>20000</x:v>
      </x:c>
      <x:c r="E36" s="19" t="n">
        <x:f>'123_小米梯度门槛'!G8</x:f>
        <x:v>20000</x:v>
      </x:c>
      <x:c r="F36" s="19" t="str">
        <x:f>IF(ABS(E36-D36)&lt;0.0001,"PASS","FAIL")</x:f>
        <x:v>PASS</x:v>
      </x:c>
      <x:c r="G36" s="19" t="str">
        <x:v>ERROR</x:v>
      </x:c>
      <x:c r="H36" s="19" t="str"/>
    </x:row>
    <x:row r="37" ht="40" customHeight="1">
      <x:c r="A37" s="609" t="str">
        <x:v>CHK-33D-32</x:v>
      </x:c>
      <x:c r="B37" s="609" t="str">
        <x:v>LADDER</x:v>
      </x:c>
      <x:c r="C37" s="609" t="str">
        <x:v>YU7长续航→Pro价差</x:v>
      </x:c>
      <x:c r="D37" s="609" t="n">
        <x:v>26400</x:v>
      </x:c>
      <x:c r="E37" s="609" t="n">
        <x:f>'123_小米梯度门槛'!G9</x:f>
        <x:v>26400</x:v>
      </x:c>
      <x:c r="F37" s="609" t="str">
        <x:f>IF(ABS(E37-D37)&lt;0.0001,"PASS","FAIL")</x:f>
        <x:v>PASS</x:v>
      </x:c>
      <x:c r="G37" s="609" t="str">
        <x:v>ERROR</x:v>
      </x:c>
      <x:c r="H37" s="609" t="str"/>
    </x:row>
    <x:row r="38" ht="40" customHeight="1">
      <x:c r="A38" s="19" t="str">
        <x:v>CHK-33D-33</x:v>
      </x:c>
      <x:c r="B38" s="19" t="str">
        <x:v>LADDER</x:v>
      </x:c>
      <x:c r="C38" s="19" t="str">
        <x:v>YU7 Pro→Max价差</x:v>
      </x:c>
      <x:c r="D38" s="19" t="n">
        <x:v>50000</x:v>
      </x:c>
      <x:c r="E38" s="19" t="n">
        <x:f>'123_小米梯度门槛'!G10</x:f>
        <x:v>50000</x:v>
      </x:c>
      <x:c r="F38" s="19" t="str">
        <x:f>IF(ABS(E38-D38)&lt;0.0001,"PASS","FAIL")</x:f>
        <x:v>PASS</x:v>
      </x:c>
      <x:c r="G38" s="19" t="str">
        <x:v>ERROR</x:v>
      </x:c>
      <x:c r="H38" s="19" t="str"/>
    </x:row>
    <x:row r="39" ht="40" customHeight="1">
      <x:c r="A39" s="609" t="str">
        <x:v>CHK-33D-34</x:v>
      </x:c>
      <x:c r="B39" s="609" t="str">
        <x:v>FENCE</x:v>
      </x:c>
      <x:c r="C39" s="609" t="str">
        <x:v>SU7 Pro→YU7长续航跨车系价差</x:v>
      </x:c>
      <x:c r="D39" s="609" t="n">
        <x:v>3600</x:v>
      </x:c>
      <x:c r="E39" s="609" t="n">
        <x:f>'124_N70N90价格围栏'!G6</x:f>
        <x:v>3600</x:v>
      </x:c>
      <x:c r="F39" s="609" t="str">
        <x:f>IF(ABS(E39-D39)&lt;0.0001,"PASS","FAIL")</x:f>
        <x:v>PASS</x:v>
      </x:c>
      <x:c r="G39" s="609" t="str">
        <x:v>ERROR</x:v>
      </x:c>
      <x:c r="H39" s="609" t="str"/>
    </x:row>
    <x:row r="40" ht="40" customHeight="1">
      <x:c r="A40" s="19" t="str">
        <x:v>CHK-33D-35</x:v>
      </x:c>
      <x:c r="B40" s="19" t="str">
        <x:v>FENCE</x:v>
      </x:c>
      <x:c r="C40" s="19" t="str">
        <x:v>YU7 Pro→SU7 Max价差</x:v>
      </x:c>
      <x:c r="D40" s="19" t="n">
        <x:v>24000</x:v>
      </x:c>
      <x:c r="E40" s="19" t="n">
        <x:f>'124_N70N90价格围栏'!G7</x:f>
        <x:v>24000</x:v>
      </x:c>
      <x:c r="F40" s="19" t="str">
        <x:f>IF(ABS(E40-D40)&lt;0.0001,"PASS","FAIL")</x:f>
        <x:v>PASS</x:v>
      </x:c>
      <x:c r="G40" s="19" t="str">
        <x:v>ERROR</x:v>
      </x:c>
      <x:c r="H40" s="19" t="str"/>
    </x:row>
    <x:row r="41" ht="40" customHeight="1">
      <x:c r="A41" s="609" t="str">
        <x:v>CHK-33D-36</x:v>
      </x:c>
      <x:c r="B41" s="609" t="str">
        <x:v>FENCE</x:v>
      </x:c>
      <x:c r="C41" s="609" t="str">
        <x:v>SU7 Max→YU7 Max价差</x:v>
      </x:c>
      <x:c r="D41" s="609" t="n">
        <x:v>26000</x:v>
      </x:c>
      <x:c r="E41" s="609" t="n">
        <x:f>'124_N70N90价格围栏'!G8</x:f>
        <x:v>26000</x:v>
      </x:c>
      <x:c r="F41" s="609" t="str">
        <x:f>IF(ABS(E41-D41)&lt;0.0001,"PASS","FAIL")</x:f>
        <x:v>PASS</x:v>
      </x:c>
      <x:c r="G41" s="609" t="str">
        <x:v>ERROR</x:v>
      </x:c>
      <x:c r="H41" s="609" t="str"/>
    </x:row>
    <x:row r="42" ht="40" customHeight="1">
      <x:c r="A42" s="19" t="str">
        <x:v>CHK-33D-37</x:v>
      </x:c>
      <x:c r="B42" s="19" t="str">
        <x:v>FENCE</x:v>
      </x:c>
      <x:c r="C42" s="19" t="str">
        <x:v>N70 Max预售→N90 Max预售价差</x:v>
      </x:c>
      <x:c r="D42" s="19" t="n">
        <x:v>40000</x:v>
      </x:c>
      <x:c r="E42" s="19" t="n">
        <x:f>'124_N70N90价格围栏'!G9</x:f>
        <x:v>40000</x:v>
      </x:c>
      <x:c r="F42" s="19" t="str">
        <x:f>IF(ABS(E42-D42)&lt;0.0001,"PASS","FAIL")</x:f>
        <x:v>PASS</x:v>
      </x:c>
      <x:c r="G42" s="19" t="str">
        <x:v>ERROR</x:v>
      </x:c>
      <x:c r="H42" s="19" t="str"/>
    </x:row>
    <x:row r="43" ht="40" customHeight="1">
      <x:c r="A43" s="609" t="str">
        <x:v>CHK-33D-38</x:v>
      </x:c>
      <x:c r="B43" s="609" t="str">
        <x:v>FENCE</x:v>
      </x:c>
      <x:c r="C43" s="609" t="str">
        <x:v>PF-01 Standard—N70 Max=1万</x:v>
      </x:c>
      <x:c r="D43" s="609" t="n">
        <x:v>10000</x:v>
      </x:c>
      <x:c r="E43" s="609" t="n">
        <x:f>'124_N70N90价格围栏'!F19</x:f>
        <x:v>10000</x:v>
      </x:c>
      <x:c r="F43" s="609" t="str">
        <x:f>IF(ABS(E43-D43)&lt;0.0001,"PASS","FAIL")</x:f>
        <x:v>PASS</x:v>
      </x:c>
      <x:c r="G43" s="609" t="str">
        <x:v>ERROR</x:v>
      </x:c>
      <x:c r="H43" s="609" t="str"/>
    </x:row>
    <x:row r="44" ht="40" customHeight="1">
      <x:c r="A44" s="19" t="str">
        <x:v>CHK-33D-39</x:v>
      </x:c>
      <x:c r="B44" s="19" t="str">
        <x:v>FENCE</x:v>
      </x:c>
      <x:c r="C44" s="19" t="str">
        <x:v>PF-02 Standard—N70 Max=2万</x:v>
      </x:c>
      <x:c r="D44" s="19" t="n">
        <x:v>20000</x:v>
      </x:c>
      <x:c r="E44" s="19" t="n">
        <x:f>'124_N70N90价格围栏'!F20</x:f>
        <x:v>20000</x:v>
      </x:c>
      <x:c r="F44" s="19" t="str">
        <x:f>IF(ABS(E44-D44)&lt;0.0001,"PASS","FAIL")</x:f>
        <x:v>PASS</x:v>
      </x:c>
      <x:c r="G44" s="19" t="str">
        <x:v>ERROR</x:v>
      </x:c>
      <x:c r="H44" s="19" t="str"/>
    </x:row>
    <x:row r="45" ht="40" customHeight="1">
      <x:c r="A45" s="609" t="str">
        <x:v>CHK-33D-40</x:v>
      </x:c>
      <x:c r="B45" s="609" t="str">
        <x:v>BOUNDARY</x:v>
      </x:c>
      <x:c r="C45" s="609" t="str">
        <x:v>升顶进固定顶主价格树数量</x:v>
      </x:c>
      <x:c r="D45" s="609" t="n">
        <x:v>0</x:v>
      </x:c>
      <x:c r="E45" s="609" t="n">
        <x:f>0</x:f>
        <x:v>0</x:v>
      </x:c>
      <x:c r="F45" s="609" t="str">
        <x:f>IF(ABS(E45-D45)&lt;0.0001,"PASS","FAIL")</x:f>
        <x:v>PASS</x:v>
      </x:c>
      <x:c r="G45" s="609" t="str">
        <x:v>ERROR</x:v>
      </x:c>
      <x:c r="H45" s="609" t="str"/>
    </x:row>
    <x:row r="46" ht="40" customHeight="1">
      <x:c r="A46" s="19" t="str">
        <x:v>CHK-33D-41</x:v>
      </x:c>
      <x:c r="B46" s="19" t="str">
        <x:v>BOUNDARY</x:v>
      </x:c>
      <x:c r="C46" s="19" t="str">
        <x:v>Standard/Pro官方确认SKU数量</x:v>
      </x:c>
      <x:c r="D46" s="19" t="n">
        <x:v>0</x:v>
      </x:c>
      <x:c r="E46" s="19" t="n">
        <x:f>0</x:f>
        <x:v>0</x:v>
      </x:c>
      <x:c r="F46" s="19" t="str">
        <x:f>IF(ABS(E46-D46)&lt;0.0001,"PASS","FAIL")</x:f>
        <x:v>PASS</x:v>
      </x:c>
      <x:c r="G46" s="19" t="str">
        <x:v>ERROR</x:v>
      </x:c>
      <x:c r="H46" s="19" t="str"/>
    </x:row>
    <x:row r="47" ht="40" customHeight="1">
      <x:c r="A47" s="609" t="str">
        <x:v>CHK-33D-42</x:v>
      </x:c>
      <x:c r="B47" s="609" t="str">
        <x:v>GATE</x:v>
      </x:c>
      <x:c r="C47" s="609" t="str">
        <x:v>正式官方价格数量</x:v>
      </x:c>
      <x:c r="D47" s="609" t="n">
        <x:v>0</x:v>
      </x:c>
      <x:c r="E47" s="609" t="n">
        <x:f>0</x:f>
        <x:v>0</x:v>
      </x:c>
      <x:c r="F47" s="609" t="str">
        <x:f>IF(ABS(E47-D47)&lt;0.0001,"PASS","FAIL")</x:f>
        <x:v>PASS</x:v>
      </x:c>
      <x:c r="G47" s="609" t="str">
        <x:v>ERROR</x:v>
      </x:c>
      <x:c r="H47" s="609" t="str"/>
    </x:row>
    <x:row r="50" ht="44" customHeight="1">
      <x:c r="A50" s="19" t="str">
        <x:v>校验项总数</x:v>
      </x:c>
      <x:c r="B50" s="19" t="n">
        <x:v>42</x:v>
      </x:c>
      <x:c r="C50" s="19" t="str"/>
      <x:c r="D50" s="19" t="str"/>
      <x:c r="E50" s="19" t="str"/>
      <x:c r="F50" s="19" t="str"/>
      <x:c r="G50" s="19" t="str"/>
      <x:c r="H50" s="19" t="str"/>
    </x:row>
    <x:row r="51" ht="44" customHeight="1">
      <x:c r="A51" s="609" t="str">
        <x:v>FAIL数量</x:v>
      </x:c>
      <x:c r="B51" s="609" t="n">
        <x:f>COUNTIF(F6:F47,"FAIL")</x:f>
        <x:v>0</x:v>
      </x:c>
      <x:c r="C51" s="609" t="str"/>
      <x:c r="D51" s="609" t="str"/>
      <x:c r="E51" s="609" t="str"/>
      <x:c r="F51" s="609" t="str"/>
      <x:c r="G51" s="609" t="str"/>
      <x:c r="H51" s="609" t="str"/>
    </x:row>
    <x:row r="52" ht="44" customHeight="1">
      <x:c r="A52" s="19" t="str">
        <x:v>公式错误（导出后扫描）</x:v>
      </x:c>
      <x:c r="B52" s="19" t="n">
        <x:v>0</x:v>
      </x:c>
      <x:c r="C52" s="19" t="str"/>
      <x:c r="D52" s="19" t="str"/>
      <x:c r="E52" s="19" t="str"/>
      <x:c r="F52" s="19" t="str"/>
      <x:c r="G52" s="19" t="str"/>
      <x:c r="H52" s="19" t="str"/>
    </x:row>
    <x:row r="53" ht="44" customHeight="1">
      <x:c r="A53" s="609" t="str">
        <x:v>边界越界数量</x:v>
      </x:c>
      <x:c r="B53" s="609" t="n">
        <x:v>0</x:v>
      </x:c>
      <x:c r="C53" s="609" t="str"/>
      <x:c r="D53" s="609" t="str"/>
      <x:c r="E53" s="609" t="str"/>
      <x:c r="F53" s="609" t="str"/>
      <x:c r="G53" s="609" t="str"/>
      <x:c r="H53" s="609" t="str"/>
    </x:row>
    <x:row r="54" ht="44" customHeight="1">
      <x:c r="A54" s="19" t="str">
        <x:v>正式官方价格数量</x:v>
      </x:c>
      <x:c r="B54" s="19" t="n">
        <x:v>0</x:v>
      </x:c>
      <x:c r="C54" s="19" t="str"/>
      <x:c r="D54" s="19" t="str"/>
      <x:c r="E54" s="19" t="str"/>
      <x:c r="F54" s="19" t="str"/>
      <x:c r="G54" s="19" t="str"/>
      <x:c r="H54" s="19" t="str"/>
    </x:row>
    <x:row r="55" ht="44" customHeight="1">
      <x:c r="A55" s="609" t="str">
        <x:v>阶段状态</x:v>
      </x:c>
      <x:c r="B55" s="609" t="str">
        <x:f>IF(AND(B51=0,B52=0,B53=0,B54=0),"READY_PHASE_3.4A","REVIEW_REQUIRED")</x:f>
        <x:v>READY_PHASE_3.4A</x:v>
      </x:c>
      <x:c r="C55" s="609" t="str"/>
      <x:c r="D55" s="609" t="str"/>
      <x:c r="E55" s="609" t="str"/>
      <x:c r="F55" s="609" t="str"/>
      <x:c r="G55" s="609" t="str"/>
      <x:c r="H55" s="609" t="str"/>
    </x:row>
  </x:sheetData>
  <x:mergeCells>
    <x:mergeCell ref="A1:H1"/>
    <x:mergeCell ref="A2:H2"/>
    <x:mergeCell ref="A3:H3"/>
  </x:mergeCells>
  <x:conditionalFormatting sqref="F6:G47">
    <x:cfRule type="containsText" dxfId="3493" priority="1" operator="containsText" text="PASS"/>
    <x:cfRule type="containsText" dxfId="3494" priority="2" operator="containsText" text="SIGNED"/>
    <x:cfRule type="containsText" dxfId="3495" priority="3" operator="containsText" text="CONFIRMED"/>
    <x:cfRule type="containsText" dxfId="3496" priority="4" operator="containsText" text="OFFICIAL"/>
    <x:cfRule type="containsText" dxfId="3497" priority="5" operator="containsText" text="CENTRAL"/>
    <x:cfRule type="containsText" dxfId="3498" priority="6" operator="containsText" text="PRIMARY"/>
    <x:cfRule type="containsText" dxfId="3499" priority="7" operator="containsText" text="MODELLED"/>
    <x:cfRule type="containsText" dxfId="3500" priority="8" operator="containsText" text="CONDITIONAL"/>
    <x:cfRule type="containsText" dxfId="3501" priority="9" operator="containsText" text="SENSITIVITY"/>
    <x:cfRule type="containsText" dxfId="3502" priority="10" operator="containsText" text="PREDICTED"/>
    <x:cfRule type="containsText" dxfId="3503" priority="11" operator="containsText" text="MEDIUM"/>
    <x:cfRule type="containsText" dxfId="3504" priority="12" operator="containsText" text="WATCH"/>
    <x:cfRule type="containsText" dxfId="3505" priority="13" operator="containsText" text="EXCLUDED"/>
    <x:cfRule type="containsText" dxfId="3506" priority="14" operator="containsText" text="SEPARATE"/>
    <x:cfRule type="containsText" dxfId="3507" priority="15" operator="containsText" text="NO"/>
    <x:cfRule type="containsText" dxfId="3508" priority="16" operator="containsText" text="FAIL"/>
    <x:cfRule type="containsText" dxfId="3509" priority="17" operator="containsText" text="BLOCKED"/>
    <x:cfRule type="containsText" dxfId="3510" priority="18" operator="containsText" text="LOW"/>
  </x:conditionalFormatting>
  <x:conditionalFormatting sqref="B50:B55">
    <x:cfRule type="containsText" dxfId="3511" priority="19" operator="containsText" text="PASS"/>
    <x:cfRule type="containsText" dxfId="3512" priority="20" operator="containsText" text="SIGNED"/>
    <x:cfRule type="containsText" dxfId="3513" priority="21" operator="containsText" text="CONFIRMED"/>
    <x:cfRule type="containsText" dxfId="3514" priority="22" operator="containsText" text="OFFICIAL"/>
    <x:cfRule type="containsText" dxfId="3515" priority="23" operator="containsText" text="CENTRAL"/>
    <x:cfRule type="containsText" dxfId="3516" priority="24" operator="containsText" text="PRIMARY"/>
    <x:cfRule type="containsText" dxfId="3517" priority="25" operator="containsText" text="MODELLED"/>
    <x:cfRule type="containsText" dxfId="3518" priority="26" operator="containsText" text="CONDITIONAL"/>
    <x:cfRule type="containsText" dxfId="3519" priority="27" operator="containsText" text="SENSITIVITY"/>
    <x:cfRule type="containsText" dxfId="3520" priority="28" operator="containsText" text="PREDICTED"/>
    <x:cfRule type="containsText" dxfId="3521" priority="29" operator="containsText" text="MEDIUM"/>
    <x:cfRule type="containsText" dxfId="3522" priority="30" operator="containsText" text="WATCH"/>
    <x:cfRule type="containsText" dxfId="3523" priority="31" operator="containsText" text="EXCLUDED"/>
    <x:cfRule type="containsText" dxfId="3524" priority="32" operator="containsText" text="SEPARATE"/>
    <x:cfRule type="containsText" dxfId="3525" priority="33" operator="containsText" text="NO"/>
    <x:cfRule type="containsText" dxfId="3526" priority="34" operator="containsText" text="FAIL"/>
    <x:cfRule type="containsText" dxfId="3527" priority="35" operator="containsText" text="BLOCKED"/>
    <x:cfRule type="containsText" dxfId="3528" priority="36" operator="containsText" text="LOW"/>
  </x:conditionalFormatting>
  <x:pageMargins left="0.7" right="0.7" top="0.75" bottom="0.75" header="0.3" footer="0.3"/>
</x:worksheet>
</file>

<file path=xl/worksheets/sheet13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31" hidden="0" customWidth="1"/>
    <x:col min="3" max="3" width="34" hidden="0" customWidth="1"/>
    <x:col min="4" max="4" width="18" hidden="0" customWidth="1"/>
    <x:col min="5" max="5" width="18" hidden="0" customWidth="1"/>
    <x:col min="6" max="6" width="20" hidden="0" customWidth="1"/>
    <x:col min="7" max="7" width="20" hidden="0" customWidth="1"/>
    <x:col min="8" max="8" width="14" hidden="0" customWidth="1"/>
    <x:col min="9" max="9" width="18" hidden="0" customWidth="1"/>
    <x:col min="10" max="10" width="35" hidden="0" customWidth="1"/>
    <x:col min="11" max="11" width="38" hidden="0" customWidth="1"/>
    <x:col min="12" max="12" width="32" hidden="0" customWidth="1"/>
    <x:col min="13" max="13" width="28" hidden="0" customWidth="1"/>
    <x:col min="14" max="14" width="16" hidden="0" customWidth="1"/>
  </x:cols>
  <x:sheetData>
    <x:row r="1" ht="30" customHeight="1">
      <x:c r="A1" s="630" t="str">
        <x:v>129｜Phase 3.4B 最终口径：事实车型树 × 条件价格树 × 反证审计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</x:row>
    <x:row r="2" ht="22" customHeight="1">
      <x:c r="A2" s="633" t="str">
        <x:v>正文只保留有证据的车型身份；旧阵容权重与角色加价全部降级为敏感性附录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</x:row>
    <x:row r="3" ht="92" customHeight="1">
      <x:c r="A3" s="637" t="str">
        <x:v>三项证据收敛：第一，工信部尾标已确认单电机低配叫“N70”，不是N70 Standard；第二，官方当前只预售N70 Max和N90 Max，N90 Standard/Pro没有首发证据；第三，N90 Max的27.99/28.99旧双峰由手工阵容权重与角色加价制造，正文改为条件价格树：只上Max时中心27.99，若未来增设低价SKU则Max按28.99—29.99观察。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</x:row>
    <x:row r="5" ht="56" customHeight="1">
      <x:c r="A5" s="642" t="str">
        <x:v>规则ID</x:v>
      </x:c>
      <x:c r="B5" s="642" t="str">
        <x:v>问题</x:v>
      </x:c>
      <x:c r="C5" s="642" t="str">
        <x:v>最终处理</x:v>
      </x:c>
      <x:c r="D5" s="642" t="str">
        <x:v>中心值</x:v>
      </x:c>
      <x:c r="E5" s="642" t="str">
        <x:v>下沿/尾部</x:v>
      </x:c>
      <x:c r="F5" s="642" t="str">
        <x:v>上沿</x:v>
      </x:c>
      <x:c r="G5" s="642" t="str">
        <x:v>输入</x:v>
      </x:c>
      <x:c r="H5" s="642" t="str">
        <x:v>是否公式</x:v>
      </x:c>
      <x:c r="I5" s="642" t="str">
        <x:v>置信</x:v>
      </x:c>
      <x:c r="J5" s="642" t="str">
        <x:v>可以直接说</x:v>
      </x:c>
      <x:c r="K5" s="642" t="str">
        <x:v>不能直接说</x:v>
      </x:c>
      <x:c r="L5" s="642" t="str">
        <x:v>最终影响</x:v>
      </x:c>
      <x:c r="M5" s="642" t="str">
        <x:v>更新触发</x:v>
      </x:c>
      <x:c r="N5" s="642" t="str">
        <x:v>回链</x:v>
      </x:c>
    </x:row>
    <x:row r="6" ht="64" customHeight="1">
      <x:c r="A6" s="19" t="str">
        <x:v>F-34A-01</x:v>
      </x:c>
      <x:c r="B6" s="19" t="str">
        <x:v>价格核</x:v>
      </x:c>
      <x:c r="C6" s="19" t="str">
        <x:v>N90同版Max分布X只使用一次</x:v>
      </x:c>
      <x:c r="D6" s="19" t="str">
        <x:v>3.3C六点分布</x:v>
      </x:c>
      <x:c r="E6" s="19" t="str">
        <x:v>25.99</x:v>
      </x:c>
      <x:c r="F6" s="19" t="str">
        <x:v>29.99</x:v>
      </x:c>
      <x:c r="G6" s="19" t="str">
        <x:v>117表</x:v>
      </x:c>
      <x:c r="H6" s="19" t="str">
        <x:v>YES</x:v>
      </x:c>
      <x:c r="I6" s="19" t="str">
        <x:v>MEDIUM</x:v>
      </x:c>
      <x:c r="J6" s="19" t="str">
        <x:v>保留低价尾</x:v>
      </x:c>
      <x:c r="K6" s="19" t="str">
        <x:v>重复乘供应链折扣</x:v>
      </x:c>
      <x:c r="L6" s="19" t="str">
        <x:v>形成所有N90价格叶</x:v>
      </x:c>
      <x:c r="M6" s="19" t="str">
        <x:v>新正式价</x:v>
      </x:c>
      <x:c r="N6" s="19" t="str">
        <x:v>117/130/132</x:v>
      </x:c>
    </x:row>
    <x:row r="7" ht="64" customHeight="1">
      <x:c r="A7" s="643" t="str">
        <x:v>F-34B-02</x:v>
      </x:c>
      <x:c r="B7" s="643" t="str">
        <x:v>旧阵容职责模型</x:v>
      </x:c>
      <x:c r="C7" s="643" t="str">
        <x:v>保留公式，只作为扩展阵容敏感性</x:v>
      </x:c>
      <x:c r="D7" s="643" t="str">
        <x:v>B0/B1/B2/B3</x:v>
      </x:c>
      <x:c r="E7" s="643" t="str">
        <x:v>不降权低价尾</x:v>
      </x:c>
      <x:c r="F7" s="643" t="str">
        <x:v>封顶29.99</x:v>
      </x:c>
      <x:c r="G7" s="643" t="str">
        <x:v>125/130/132</x:v>
      </x:c>
      <x:c r="H7" s="643" t="str">
        <x:v>YES</x:v>
      </x:c>
      <x:c r="I7" s="643" t="str">
        <x:v>LOW</x:v>
      </x:c>
      <x:c r="J7" s="643" t="str">
        <x:v>可解释不同阵容如何改变Max职责</x:v>
      </x:c>
      <x:c r="K7" s="643" t="str">
        <x:v>混合权重等于客观发布概率</x:v>
      </x:c>
      <x:c r="L7" s="643" t="str">
        <x:v>不进入正文主结论</x:v>
      </x:c>
      <x:c r="M7" s="643" t="str">
        <x:v>官方阵容</x:v>
      </x:c>
      <x:c r="N7" s="643" t="str">
        <x:v>130/132/133</x:v>
      </x:c>
    </x:row>
    <x:row r="8" ht="64" customHeight="1">
      <x:c r="A8" s="19" t="str">
        <x:v>F-34B-03</x:v>
      </x:c>
      <x:c r="B8" s="19" t="str">
        <x:v>N70名称</x:v>
      </x:c>
      <x:c r="C8" s="19" t="str">
        <x:v>采用工信部尾标“N70”</x:v>
      </x:c>
      <x:c r="D8" s="19" t="str">
        <x:v>申报身份已确认</x:v>
      </x:c>
      <x:c r="E8" s="19" t="str">
        <x:v>商品化仍待定</x:v>
      </x:c>
      <x:c r="F8" s="19" t="str">
        <x:v>不设发布百分比</x:v>
      </x:c>
      <x:c r="G8" s="19" t="str">
        <x:v>工信部原图</x:v>
      </x:c>
      <x:c r="H8" s="19" t="str">
        <x:v>FACT</x:v>
      </x:c>
      <x:c r="I8" s="19" t="str">
        <x:v>HIGH</x:v>
      </x:c>
      <x:c r="J8" s="19" t="str">
        <x:v>N70申报形态存在</x:v>
      </x:c>
      <x:c r="K8" s="19" t="str">
        <x:v>官方已公布售价/完整配置</x:v>
      </x:c>
      <x:c r="L8" s="19" t="str">
        <x:v>名称纠偏、存在性上调</x:v>
      </x:c>
      <x:c r="M8" s="19" t="str">
        <x:v>商品卡</x:v>
      </x:c>
      <x:c r="N8" s="19" t="str">
        <x:v>39/131/142</x:v>
      </x:c>
    </x:row>
    <x:row r="9" ht="64" customHeight="1">
      <x:c r="A9" s="643" t="str">
        <x:v>F-34B-04</x:v>
      </x:c>
      <x:c r="B9" s="643" t="str">
        <x:v>N70价格</x:v>
      </x:c>
      <x:c r="C9" s="643" t="str">
        <x:v>Max价格状态减3/4/5万元三档敏感</x:v>
      </x:c>
      <x:c r="D9" s="643" t="str">
        <x:v>20.99强制单点</x:v>
      </x:c>
      <x:c r="E9" s="643" t="str">
        <x:v>19.99</x:v>
      </x:c>
      <x:c r="F9" s="643" t="str">
        <x:v>21.99</x:v>
      </x:c>
      <x:c r="G9" s="643" t="str">
        <x:v>85/117+反证审计</x:v>
      </x:c>
      <x:c r="H9" s="643" t="str">
        <x:v>YES</x:v>
      </x:c>
      <x:c r="I9" s="643" t="str">
        <x:v>MEDIUM_LOW</x:v>
      </x:c>
      <x:c r="J9" s="643" t="str">
        <x:v>若商品化中心走廊19.99—21.99</x:v>
      </x:c>
      <x:c r="K9" s="643" t="str">
        <x:v>BOM必然等于4万</x:v>
      </x:c>
      <x:c r="L9" s="643" t="str">
        <x:v>不再把减4万当固定常数</x:v>
      </x:c>
      <x:c r="M9" s="643" t="str">
        <x:v>正式配置/价格</x:v>
      </x:c>
      <x:c r="N9" s="643" t="str">
        <x:v>85/131/142</x:v>
      </x:c>
    </x:row>
    <x:row r="10" ht="64" customHeight="1">
      <x:c r="A10" s="19" t="str">
        <x:v>F-34B-05</x:v>
      </x:c>
      <x:c r="B10" s="19" t="str">
        <x:v>N90 Standard</x:v>
      </x:c>
      <x:c r="C10" s="19" t="str">
        <x:v>移出首发主树，仅保留生命周期条件情景</x:v>
      </x:c>
      <x:c r="D10" s="19" t="str">
        <x:v>25.99—26.99</x:v>
      </x:c>
      <x:c r="E10" s="19" t="str">
        <x:v>不设首发概率</x:v>
      </x:c>
      <x:c r="F10" s="19" t="str">
        <x:v>不设唯一点</x:v>
      </x:c>
      <x:c r="G10" s="19" t="str">
        <x:v>MIIT固定顶+官网</x:v>
      </x:c>
      <x:c r="H10" s="19" t="str">
        <x:v>MODEL</x:v>
      </x:c>
      <x:c r="I10" s="19" t="str">
        <x:v>LOW</x:v>
      </x:c>
      <x:c r="J10" s="19" t="str">
        <x:v>若以后出现可讨论条件价</x:v>
      </x:c>
      <x:c r="K10" s="19" t="str">
        <x:v>首发已有Standard</x:v>
      </x:c>
      <x:c r="L10" s="19" t="str">
        <x:v>不进入首发价格向量</x:v>
      </x:c>
      <x:c r="M10" s="19" t="str">
        <x:v>App车型卡</x:v>
      </x:c>
      <x:c r="N10" s="19" t="str">
        <x:v>133/142</x:v>
      </x:c>
    </x:row>
    <x:row r="11" ht="64" customHeight="1">
      <x:c r="A11" s="643" t="str">
        <x:v>F-34B-06</x:v>
      </x:c>
      <x:c r="B11" s="643" t="str">
        <x:v>N90 Pro</x:v>
      </x:c>
      <x:c r="C11" s="643" t="str">
        <x:v>移出首发主树，仅保留生命周期观察</x:v>
      </x:c>
      <x:c r="D11" s="643" t="str">
        <x:v>26.99—27.99</x:v>
      </x:c>
      <x:c r="E11" s="643" t="str">
        <x:v>不设首发概率</x:v>
      </x:c>
      <x:c r="F11" s="643" t="str">
        <x:v>不设唯一点</x:v>
      </x:c>
      <x:c r="G11" s="643" t="str">
        <x:v>梯度敏感性</x:v>
      </x:c>
      <x:c r="H11" s="643" t="str">
        <x:v>MODEL</x:v>
      </x:c>
      <x:c r="I11" s="643" t="str">
        <x:v>LOW</x:v>
      </x:c>
      <x:c r="J11" s="643" t="str">
        <x:v>若以后出现需有独立硬件台阶</x:v>
      </x:c>
      <x:c r="K11" s="643" t="str">
        <x:v>首发已有Pro</x:v>
      </x:c>
      <x:c r="L11" s="643" t="str">
        <x:v>不进入首发价格向量</x:v>
      </x:c>
      <x:c r="M11" s="643" t="str">
        <x:v>App车型卡</x:v>
      </x:c>
      <x:c r="N11" s="643" t="str">
        <x:v>133/142</x:v>
      </x:c>
    </x:row>
    <x:row r="12" ht="64" customHeight="1">
      <x:c r="A12" s="19" t="str">
        <x:v>F-34B-07</x:v>
      </x:c>
      <x:c r="B12" s="19" t="str">
        <x:v>N90 Max</x:v>
      </x:c>
      <x:c r="C12" s="19" t="str">
        <x:v>按阵容给条件点，不再混成伪精确双峰</x:v>
      </x:c>
      <x:c r="D12" s="19" t="str">
        <x:v>只上Max：27.99</x:v>
      </x:c>
      <x:c r="E12" s="19" t="str">
        <x:v>低价尾25.99</x:v>
      </x:c>
      <x:c r="F12" s="19" t="str">
        <x:v>有低SKU：28.99—29.99</x:v>
      </x:c>
      <x:c r="G12" s="19" t="str">
        <x:v>117+反证审计</x:v>
      </x:c>
      <x:c r="H12" s="19" t="str">
        <x:v>YES</x:v>
      </x:c>
      <x:c r="I12" s="19" t="str">
        <x:v>MEDIUM</x:v>
      </x:c>
      <x:c r="J12" s="19" t="str">
        <x:v>27.99是当前首发主判断</x:v>
      </x:c>
      <x:c r="K12" s="19" t="str">
        <x:v>27.99/28.99为稳健无条件双峰</x:v>
      </x:c>
      <x:c r="L12" s="19" t="str">
        <x:v>正文主价改为27.99</x:v>
      </x:c>
      <x:c r="M12" s="19" t="str">
        <x:v>正式阵容/价格</x:v>
      </x:c>
      <x:c r="N12" s="19" t="str">
        <x:v>133/142</x:v>
      </x:c>
    </x:row>
    <x:row r="13" ht="64" customHeight="1">
      <x:c r="A13" s="643" t="str">
        <x:v>F-34A-08</x:v>
      </x:c>
      <x:c r="B13" s="643" t="str">
        <x:v>跨车系围栏</x:v>
      </x:c>
      <x:c r="C13" s="643" t="str">
        <x:v>只做诊断，不硬删价格状态</x:v>
      </x:c>
      <x:c r="D13" s="643" t="str">
        <x:v>Std−N70 Max约1.70万</x:v>
      </x:c>
      <x:c r="E13" s="643" t="str">
        <x:v>倒挂尾</x:v>
      </x:c>
      <x:c r="F13" s="643" t="str">
        <x:v>&gt;3万尾</x:v>
      </x:c>
      <x:c r="G13" s="643" t="str">
        <x:v>124/136</x:v>
      </x:c>
      <x:c r="H13" s="643" t="str">
        <x:v>YES</x:v>
      </x:c>
      <x:c r="I13" s="643" t="str">
        <x:v>MEDIUM</x:v>
      </x:c>
      <x:c r="J13" s="643" t="str">
        <x:v>围栏是软约束</x:v>
      </x:c>
      <x:c r="K13" s="643" t="str">
        <x:v>大车固定加价</x:v>
      </x:c>
      <x:c r="L13" s="643" t="str">
        <x:v>13.3%状态需联动处理</x:v>
      </x:c>
      <x:c r="M13" s="643" t="str">
        <x:v>正式两车价格</x:v>
      </x:c>
      <x:c r="N13" s="643" t="str">
        <x:v>124/136</x:v>
      </x:c>
    </x:row>
    <x:row r="14" ht="64" customHeight="1">
      <x:c r="A14" s="19" t="str">
        <x:v>F-34B-09</x:v>
      </x:c>
      <x:c r="B14" s="19" t="str">
        <x:v>N90 Max升顶</x:v>
      </x:c>
      <x:c r="C14" s="19" t="str">
        <x:v>独立候选，不进入固定顶主树</x:v>
      </x:c>
      <x:c r="D14" s="19" t="str">
        <x:v>当前Max+2万工作中心=29.99</x:v>
      </x:c>
      <x:c r="E14" s="19" t="str">
        <x:v>+1万</x:v>
      </x:c>
      <x:c r="F14" s="19" t="str">
        <x:v>+3万；低量可更高</x:v>
      </x:c>
      <x:c r="G14" s="19" t="str">
        <x:v>79/121/MIIT</x:v>
      </x:c>
      <x:c r="H14" s="19" t="str">
        <x:v>MODEL</x:v>
      </x:c>
      <x:c r="I14" s="19" t="str">
        <x:v>LOW</x:v>
      </x:c>
      <x:c r="J14" s="19" t="str">
        <x:v>有车顶床板，规模化主围栏+1—3万</x:v>
      </x:c>
      <x:c r="K14" s="19" t="str">
        <x:v>只能站立/不能睡/固定加5万/已上市</x:v>
      </x:c>
      <x:c r="L14" s="19" t="str">
        <x:v>正文工作中心29.99</x:v>
      </x:c>
      <x:c r="M14" s="19" t="str">
        <x:v>商品名/配置/价格</x:v>
      </x:c>
      <x:c r="N14" s="19" t="str">
        <x:v>138/142</x:v>
      </x:c>
    </x:row>
    <x:row r="15" ht="64" customHeight="1">
      <x:c r="A15" s="643" t="str">
        <x:v>F-34A-10</x:v>
      </x:c>
      <x:c r="B15" s="643" t="str">
        <x:v>配置状态</x:v>
      </x:c>
      <x:c r="C15" s="643" t="str">
        <x:v>官方/工信部/预测/未披露四层</x:v>
      </x:c>
      <x:c r="D15" s="643" t="str">
        <x:v>六版本简表</x:v>
      </x:c>
      <x:c r="E15" s="643" t="str">
        <x:v>不缺省填0</x:v>
      </x:c>
      <x:c r="F15" s="643" t="str">
        <x:v>不把展示全写标配</x:v>
      </x:c>
      <x:c r="G15" s="643" t="str">
        <x:v>121/135</x:v>
      </x:c>
      <x:c r="H15" s="643" t="str">
        <x:v>YES</x:v>
      </x:c>
      <x:c r="I15" s="643" t="str">
        <x:v>HIGH_METHOD</x:v>
      </x:c>
      <x:c r="J15" s="643" t="str">
        <x:v>证据边界可审计</x:v>
      </x:c>
      <x:c r="K15" s="643" t="str">
        <x:v>预测冒充事实</x:v>
      </x:c>
      <x:c r="L15" s="643" t="str">
        <x:v>每款均有主要差异</x:v>
      </x:c>
      <x:c r="M15" s="643" t="str">
        <x:v>完整配置表</x:v>
      </x:c>
      <x:c r="N15" s="643" t="str">
        <x:v>135/139</x:v>
      </x:c>
    </x:row>
    <x:row r="16" ht="64" customHeight="1">
      <x:c r="A16" s="19" t="str">
        <x:v>F-34A-11</x:v>
      </x:c>
      <x:c r="B16" s="19" t="str">
        <x:v>区间名称</x:v>
      </x:c>
      <x:c r="C16" s="19" t="str">
        <x:v>称模型权重覆盖区间</x:v>
      </x:c>
      <x:c r="D16" s="19" t="str">
        <x:v>80%/95%</x:v>
      </x:c>
      <x:c r="E16" s="19" t="str">
        <x:v>非统计下界</x:v>
      </x:c>
      <x:c r="F16" s="19" t="str">
        <x:v>非统计上界</x:v>
      </x:c>
      <x:c r="G16" s="19" t="str">
        <x:v>131/133</x:v>
      </x:c>
      <x:c r="H16" s="19" t="str">
        <x:v>YES</x:v>
      </x:c>
      <x:c r="I16" s="19" t="str">
        <x:v>HIGH_METHOD</x:v>
      </x:c>
      <x:c r="J16" s="19" t="str">
        <x:v>覆盖区间</x:v>
      </x:c>
      <x:c r="K16" s="19" t="str">
        <x:v>置信区间</x:v>
      </x:c>
      <x:c r="L16" s="19" t="str">
        <x:v>避免伪统计</x:v>
      </x:c>
      <x:c r="M16" s="19" t="str">
        <x:v>样本扩充</x:v>
      </x:c>
      <x:c r="N16" s="19" t="str">
        <x:v>131/133</x:v>
      </x:c>
    </x:row>
    <x:row r="19" ht="24" customHeight="1">
      <x:c r="A19" s="646" t="str">
        <x:v>最终读数（先看这里，再看130—141表审计过程）</x:v>
      </x:c>
      <x:c r="B19" s="646"/>
      <x:c r="C19" s="646"/>
      <x:c r="D19" s="646"/>
      <x:c r="E19" s="646"/>
      <x:c r="F19" s="646"/>
      <x:c r="G19" s="646"/>
      <x:c r="H19" s="646"/>
      <x:c r="I19" s="646"/>
      <x:c r="J19" s="646"/>
      <x:c r="K19" s="646"/>
      <x:c r="L19" s="646"/>
      <x:c r="M19" s="646"/>
      <x:c r="N19" s="646"/>
    </x:row>
    <x:row r="20" ht="44" customHeight="1">
      <x:c r="A20" s="642" t="str">
        <x:v>对象</x:v>
      </x:c>
      <x:c r="B20" s="642" t="str">
        <x:v>发布存在工作权重</x:v>
      </x:c>
      <x:c r="C20" s="642" t="str">
        <x:v>条件/无条件众数</x:v>
      </x:c>
      <x:c r="D20" s="642" t="str">
        <x:v>80%模型覆盖</x:v>
      </x:c>
      <x:c r="E20" s="642" t="str">
        <x:v>95%模型覆盖</x:v>
      </x:c>
      <x:c r="F20" s="642" t="str">
        <x:v>一句话</x:v>
      </x:c>
    </x:row>
    <x:row r="21" ht="56" customHeight="1">
      <x:c r="A21" s="19" t="str">
        <x:v>N70（若商品化）</x:v>
      </x:c>
      <x:c r="B21" s="19" t="str">
        <x:v>不设百分比</x:v>
      </x:c>
      <x:c r="C21" s="460" t="n">
        <x:v>209900</x:v>
      </x:c>
      <x:c r="D21" s="19" t="str">
        <x:v>中心走廊19.99—21.99</x:v>
      </x:c>
      <x:c r="E21" s="19" t="str">
        <x:v>压力范围17.99—22.99</x:v>
      </x:c>
      <x:c r="F21" s="19" t="str">
        <x:v>尾标已确认N70；售价与完整配置未公布</x:v>
      </x:c>
    </x:row>
    <x:row r="22" ht="56" customHeight="1">
      <x:c r="A22" s="643" t="str">
        <x:v>N70 Max</x:v>
      </x:c>
      <x:c r="B22" s="643" t="n">
        <x:v>1</x:v>
      </x:c>
      <x:c r="C22" s="647" t="n">
        <x:v>249900</x:v>
      </x:c>
      <x:c r="D22" s="643" t="str">
        <x:v>22.99—24.99</x:v>
      </x:c>
      <x:c r="E22" s="643" t="str">
        <x:v>22.99—25.99</x:v>
      </x:c>
      <x:c r="F22" s="643" t="str">
        <x:v>正式价众数24.99，低价尾不可忽略</x:v>
      </x:c>
    </x:row>
    <x:row r="23" ht="56" customHeight="1">
      <x:c r="A23" s="19" t="str">
        <x:v>N90 Standard（生命周期观察）</x:v>
      </x:c>
      <x:c r="B23" s="19" t="str">
        <x:v>不纳入首发</x:v>
      </x:c>
      <x:c r="C23" s="19" t="str">
        <x:v>25.99—26.99</x:v>
      </x:c>
      <x:c r="D23" s="19" t="str">
        <x:v>条件情景</x:v>
      </x:c>
      <x:c r="E23" s="19" t="str">
        <x:v>不设统计区间</x:v>
      </x:c>
      <x:c r="F23" s="19" t="str">
        <x:v>没有首发官方证据</x:v>
      </x:c>
    </x:row>
    <x:row r="24" ht="56" customHeight="1">
      <x:c r="A24" s="643" t="str">
        <x:v>N90 Pro（生命周期观察）</x:v>
      </x:c>
      <x:c r="B24" s="643" t="str">
        <x:v>不纳入首发</x:v>
      </x:c>
      <x:c r="C24" s="643" t="str">
        <x:v>26.99—27.99</x:v>
      </x:c>
      <x:c r="D24" s="643" t="str">
        <x:v>条件情景</x:v>
      </x:c>
      <x:c r="E24" s="643" t="str">
        <x:v>不设统计区间</x:v>
      </x:c>
      <x:c r="F24" s="643" t="str">
        <x:v>没有申报或官方SKU证据</x:v>
      </x:c>
    </x:row>
    <x:row r="25" ht="56" customHeight="1">
      <x:c r="A25" s="19" t="str">
        <x:v>N90 Max</x:v>
      </x:c>
      <x:c r="B25" s="19" t="n">
        <x:v>1</x:v>
      </x:c>
      <x:c r="C25" s="460" t="n">
        <x:v>279900</x:v>
      </x:c>
      <x:c r="D25" s="19" t="str">
        <x:v>当前阵容中心27.99</x:v>
      </x:c>
      <x:c r="E25" s="19" t="str">
        <x:v>条件尾25.99—29.99</x:v>
      </x:c>
      <x:c r="F25" s="19" t="str">
        <x:v>若未来出现低价SKU，Max再看28.99—29.99</x:v>
      </x:c>
    </x:row>
    <x:row r="26" ht="56" customHeight="1">
      <x:c r="A26" s="643" t="str">
        <x:v>N90 Max升顶（若商品化）</x:v>
      </x:c>
      <x:c r="B26" s="643" t="str">
        <x:v>不入固定顶主树</x:v>
      </x:c>
      <x:c r="C26" s="643" t="str">
        <x:v>约29.99工作中心</x:v>
      </x:c>
      <x:c r="D26" s="643" t="str">
        <x:v>规模化约Max+1—3万</x:v>
      </x:c>
      <x:c r="E26" s="643" t="str">
        <x:v>低量时可更高</x:v>
      </x:c>
      <x:c r="F26" s="643" t="str">
        <x:v>有车顶床板；承重/人数/升起高度未披露</x:v>
      </x:c>
    </x:row>
  </x:sheetData>
  <x:mergeCells>
    <x:mergeCell ref="A1:N1"/>
    <x:mergeCell ref="A2:N2"/>
    <x:mergeCell ref="A3:N3"/>
    <x:mergeCell ref="A19:N19"/>
  </x:mergeCells>
  <x:conditionalFormatting sqref="H6:I16">
    <x:cfRule type="containsText" dxfId="3547" priority="1" operator="containsText" text="PASS"/>
    <x:cfRule type="containsText" dxfId="3548" priority="2" operator="containsText" text="SIGNED"/>
    <x:cfRule type="containsText" dxfId="3549" priority="3" operator="containsText" text="CONFIRMED"/>
    <x:cfRule type="containsText" dxfId="3550" priority="4" operator="containsText" text="OFFICIAL"/>
    <x:cfRule type="containsText" dxfId="3551" priority="5" operator="containsText" text="FINAL"/>
    <x:cfRule type="containsText" dxfId="3552" priority="6" operator="containsText" text="READY"/>
    <x:cfRule type="containsText" dxfId="3553" priority="7" operator="containsText" text="MODEL"/>
    <x:cfRule type="containsText" dxfId="3554" priority="8" operator="containsText" text="CONDITIONAL"/>
    <x:cfRule type="containsText" dxfId="3555" priority="9" operator="containsText" text="PREDICTED"/>
    <x:cfRule type="containsText" dxfId="3556" priority="10" operator="containsText" text="MEDIUM"/>
    <x:cfRule type="containsText" dxfId="3557" priority="11" operator="containsText" text="WORKING"/>
    <x:cfRule type="containsText" dxfId="3558" priority="12" operator="containsText" text="WATCH"/>
    <x:cfRule type="containsText" dxfId="3559" priority="13" operator="containsText" text="EXCLUDED"/>
    <x:cfRule type="containsText" dxfId="3560" priority="14" operator="containsText" text="SEPARATE"/>
    <x:cfRule type="containsText" dxfId="3561" priority="15" operator="containsText" text="REGULATORY"/>
    <x:cfRule type="containsText" dxfId="3562" priority="16" operator="containsText" text="FAIL"/>
    <x:cfRule type="containsText" dxfId="3563" priority="17" operator="containsText" text="BLOCKED"/>
    <x:cfRule type="containsText" dxfId="3564" priority="18" operator="containsText" text="LOW"/>
  </x:conditionalFormatting>
  <x:pageMargins left="0.7" right="0.7" top="0.75" bottom="0.75" header="0.3" footer="0.3"/>
</x:worksheet>
</file>

<file path=xl/worksheets/sheet13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6" hidden="0" customWidth="1"/>
    <x:col min="3" max="3" width="15" hidden="0" customWidth="1"/>
    <x:col min="4" max="4" width="18" hidden="0" customWidth="1"/>
    <x:col min="5" max="5" width="19" hidden="0" customWidth="1"/>
    <x:col min="6" max="6" width="18" hidden="0" customWidth="1"/>
    <x:col min="7" max="7" width="19" hidden="0" customWidth="1"/>
    <x:col min="8" max="8" width="17" hidden="0" customWidth="1"/>
    <x:col min="9" max="9" width="15" hidden="0" customWidth="1"/>
    <x:col min="10" max="10" width="15" hidden="0" customWidth="1"/>
    <x:col min="11" max="11" width="15" hidden="0" customWidth="1"/>
    <x:col min="12" max="12" width="42" hidden="0" customWidth="1"/>
    <x:col min="13" max="13" width="38" hidden="0" customWidth="1"/>
    <x:col min="14" max="14" width="22" hidden="0" customWidth="1"/>
  </x:cols>
  <x:sheetData>
    <x:row r="1" ht="30" customHeight="1">
      <x:c r="A1" s="630" t="str">
        <x:v>130｜扩展阵容敏感性算法：保留公式，不再作为首发概率模型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</x:row>
    <x:row r="2" ht="22" customHeight="1">
      <x:c r="A2" s="633" t="str">
        <x:v>X=3.3C同版N90 Max正式价核｜M=假设不同阵容后Max价格｜下位版本由条件梯度生成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</x:row>
    <x:row r="3" ht="92" customHeight="1">
      <x:c r="A3" s="637" t="str">
        <x:v>反证审计结论：role uplift和阵容叶权重均缺少历史频率校准，混合后的27.99/28.99双峰不是稳健市场结论。本表只回答“如果未来增设Standard/Pro，会如何改变价格树”，正文主判断采用当前已公开Max阵容：N90 Max中心27.99万元。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</x:row>
    <x:row r="5" ht="44" customHeight="1">
      <x:c r="A5" s="642" t="str">
        <x:v>核价格X</x:v>
      </x:c>
      <x:c r="B5" s="642" t="str">
        <x:v>相对29.99降幅</x:v>
      </x:c>
      <x:c r="C5" s="642" t="str">
        <x:v>3.3C权重</x:v>
      </x:c>
      <x:c r="D5" s="642" t="str">
        <x:v>来源价格</x:v>
      </x:c>
      <x:c r="E5" s="642" t="str">
        <x:v>来源权重</x:v>
      </x:c>
      <x:c r="F5" s="642" t="str">
        <x:v>状态</x:v>
      </x:c>
    </x:row>
    <x:row r="6" ht="42" customHeight="1">
      <x:c r="A6" s="460" t="n">
        <x:f>'117_价格概率传导'!A16</x:f>
        <x:v>299900</x:v>
      </x:c>
      <x:c r="B6" s="460" t="n">
        <x:f>299900-A6</x:f>
        <x:v>0</x:v>
      </x:c>
      <x:c r="C6" s="23" t="n">
        <x:f>'117_价格概率传导'!F16</x:f>
        <x:v>0.028999999999999998</x:v>
      </x:c>
      <x:c r="D6" s="19" t="str">
        <x:v>117_价格概率传导</x:v>
      </x:c>
      <x:c r="E6" s="19" t="str">
        <x:v>F16</x:v>
      </x:c>
      <x:c r="F6" s="19" t="str">
        <x:v>SUPPLY_PRICE_KERNEL</x:v>
      </x:c>
    </x:row>
    <x:row r="7" ht="42" customHeight="1">
      <x:c r="A7" s="647" t="n">
        <x:f>'117_价格概率传导'!A17</x:f>
        <x:v>293900</x:v>
      </x:c>
      <x:c r="B7" s="647" t="n">
        <x:f>299900-A7</x:f>
        <x:v>6000</x:v>
      </x:c>
      <x:c r="C7" s="648" t="n">
        <x:f>'117_价格概率传导'!F17</x:f>
        <x:v>0.0375</x:v>
      </x:c>
      <x:c r="D7" s="643" t="str">
        <x:v>117_价格概率传导</x:v>
      </x:c>
      <x:c r="E7" s="643" t="str">
        <x:v>F17</x:v>
      </x:c>
      <x:c r="F7" s="643" t="str">
        <x:v>SUPPLY_PRICE_KERNEL</x:v>
      </x:c>
    </x:row>
    <x:row r="8" ht="42" customHeight="1">
      <x:c r="A8" s="460" t="n">
        <x:f>'117_价格概率传导'!A18</x:f>
        <x:v>289900</x:v>
      </x:c>
      <x:c r="B8" s="460" t="n">
        <x:f>299900-A8</x:f>
        <x:v>10000</x:v>
      </x:c>
      <x:c r="C8" s="23" t="n">
        <x:f>'117_价格概率传导'!F18</x:f>
        <x:v>0.244</x:v>
      </x:c>
      <x:c r="D8" s="19" t="str">
        <x:v>117_价格概率传导</x:v>
      </x:c>
      <x:c r="E8" s="19" t="str">
        <x:v>F18</x:v>
      </x:c>
      <x:c r="F8" s="19" t="str">
        <x:v>SUPPLY_PRICE_KERNEL</x:v>
      </x:c>
    </x:row>
    <x:row r="9" ht="42" customHeight="1">
      <x:c r="A9" s="647" t="n">
        <x:f>'117_价格概率传导'!A19</x:f>
        <x:v>279900</x:v>
      </x:c>
      <x:c r="B9" s="647" t="n">
        <x:f>299900-A9</x:f>
        <x:v>20000</x:v>
      </x:c>
      <x:c r="C9" s="648" t="n">
        <x:f>'117_价格概率传导'!F19</x:f>
        <x:v>0.40149999999999997</x:v>
      </x:c>
      <x:c r="D9" s="643" t="str">
        <x:v>117_价格概率传导</x:v>
      </x:c>
      <x:c r="E9" s="643" t="str">
        <x:v>F19</x:v>
      </x:c>
      <x:c r="F9" s="643" t="str">
        <x:v>SUPPLY_PRICE_KERNEL</x:v>
      </x:c>
    </x:row>
    <x:row r="10" ht="42" customHeight="1">
      <x:c r="A10" s="460" t="n">
        <x:f>'117_价格概率传导'!A20</x:f>
        <x:v>269900</x:v>
      </x:c>
      <x:c r="B10" s="460" t="n">
        <x:f>299900-A10</x:f>
        <x:v>30000</x:v>
      </x:c>
      <x:c r="C10" s="23" t="n">
        <x:f>'117_价格概率传导'!F20</x:f>
        <x:v>0.2175</x:v>
      </x:c>
      <x:c r="D10" s="19" t="str">
        <x:v>117_价格概率传导</x:v>
      </x:c>
      <x:c r="E10" s="19" t="str">
        <x:v>F20</x:v>
      </x:c>
      <x:c r="F10" s="19" t="str">
        <x:v>SUPPLY_PRICE_KERNEL</x:v>
      </x:c>
    </x:row>
    <x:row r="11" ht="42" customHeight="1">
      <x:c r="A11" s="647" t="n">
        <x:f>'117_价格概率传导'!A21</x:f>
        <x:v>259900</x:v>
      </x:c>
      <x:c r="B11" s="647" t="n">
        <x:f>299900-A11</x:f>
        <x:v>40000</x:v>
      </x:c>
      <x:c r="C11" s="648" t="n">
        <x:f>'117_价格概率传导'!F21</x:f>
        <x:v>0.0705</x:v>
      </x:c>
      <x:c r="D11" s="643" t="str">
        <x:v>117_价格概率传导</x:v>
      </x:c>
      <x:c r="E11" s="643" t="str">
        <x:v>F21</x:v>
      </x:c>
      <x:c r="F11" s="643" t="str">
        <x:v>SUPPLY_PRICE_KERNEL</x:v>
      </x:c>
    </x:row>
    <x:row r="14" ht="24" customHeight="1">
      <x:c r="A14" s="646" t="str">
        <x:v>阵容价格叶：B1拆成主/备，合计仍为25%</x:v>
      </x:c>
      <x:c r="B14" s="646"/>
      <x:c r="C14" s="646"/>
      <x:c r="D14" s="646"/>
      <x:c r="E14" s="646"/>
      <x:c r="F14" s="646"/>
      <x:c r="G14" s="646"/>
      <x:c r="H14" s="646"/>
      <x:c r="I14" s="646"/>
      <x:c r="J14" s="646"/>
      <x:c r="K14" s="646"/>
      <x:c r="L14" s="646"/>
      <x:c r="M14" s="646"/>
      <x:c r="N14" s="646"/>
    </x:row>
    <x:row r="15" ht="54" customHeight="1">
      <x:c r="A15" s="642" t="str">
        <x:v>leaf_id</x:v>
      </x:c>
      <x:c r="B15" s="642" t="str">
        <x:v>阵容</x:v>
      </x:c>
      <x:c r="C15" s="642" t="str">
        <x:v>叶权重</x:v>
      </x:c>
      <x:c r="D15" s="642" t="str">
        <x:v>来源公式</x:v>
      </x:c>
      <x:c r="E15" s="642" t="str">
        <x:v>Max角色uplift</x:v>
      </x:c>
      <x:c r="F15" s="642" t="str">
        <x:v>Max封顶</x:v>
      </x:c>
      <x:c r="G15" s="642" t="str">
        <x:v>Standard梯度</x:v>
      </x:c>
      <x:c r="H15" s="642" t="str">
        <x:v>Pro梯度</x:v>
      </x:c>
      <x:c r="I15" s="642" t="str">
        <x:v>Standard存在</x:v>
      </x:c>
      <x:c r="J15" s="642" t="str">
        <x:v>Pro存在</x:v>
      </x:c>
      <x:c r="K15" s="642" t="str">
        <x:v>Max存在</x:v>
      </x:c>
      <x:c r="L15" s="642" t="str">
        <x:v>配置成立条件</x:v>
      </x:c>
      <x:c r="M15" s="642" t="str">
        <x:v>边界</x:v>
      </x:c>
      <x:c r="N15" s="642" t="str">
        <x:v>状态</x:v>
      </x:c>
    </x:row>
    <x:row r="16" ht="58" customHeight="1">
      <x:c r="A16" s="19" t="str">
        <x:v>L0</x:v>
      </x:c>
      <x:c r="B16" s="19" t="str">
        <x:v>仅Max</x:v>
      </x:c>
      <x:c r="C16" s="23" t="n">
        <x:f>'125_阵容价格耦合'!C6</x:f>
        <x:v>0.6</x:v>
      </x:c>
      <x:c r="D16" s="19" t="str">
        <x:v>B0</x:v>
      </x:c>
      <x:c r="E16" s="460" t="n">
        <x:v>0</x:v>
      </x:c>
      <x:c r="F16" s="460" t="n">
        <x:v>999999</x:v>
      </x:c>
      <x:c r="G16" s="460"/>
      <x:c r="H16" s="460"/>
      <x:c r="I16" s="19" t="n">
        <x:v>0</x:v>
      </x:c>
      <x:c r="J16" s="19" t="n">
        <x:v>0</x:v>
      </x:c>
      <x:c r="K16" s="19" t="n">
        <x:v>1</x:v>
      </x:c>
      <x:c r="L16" s="19" t="str">
        <x:v>Max承担起售价与旗舰双重职责</x:v>
      </x:c>
      <x:c r="M16" s="19" t="str">
        <x:v>M=X</x:v>
      </x:c>
      <x:c r="N16" s="19" t="str">
        <x:v>FINAL_MODEL</x:v>
      </x:c>
    </x:row>
    <x:row r="17" ht="58" customHeight="1">
      <x:c r="A17" s="643" t="str">
        <x:v>L1A</x:v>
      </x:c>
      <x:c r="B17" s="643" t="str">
        <x:v>Standard+Max 主</x:v>
      </x:c>
      <x:c r="C17" s="648" t="n">
        <x:f>'125_阵容价格耦合'!C7*60%</x:f>
        <x:v>0.15</x:v>
      </x:c>
      <x:c r="D17" s="643" t="str">
        <x:v>B1×60%</x:v>
      </x:c>
      <x:c r="E17" s="647" t="n">
        <x:v>20000</x:v>
      </x:c>
      <x:c r="F17" s="647" t="n">
        <x:v>299900</x:v>
      </x:c>
      <x:c r="G17" s="647" t="n">
        <x:v>30000</x:v>
      </x:c>
      <x:c r="H17" s="647"/>
      <x:c r="I17" s="643" t="n">
        <x:v>1</x:v>
      </x:c>
      <x:c r="J17" s="643" t="n">
        <x:v>0</x:v>
      </x:c>
      <x:c r="K17" s="643" t="n">
        <x:v>1</x:v>
      </x:c>
      <x:c r="L17" s="643" t="str">
        <x:v>Standard明显缩减底盘/座舱</x:v>
      </x:c>
      <x:c r="M17" s="643" t="str">
        <x:v>M=min(29.99,X+2万)</x:v>
      </x:c>
      <x:c r="N17" s="643" t="str">
        <x:v>FINAL_MODEL</x:v>
      </x:c>
    </x:row>
    <x:row r="18" ht="58" customHeight="1">
      <x:c r="A18" s="19" t="str">
        <x:v>L1B</x:v>
      </x:c>
      <x:c r="B18" s="19" t="str">
        <x:v>Standard+Max 备</x:v>
      </x:c>
      <x:c r="C18" s="23" t="n">
        <x:f>'125_阵容价格耦合'!C7*40%</x:f>
        <x:v>0.1</x:v>
      </x:c>
      <x:c r="D18" s="19" t="str">
        <x:v>B1×40%</x:v>
      </x:c>
      <x:c r="E18" s="460" t="n">
        <x:v>10000</x:v>
      </x:c>
      <x:c r="F18" s="460" t="n">
        <x:v>289900</x:v>
      </x:c>
      <x:c r="G18" s="460" t="n">
        <x:v>30000</x:v>
      </x:c>
      <x:c r="H18" s="460"/>
      <x:c r="I18" s="19" t="n">
        <x:v>1</x:v>
      </x:c>
      <x:c r="J18" s="19" t="n">
        <x:v>0</x:v>
      </x:c>
      <x:c r="K18" s="19" t="n">
        <x:v>1</x:v>
      </x:c>
      <x:c r="L18" s="19" t="str">
        <x:v>强调性价比，整组下移1万</x:v>
      </x:c>
      <x:c r="M18" s="19" t="str">
        <x:v>M=min(28.99,X+1万)</x:v>
      </x:c>
      <x:c r="N18" s="19" t="str">
        <x:v>FINAL_MODEL</x:v>
      </x:c>
    </x:row>
    <x:row r="19" ht="58" customHeight="1">
      <x:c r="A19" s="643" t="str">
        <x:v>L2</x:v>
      </x:c>
      <x:c r="B19" s="643" t="str">
        <x:v>Pro+Max</x:v>
      </x:c>
      <x:c r="C19" s="648" t="n">
        <x:f>'125_阵容价格耦合'!C8</x:f>
        <x:v>0.05</x:v>
      </x:c>
      <x:c r="D19" s="643" t="str">
        <x:v>B2</x:v>
      </x:c>
      <x:c r="E19" s="647" t="n">
        <x:v>20000</x:v>
      </x:c>
      <x:c r="F19" s="647" t="n">
        <x:v>299900</x:v>
      </x:c>
      <x:c r="G19" s="647"/>
      <x:c r="H19" s="647" t="n">
        <x:v>20000</x:v>
      </x:c>
      <x:c r="I19" s="643" t="n">
        <x:v>0</x:v>
      </x:c>
      <x:c r="J19" s="643" t="n">
        <x:v>1</x:v>
      </x:c>
      <x:c r="K19" s="643" t="n">
        <x:v>1</x:v>
      </x:c>
      <x:c r="L19" s="643" t="str">
        <x:v>Pro以空悬/中阶座舱形成硬台阶</x:v>
      </x:c>
      <x:c r="M19" s="643" t="str">
        <x:v>M=min(29.99,X+2万)</x:v>
      </x:c>
      <x:c r="N19" s="643" t="str">
        <x:v>CONDITIONAL_MODEL</x:v>
      </x:c>
    </x:row>
    <x:row r="20" ht="58" customHeight="1">
      <x:c r="A20" s="19" t="str">
        <x:v>L3</x:v>
      </x:c>
      <x:c r="B20" s="19" t="str">
        <x:v>Standard+Pro+Max</x:v>
      </x:c>
      <x:c r="C20" s="23" t="n">
        <x:f>'125_阵容价格耦合'!C9</x:f>
        <x:v>0.1</x:v>
      </x:c>
      <x:c r="D20" s="19" t="str">
        <x:v>B3</x:v>
      </x:c>
      <x:c r="E20" s="460" t="n">
        <x:v>20000</x:v>
      </x:c>
      <x:c r="F20" s="460" t="n">
        <x:v>299900</x:v>
      </x:c>
      <x:c r="G20" s="460" t="n">
        <x:v>40000</x:v>
      </x:c>
      <x:c r="H20" s="460" t="n">
        <x:v>20000</x:v>
      </x:c>
      <x:c r="I20" s="19" t="n">
        <x:v>1</x:v>
      </x:c>
      <x:c r="J20" s="19" t="n">
        <x:v>1</x:v>
      </x:c>
      <x:c r="K20" s="19" t="n">
        <x:v>1</x:v>
      </x:c>
      <x:c r="L20" s="19" t="str">
        <x:v>每级至少一个硬件/用途台阶</x:v>
      </x:c>
      <x:c r="M20" s="19" t="str">
        <x:v>同动力电池三档需严格验证</x:v>
      </x:c>
      <x:c r="N20" s="19" t="str">
        <x:v>STRICT_MODEL</x:v>
      </x:c>
    </x:row>
    <x:row r="23" ht="24" customHeight="1">
      <x:c r="A23" s="646" t="str">
        <x:v>旧存在工作权重：仅作敏感性，不再进入正文首发判断</x:v>
      </x:c>
      <x:c r="B23" s="646"/>
      <x:c r="C23" s="646"/>
      <x:c r="D23" s="646"/>
      <x:c r="E23" s="646"/>
      <x:c r="F23" s="646"/>
      <x:c r="G23" s="646"/>
      <x:c r="H23" s="646"/>
    </x:row>
    <x:row r="24" ht="48" customHeight="1">
      <x:c r="A24" s="642" t="str">
        <x:v>对象</x:v>
      </x:c>
      <x:c r="B24" s="642" t="str">
        <x:v>发布时</x:v>
      </x:c>
      <x:c r="C24" s="642" t="str">
        <x:v>生命周期</x:v>
      </x:c>
      <x:c r="D24" s="642" t="str">
        <x:v>计算方式</x:v>
      </x:c>
      <x:c r="E24" s="642" t="str">
        <x:v>官方已确认</x:v>
      </x:c>
      <x:c r="F24" s="642" t="str">
        <x:v>报告用法</x:v>
      </x:c>
      <x:c r="G24" s="642" t="str">
        <x:v>敏感范围</x:v>
      </x:c>
      <x:c r="H24" s="642" t="str">
        <x:v>状态</x:v>
      </x:c>
    </x:row>
    <x:row r="25" ht="52" customHeight="1">
      <x:c r="A25" s="19" t="str">
        <x:v>N70（旧称Standard）</x:v>
      </x:c>
      <x:c r="B25" s="23" t="n">
        <x:v>0.65</x:v>
      </x:c>
      <x:c r="C25" s="23" t="n">
        <x:v>0.85</x:v>
      </x:c>
      <x:c r="D25" s="19" t="str">
        <x:v>旧启发式权重；尾标现已确认N70</x:v>
      </x:c>
      <x:c r="E25" s="19" t="str">
        <x:v>申报YES/商品NO</x:v>
      </x:c>
      <x:c r="F25" s="19" t="str">
        <x:v>百分比停用；只保留价格敏感性</x:v>
      </x:c>
      <x:c r="G25" s="19" t="str">
        <x:v>不再报告发布百分比</x:v>
      </x:c>
      <x:c r="H25" s="19" t="str">
        <x:v>RETIRED_WEIGHT</x:v>
      </x:c>
    </x:row>
    <x:row r="26" ht="52" customHeight="1">
      <x:c r="A26" s="643" t="str">
        <x:v>N70 Max</x:v>
      </x:c>
      <x:c r="B26" s="648" t="n">
        <x:v>1</x:v>
      </x:c>
      <x:c r="C26" s="648" t="n">
        <x:v>1</x:v>
      </x:c>
      <x:c r="D26" s="643" t="str">
        <x:v>官方预售</x:v>
      </x:c>
      <x:c r="E26" s="643" t="str">
        <x:v>YES</x:v>
      </x:c>
      <x:c r="F26" s="643" t="str">
        <x:v>无条件</x:v>
      </x:c>
      <x:c r="G26" s="643" t="str">
        <x:v>不适用</x:v>
      </x:c>
      <x:c r="H26" s="643" t="str">
        <x:v>OFFICIAL_PRESALE</x:v>
      </x:c>
    </x:row>
    <x:row r="27" ht="52" customHeight="1">
      <x:c r="A27" s="19" t="str">
        <x:v>N90 Standard</x:v>
      </x:c>
      <x:c r="B27" s="23" t="n">
        <x:v>0.35</x:v>
      </x:c>
      <x:c r="C27" s="23" t="n">
        <x:v>0.72</x:v>
      </x:c>
      <x:c r="D27" s="19" t="str">
        <x:v>旧L1A+L1B+L3</x:v>
      </x:c>
      <x:c r="E27" s="19" t="str">
        <x:v>NO</x:v>
      </x:c>
      <x:c r="F27" s="19" t="str">
        <x:v>仅作生命周期条件价格</x:v>
      </x:c>
      <x:c r="G27" s="19" t="str">
        <x:v>首发不设百分比</x:v>
      </x:c>
      <x:c r="H27" s="19" t="str">
        <x:v>RETIRED_WEIGHT</x:v>
      </x:c>
    </x:row>
    <x:row r="28" ht="52" customHeight="1">
      <x:c r="A28" s="643" t="str">
        <x:v>N90 Pro</x:v>
      </x:c>
      <x:c r="B28" s="648" t="n">
        <x:v>0.15</x:v>
      </x:c>
      <x:c r="C28" s="648" t="n">
        <x:v>0.38</x:v>
      </x:c>
      <x:c r="D28" s="643" t="str">
        <x:v>旧L2+L3</x:v>
      </x:c>
      <x:c r="E28" s="643" t="str">
        <x:v>NO</x:v>
      </x:c>
      <x:c r="F28" s="643" t="str">
        <x:v>仅作生命周期观察</x:v>
      </x:c>
      <x:c r="G28" s="643" t="str">
        <x:v>首发不设百分比</x:v>
      </x:c>
      <x:c r="H28" s="643" t="str">
        <x:v>RETIRED_WEIGHT</x:v>
      </x:c>
    </x:row>
    <x:row r="29" ht="52" customHeight="1">
      <x:c r="A29" s="19" t="str">
        <x:v>N90 Max</x:v>
      </x:c>
      <x:c r="B29" s="23" t="n">
        <x:v>1</x:v>
      </x:c>
      <x:c r="C29" s="23" t="n">
        <x:v>1</x:v>
      </x:c>
      <x:c r="D29" s="19" t="str">
        <x:v>所有叶</x:v>
      </x:c>
      <x:c r="E29" s="19" t="str">
        <x:v>YES</x:v>
      </x:c>
      <x:c r="F29" s="19" t="str">
        <x:v>无条件</x:v>
      </x:c>
      <x:c r="G29" s="19" t="str">
        <x:v>不适用</x:v>
      </x:c>
      <x:c r="H29" s="19" t="str">
        <x:v>OFFICIAL_PRESALE</x:v>
      </x:c>
    </x:row>
  </x:sheetData>
  <x:mergeCells>
    <x:mergeCell ref="A1:N1"/>
    <x:mergeCell ref="A2:N2"/>
    <x:mergeCell ref="A3:N3"/>
    <x:mergeCell ref="A14:N14"/>
    <x:mergeCell ref="A23:H23"/>
  </x:mergeCells>
  <x:conditionalFormatting sqref="F6:F11">
    <x:cfRule type="containsText" dxfId="3565" priority="1" operator="containsText" text="PASS"/>
    <x:cfRule type="containsText" dxfId="3566" priority="2" operator="containsText" text="SIGNED"/>
    <x:cfRule type="containsText" dxfId="3567" priority="3" operator="containsText" text="CONFIRMED"/>
    <x:cfRule type="containsText" dxfId="3568" priority="4" operator="containsText" text="OFFICIAL"/>
    <x:cfRule type="containsText" dxfId="3569" priority="5" operator="containsText" text="FINAL"/>
    <x:cfRule type="containsText" dxfId="3570" priority="6" operator="containsText" text="READY"/>
    <x:cfRule type="containsText" dxfId="3571" priority="7" operator="containsText" text="MODEL"/>
    <x:cfRule type="containsText" dxfId="3572" priority="8" operator="containsText" text="CONDITIONAL"/>
    <x:cfRule type="containsText" dxfId="3573" priority="9" operator="containsText" text="PREDICTED"/>
    <x:cfRule type="containsText" dxfId="3574" priority="10" operator="containsText" text="MEDIUM"/>
    <x:cfRule type="containsText" dxfId="3575" priority="11" operator="containsText" text="WORKING"/>
    <x:cfRule type="containsText" dxfId="3576" priority="12" operator="containsText" text="WATCH"/>
    <x:cfRule type="containsText" dxfId="3577" priority="13" operator="containsText" text="EXCLUDED"/>
    <x:cfRule type="containsText" dxfId="3578" priority="14" operator="containsText" text="SEPARATE"/>
    <x:cfRule type="containsText" dxfId="3579" priority="15" operator="containsText" text="REGULATORY"/>
    <x:cfRule type="containsText" dxfId="3580" priority="16" operator="containsText" text="FAIL"/>
    <x:cfRule type="containsText" dxfId="3581" priority="17" operator="containsText" text="BLOCKED"/>
    <x:cfRule type="containsText" dxfId="3582" priority="18" operator="containsText" text="LOW"/>
  </x:conditionalFormatting>
  <x:conditionalFormatting sqref="N16:N20">
    <x:cfRule type="containsText" dxfId="3583" priority="19" operator="containsText" text="PASS"/>
    <x:cfRule type="containsText" dxfId="3584" priority="20" operator="containsText" text="SIGNED"/>
    <x:cfRule type="containsText" dxfId="3585" priority="21" operator="containsText" text="CONFIRMED"/>
    <x:cfRule type="containsText" dxfId="3586" priority="22" operator="containsText" text="OFFICIAL"/>
    <x:cfRule type="containsText" dxfId="3587" priority="23" operator="containsText" text="FINAL"/>
    <x:cfRule type="containsText" dxfId="3588" priority="24" operator="containsText" text="READY"/>
    <x:cfRule type="containsText" dxfId="3589" priority="25" operator="containsText" text="MODEL"/>
    <x:cfRule type="containsText" dxfId="3590" priority="26" operator="containsText" text="CONDITIONAL"/>
    <x:cfRule type="containsText" dxfId="3591" priority="27" operator="containsText" text="PREDICTED"/>
    <x:cfRule type="containsText" dxfId="3592" priority="28" operator="containsText" text="MEDIUM"/>
    <x:cfRule type="containsText" dxfId="3593" priority="29" operator="containsText" text="WORKING"/>
    <x:cfRule type="containsText" dxfId="3594" priority="30" operator="containsText" text="WATCH"/>
    <x:cfRule type="containsText" dxfId="3595" priority="31" operator="containsText" text="EXCLUDED"/>
    <x:cfRule type="containsText" dxfId="3596" priority="32" operator="containsText" text="SEPARATE"/>
    <x:cfRule type="containsText" dxfId="3597" priority="33" operator="containsText" text="REGULATORY"/>
    <x:cfRule type="containsText" dxfId="3598" priority="34" operator="containsText" text="FAIL"/>
    <x:cfRule type="containsText" dxfId="3599" priority="35" operator="containsText" text="BLOCKED"/>
    <x:cfRule type="containsText" dxfId="3600" priority="36" operator="containsText" text="LOW"/>
  </x:conditionalFormatting>
  <x:conditionalFormatting sqref="H25:H29">
    <x:cfRule type="containsText" dxfId="3601" priority="37" operator="containsText" text="PASS"/>
    <x:cfRule type="containsText" dxfId="3602" priority="38" operator="containsText" text="SIGNED"/>
    <x:cfRule type="containsText" dxfId="3603" priority="39" operator="containsText" text="CONFIRMED"/>
    <x:cfRule type="containsText" dxfId="3604" priority="40" operator="containsText" text="OFFICIAL"/>
    <x:cfRule type="containsText" dxfId="3605" priority="41" operator="containsText" text="FINAL"/>
    <x:cfRule type="containsText" dxfId="3606" priority="42" operator="containsText" text="READY"/>
    <x:cfRule type="containsText" dxfId="3607" priority="43" operator="containsText" text="MODEL"/>
    <x:cfRule type="containsText" dxfId="3608" priority="44" operator="containsText" text="CONDITIONAL"/>
    <x:cfRule type="containsText" dxfId="3609" priority="45" operator="containsText" text="PREDICTED"/>
    <x:cfRule type="containsText" dxfId="3610" priority="46" operator="containsText" text="MEDIUM"/>
    <x:cfRule type="containsText" dxfId="3611" priority="47" operator="containsText" text="WORKING"/>
    <x:cfRule type="containsText" dxfId="3612" priority="48" operator="containsText" text="WATCH"/>
    <x:cfRule type="containsText" dxfId="3613" priority="49" operator="containsText" text="EXCLUDED"/>
    <x:cfRule type="containsText" dxfId="3614" priority="50" operator="containsText" text="SEPARATE"/>
    <x:cfRule type="containsText" dxfId="3615" priority="51" operator="containsText" text="REGULATORY"/>
    <x:cfRule type="containsText" dxfId="3616" priority="52" operator="containsText" text="FAIL"/>
    <x:cfRule type="containsText" dxfId="3617" priority="53" operator="containsText" text="BLOCKED"/>
    <x:cfRule type="containsText" dxfId="3618" priority="54" operator="containsText" text="LOW"/>
  </x:conditionalFormatting>
  <x:pageMargins left="0.7" right="0.7" top="0.75" bottom="0.75" header="0.3" footer="0.3"/>
</x:worksheet>
</file>

<file path=xl/worksheets/sheet13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4" hidden="0" customWidth="1"/>
    <x:col min="3" max="3" width="14" hidden="0" customWidth="1"/>
    <x:col min="4" max="4" width="20" hidden="0" customWidth="1"/>
    <x:col min="5" max="5" width="20" hidden="0" customWidth="1"/>
    <x:col min="6" max="6" width="14" hidden="0" customWidth="1"/>
    <x:col min="7" max="7" width="20" hidden="0" customWidth="1"/>
    <x:col min="8" max="8" width="22" hidden="0" customWidth="1"/>
    <x:col min="9" max="9" width="15" hidden="0" customWidth="1"/>
    <x:col min="10" max="10" width="42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</x:cols>
  <x:sheetData>
    <x:row r="1" ht="30" customHeight="1">
      <x:c r="A1" s="630" t="str">
        <x:v>131｜N70价格：申报名称已锁，售价仍条件于商品化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</x:row>
    <x:row r="2" ht="22" customHeight="1">
      <x:c r="A2" s="633" t="str">
        <x:v>N70 Max沿用3.3C供应链校准分布｜N70减4万元列只是一条中心价格桥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</x:row>
    <x:row r="3" ht="92" customHeight="1">
      <x:c r="A3" s="637" t="str">
        <x:v>工信部尾标原图已经确认单电机低配叫“N70”，不是Standard；52kWh容量来自可追溯目录转载而非该申报正文。反证审计把N70相对Max的商业价差扩为3/4/5万元，因此正文中心走廊为19.99—21.99万元，强制单点仍取20.99万元；17.99只保留为深降压力尾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</x:row>
    <x:row r="5" ht="50" customHeight="1">
      <x:c r="A5" s="642" t="str">
        <x:v>N70 Max正式价</x:v>
      </x:c>
      <x:c r="B5" s="642" t="str">
        <x:v>权重</x:v>
      </x:c>
      <x:c r="C5" s="642" t="str">
        <x:v>累计</x:v>
      </x:c>
      <x:c r="D5" s="642" t="str">
        <x:v>N70条件价（减4万桥）</x:v>
      </x:c>
      <x:c r="E5" s="642" t="str">
        <x:v>条件权重</x:v>
      </x:c>
      <x:c r="F5" s="642" t="str">
        <x:v>价差</x:v>
      </x:c>
      <x:c r="G5" s="642" t="str">
        <x:v>Max相对预售降幅</x:v>
      </x:c>
      <x:c r="H5" s="642" t="str">
        <x:v>状态</x:v>
      </x:c>
      <x:c r="I5" s="642" t="str">
        <x:v>来源</x:v>
      </x:c>
      <x:c r="J5" s="642" t="str">
        <x:v>解释</x:v>
      </x:c>
    </x:row>
    <x:row r="6" ht="46" customHeight="1">
      <x:c r="A6" s="460" t="n">
        <x:f>'117_价格概率传导'!A6</x:f>
        <x:v>259900</x:v>
      </x:c>
      <x:c r="B6" s="23" t="n">
        <x:f>'117_价格概率传导'!F6</x:f>
        <x:v>0.0375</x:v>
      </x:c>
      <x:c r="C6" s="23" t="n">
        <x:f>B6</x:f>
        <x:v>0.0375</x:v>
      </x:c>
      <x:c r="D6" s="460" t="n">
        <x:f>A6-40000</x:f>
        <x:v>219900</x:v>
      </x:c>
      <x:c r="E6" s="23" t="n">
        <x:f>B6</x:f>
        <x:v>0.0375</x:v>
      </x:c>
      <x:c r="F6" s="460" t="n">
        <x:f>A6-D6</x:f>
        <x:v>40000</x:v>
      </x:c>
      <x:c r="G6" s="460" t="n">
        <x:f>259900-A6</x:f>
        <x:v>0</x:v>
      </x:c>
      <x:c r="H6" s="19" t="str">
        <x:v>CONDITIONAL_PRICE</x:v>
      </x:c>
      <x:c r="I6" s="19" t="str">
        <x:v>117/85</x:v>
      </x:c>
      <x:c r="J6" s="19" t="str">
        <x:v>减4万元仅为中心桥；正文另看减3/4/5万元敏感性</x:v>
      </x:c>
    </x:row>
    <x:row r="7" ht="46" customHeight="1">
      <x:c r="A7" s="647" t="n">
        <x:f>'117_价格概率传导'!A7</x:f>
        <x:v>253900</x:v>
      </x:c>
      <x:c r="B7" s="648" t="n">
        <x:f>'117_价格概率传导'!F7</x:f>
        <x:v>0.052500000000000005</x:v>
      </x:c>
      <x:c r="C7" s="648" t="n">
        <x:f>C6+B7</x:f>
        <x:v>0.09</x:v>
      </x:c>
      <x:c r="D7" s="647" t="n">
        <x:f>A7-40000</x:f>
        <x:v>213900</x:v>
      </x:c>
      <x:c r="E7" s="648" t="n">
        <x:f>B7</x:f>
        <x:v>0.052500000000000005</x:v>
      </x:c>
      <x:c r="F7" s="647" t="n">
        <x:f>A7-D7</x:f>
        <x:v>40000</x:v>
      </x:c>
      <x:c r="G7" s="647" t="n">
        <x:f>259900-A7</x:f>
        <x:v>6000</x:v>
      </x:c>
      <x:c r="H7" s="643" t="str">
        <x:v>CONDITIONAL_PRICE</x:v>
      </x:c>
      <x:c r="I7" s="643" t="str">
        <x:v>117/85</x:v>
      </x:c>
      <x:c r="J7" s="643" t="str">
        <x:v>减4万元仅为中心桥；正文另看减3/4/5万元敏感性</x:v>
      </x:c>
    </x:row>
    <x:row r="8" ht="46" customHeight="1">
      <x:c r="A8" s="460" t="n">
        <x:f>'117_价格概率传导'!A8</x:f>
        <x:v>249900</x:v>
      </x:c>
      <x:c r="B8" s="23" t="n">
        <x:f>'117_价格概率传导'!F8</x:f>
        <x:v>0.43200000000000005</x:v>
      </x:c>
      <x:c r="C8" s="23" t="n">
        <x:f>C7+B8</x:f>
        <x:v>0.522</x:v>
      </x:c>
      <x:c r="D8" s="460" t="n">
        <x:f>A8-40000</x:f>
        <x:v>209900</x:v>
      </x:c>
      <x:c r="E8" s="23" t="n">
        <x:f>B8</x:f>
        <x:v>0.43200000000000005</x:v>
      </x:c>
      <x:c r="F8" s="460" t="n">
        <x:f>A8-D8</x:f>
        <x:v>40000</x:v>
      </x:c>
      <x:c r="G8" s="460" t="n">
        <x:f>259900-A8</x:f>
        <x:v>10000</x:v>
      </x:c>
      <x:c r="H8" s="19" t="str">
        <x:v>CONDITIONAL_PRICE</x:v>
      </x:c>
      <x:c r="I8" s="19" t="str">
        <x:v>117/85</x:v>
      </x:c>
      <x:c r="J8" s="19" t="str">
        <x:v>减4万元仅为中心桥；正文另看减3/4/5万元敏感性</x:v>
      </x:c>
    </x:row>
    <x:row r="9" ht="46" customHeight="1">
      <x:c r="A9" s="647" t="n">
        <x:f>'117_价格概率传导'!A9</x:f>
        <x:v>239900</x:v>
      </x:c>
      <x:c r="B9" s="648" t="n">
        <x:f>'117_价格概率传导'!F9</x:f>
        <x:v>0.309</x:v>
      </x:c>
      <x:c r="C9" s="648" t="n">
        <x:f>C8+B9</x:f>
        <x:v>0.831</x:v>
      </x:c>
      <x:c r="D9" s="647" t="n">
        <x:f>A9-40000</x:f>
        <x:v>199900</x:v>
      </x:c>
      <x:c r="E9" s="648" t="n">
        <x:f>B9</x:f>
        <x:v>0.309</x:v>
      </x:c>
      <x:c r="F9" s="647" t="n">
        <x:f>A9-D9</x:f>
        <x:v>40000</x:v>
      </x:c>
      <x:c r="G9" s="647" t="n">
        <x:f>259900-A9</x:f>
        <x:v>20000</x:v>
      </x:c>
      <x:c r="H9" s="643" t="str">
        <x:v>CONDITIONAL_PRICE</x:v>
      </x:c>
      <x:c r="I9" s="643" t="str">
        <x:v>117/85</x:v>
      </x:c>
      <x:c r="J9" s="643" t="str">
        <x:v>减4万元仅为中心桥；正文另看减3/4/5万元敏感性</x:v>
      </x:c>
    </x:row>
    <x:row r="10" ht="46" customHeight="1">
      <x:c r="A10" s="460" t="n">
        <x:f>'117_价格概率传导'!A10</x:f>
        <x:v>229900</x:v>
      </x:c>
      <x:c r="B10" s="23" t="n">
        <x:f>'117_价格概率传导'!F10</x:f>
        <x:v>0.128</x:v>
      </x:c>
      <x:c r="C10" s="23" t="n">
        <x:f>C9+B10</x:f>
        <x:v>0.959</x:v>
      </x:c>
      <x:c r="D10" s="460" t="n">
        <x:f>A10-40000</x:f>
        <x:v>189900</x:v>
      </x:c>
      <x:c r="E10" s="23" t="n">
        <x:f>B10</x:f>
        <x:v>0.128</x:v>
      </x:c>
      <x:c r="F10" s="460" t="n">
        <x:f>A10-D10</x:f>
        <x:v>40000</x:v>
      </x:c>
      <x:c r="G10" s="460" t="n">
        <x:f>259900-A10</x:f>
        <x:v>30000</x:v>
      </x:c>
      <x:c r="H10" s="19" t="str">
        <x:v>PRESSURE_TAIL</x:v>
      </x:c>
      <x:c r="I10" s="19" t="str">
        <x:v>117/85</x:v>
      </x:c>
      <x:c r="J10" s="19" t="str">
        <x:v>深降时可能以取消N70商品化替代继续降价</x:v>
      </x:c>
    </x:row>
    <x:row r="11" ht="46" customHeight="1">
      <x:c r="A11" s="647" t="n">
        <x:f>'117_价格概率传导'!A11</x:f>
        <x:v>219900</x:v>
      </x:c>
      <x:c r="B11" s="648" t="n">
        <x:f>'117_价格概率传导'!F11</x:f>
        <x:v>0.040999999999999995</x:v>
      </x:c>
      <x:c r="C11" s="648" t="n">
        <x:f>C10+B11</x:f>
        <x:v>1</x:v>
      </x:c>
      <x:c r="D11" s="647" t="n">
        <x:f>A11-40000</x:f>
        <x:v>179900</x:v>
      </x:c>
      <x:c r="E11" s="648" t="n">
        <x:f>B11</x:f>
        <x:v>0.040999999999999995</x:v>
      </x:c>
      <x:c r="F11" s="647" t="n">
        <x:f>A11-D11</x:f>
        <x:v>40000</x:v>
      </x:c>
      <x:c r="G11" s="647" t="n">
        <x:f>259900-A11</x:f>
        <x:v>40000</x:v>
      </x:c>
      <x:c r="H11" s="643" t="str">
        <x:v>PRESSURE_TAIL</x:v>
      </x:c>
      <x:c r="I11" s="643" t="str">
        <x:v>117/85</x:v>
      </x:c>
      <x:c r="J11" s="643" t="str">
        <x:v>深降时可能以取消N70商品化替代继续降价</x:v>
      </x:c>
    </x:row>
    <x:row r="14" ht="24" customHeight="1">
      <x:c r="A14" s="646" t="str">
        <x:v>分布摘要与模型权重覆盖区间</x:v>
      </x:c>
      <x:c r="B14" s="646"/>
      <x:c r="C14" s="646"/>
      <x:c r="D14" s="646"/>
      <x:c r="E14" s="646"/>
      <x:c r="F14" s="646"/>
      <x:c r="G14" s="646"/>
      <x:c r="H14" s="646"/>
      <x:c r="I14" s="646"/>
      <x:c r="J14" s="646"/>
    </x:row>
    <x:row r="15" ht="48" customHeight="1">
      <x:c r="A15" s="642" t="str">
        <x:v>对象</x:v>
      </x:c>
      <x:c r="B15" s="642" t="str">
        <x:v>权重合计</x:v>
      </x:c>
      <x:c r="C15" s="642" t="str">
        <x:v>众数</x:v>
      </x:c>
      <x:c r="D15" s="642" t="str">
        <x:v>期望价</x:v>
      </x:c>
      <x:c r="E15" s="642" t="str">
        <x:v>80%最短连续覆盖</x:v>
      </x:c>
      <x:c r="F15" s="642" t="str">
        <x:v>实际覆盖</x:v>
      </x:c>
      <x:c r="G15" s="642" t="str">
        <x:v>95%最短连续覆盖</x:v>
      </x:c>
    </x:row>
    <x:row r="16" ht="48" customHeight="1">
      <x:c r="A16" s="19" t="str">
        <x:v>N70 Max</x:v>
      </x:c>
      <x:c r="B16" s="23" t="n">
        <x:f>SUM(B6:B11)</x:f>
        <x:v>1</x:v>
      </x:c>
      <x:c r="C16" s="460" t="n">
        <x:f>INDEX(A6:A11,MATCH(MAX(B6:B11),B6:B11,0))</x:f>
        <x:v>249900</x:v>
      </x:c>
      <x:c r="D16" s="460" t="n">
        <x:f>SUMPRODUCT(A6:A11,B6:B11)</x:f>
        <x:v>243605.00000000003</x:v>
      </x:c>
      <x:c r="E16" s="19" t="str">
        <x:f>A10&amp;"—"&amp;A8</x:f>
        <x:v>229900—249900</x:v>
      </x:c>
      <x:c r="F16" s="23" t="n">
        <x:f>SUM(B8:B10)</x:f>
        <x:v>0.8690000000000001</x:v>
      </x:c>
      <x:c r="G16" s="19" t="str">
        <x:f>A10&amp;"—"&amp;A6</x:f>
        <x:v>229900—259900</x:v>
      </x:c>
    </x:row>
    <x:row r="17" ht="48" customHeight="1">
      <x:c r="A17" s="643" t="str">
        <x:v>N70｜减4万中心桥</x:v>
      </x:c>
      <x:c r="B17" s="648" t="n">
        <x:f>SUM(E6:E11)</x:f>
        <x:v>1</x:v>
      </x:c>
      <x:c r="C17" s="647" t="n">
        <x:f>INDEX(D6:D11,MATCH(MAX(E6:E11),E6:E11,0))</x:f>
        <x:v>209900</x:v>
      </x:c>
      <x:c r="D17" s="647" t="n">
        <x:f>SUMPRODUCT(D6:D11,E6:E11)</x:f>
        <x:v>203605.00000000003</x:v>
      </x:c>
      <x:c r="E17" s="643" t="str">
        <x:f>D10&amp;"—"&amp;D8</x:f>
        <x:v>189900—209900</x:v>
      </x:c>
      <x:c r="F17" s="648" t="n">
        <x:f>SUM(E8:E10)</x:f>
        <x:v>0.8690000000000001</x:v>
      </x:c>
      <x:c r="G17" s="643" t="str">
        <x:f>D10&amp;"—"&amp;D6</x:f>
        <x:v>189900—219900</x:v>
      </x:c>
    </x:row>
    <x:row r="20" ht="42" customHeight="1">
      <x:c r="A20" s="642" t="str">
        <x:v>风险指标</x:v>
      </x:c>
      <x:c r="B20" s="642" t="str">
        <x:v>公式结果</x:v>
      </x:c>
      <x:c r="C20" s="642" t="str">
        <x:v>解释</x:v>
      </x:c>
      <x:c r="D20" s="642" t="str">
        <x:v>状态</x:v>
      </x:c>
    </x:row>
    <x:row r="21" ht="46" customHeight="1">
      <x:c r="A21" s="19" t="str">
        <x:v>P(N70 Max≤23.99)</x:v>
      </x:c>
      <x:c r="B21" s="23" t="n">
        <x:f>SUM(B9:B11)</x:f>
        <x:v>0.478</x:v>
      </x:c>
      <x:c r="C21" s="19" t="str">
        <x:v>大于等于降2万元的完整尾部</x:v>
      </x:c>
      <x:c r="D21" s="19" t="str">
        <x:v>LOW_PRICE_NONZERO</x:v>
      </x:c>
    </x:row>
    <x:row r="22" ht="46" customHeight="1">
      <x:c r="A22" s="643" t="str">
        <x:v>P(N70 Max≤22.99)</x:v>
      </x:c>
      <x:c r="B22" s="648" t="n">
        <x:f>SUM(B10:B11)</x:f>
        <x:v>0.16899999999999998</x:v>
      </x:c>
      <x:c r="C22" s="643" t="str">
        <x:v>大于等于降3万元</x:v>
      </x:c>
      <x:c r="D22" s="643" t="str">
        <x:v>STRONG_ATTACK_TAIL</x:v>
      </x:c>
    </x:row>
    <x:row r="23" ht="46" customHeight="1">
      <x:c r="A23" s="19" t="str">
        <x:v>P(N70≤18.99｜减4万桥)</x:v>
      </x:c>
      <x:c r="B23" s="23" t="n">
        <x:f>SUM(E10:E11)</x:f>
        <x:v>0.16899999999999998</x:v>
      </x:c>
      <x:c r="C23" s="19" t="str">
        <x:v>深降时可能取消SKU</x:v>
      </x:c>
      <x:c r="D23" s="19" t="str">
        <x:v>COMMERCIAL_GATE</x:v>
      </x:c>
    </x:row>
    <x:row r="24" ht="46" customHeight="1">
      <x:c r="A24" s="643" t="str">
        <x:v>N70旧发布权重（停用）</x:v>
      </x:c>
      <x:c r="B24" s="648" t="n">
        <x:v>0.65</x:v>
      </x:c>
      <x:c r="C24" s="643" t="str">
        <x:v>尾标已锁但商品卡仍缺；不再作首发概率</x:v>
      </x:c>
      <x:c r="D24" s="643" t="str">
        <x:v>RETIRED_WEIGHT</x:v>
      </x:c>
    </x:row>
    <x:row r="25" ht="46" customHeight="1">
      <x:c r="A25" s="19" t="str">
        <x:v>N70旧生命周期权重（停用）</x:v>
      </x:c>
      <x:c r="B25" s="23" t="n">
        <x:v>0.85</x:v>
      </x:c>
      <x:c r="C25" s="19" t="str">
        <x:v>只保留历史敏感性</x:v>
      </x:c>
      <x:c r="D25" s="19" t="str">
        <x:v>RETIRED_WEIGHT</x:v>
      </x:c>
    </x:row>
  </x:sheetData>
  <x:mergeCells>
    <x:mergeCell ref="A1:N1"/>
    <x:mergeCell ref="A2:N2"/>
    <x:mergeCell ref="A3:N3"/>
    <x:mergeCell ref="A14:J14"/>
  </x:mergeCells>
  <x:conditionalFormatting sqref="H6:H11">
    <x:cfRule type="containsText" dxfId="3619" priority="1" operator="containsText" text="PASS"/>
    <x:cfRule type="containsText" dxfId="3620" priority="2" operator="containsText" text="SIGNED"/>
    <x:cfRule type="containsText" dxfId="3621" priority="3" operator="containsText" text="CONFIRMED"/>
    <x:cfRule type="containsText" dxfId="3622" priority="4" operator="containsText" text="OFFICIAL"/>
    <x:cfRule type="containsText" dxfId="3623" priority="5" operator="containsText" text="FINAL"/>
    <x:cfRule type="containsText" dxfId="3624" priority="6" operator="containsText" text="READY"/>
    <x:cfRule type="containsText" dxfId="3625" priority="7" operator="containsText" text="MODEL"/>
    <x:cfRule type="containsText" dxfId="3626" priority="8" operator="containsText" text="CONDITIONAL"/>
    <x:cfRule type="containsText" dxfId="3627" priority="9" operator="containsText" text="PREDICTED"/>
    <x:cfRule type="containsText" dxfId="3628" priority="10" operator="containsText" text="MEDIUM"/>
    <x:cfRule type="containsText" dxfId="3629" priority="11" operator="containsText" text="WORKING"/>
    <x:cfRule type="containsText" dxfId="3630" priority="12" operator="containsText" text="WATCH"/>
    <x:cfRule type="containsText" dxfId="3631" priority="13" operator="containsText" text="EXCLUDED"/>
    <x:cfRule type="containsText" dxfId="3632" priority="14" operator="containsText" text="SEPARATE"/>
    <x:cfRule type="containsText" dxfId="3633" priority="15" operator="containsText" text="REGULATORY"/>
    <x:cfRule type="containsText" dxfId="3634" priority="16" operator="containsText" text="FAIL"/>
    <x:cfRule type="containsText" dxfId="3635" priority="17" operator="containsText" text="BLOCKED"/>
    <x:cfRule type="containsText" dxfId="3636" priority="18" operator="containsText" text="LOW"/>
  </x:conditionalFormatting>
  <x:conditionalFormatting sqref="D21:D25">
    <x:cfRule type="containsText" dxfId="3637" priority="19" operator="containsText" text="PASS"/>
    <x:cfRule type="containsText" dxfId="3638" priority="20" operator="containsText" text="SIGNED"/>
    <x:cfRule type="containsText" dxfId="3639" priority="21" operator="containsText" text="CONFIRMED"/>
    <x:cfRule type="containsText" dxfId="3640" priority="22" operator="containsText" text="OFFICIAL"/>
    <x:cfRule type="containsText" dxfId="3641" priority="23" operator="containsText" text="FINAL"/>
    <x:cfRule type="containsText" dxfId="3642" priority="24" operator="containsText" text="READY"/>
    <x:cfRule type="containsText" dxfId="3643" priority="25" operator="containsText" text="MODEL"/>
    <x:cfRule type="containsText" dxfId="3644" priority="26" operator="containsText" text="CONDITIONAL"/>
    <x:cfRule type="containsText" dxfId="3645" priority="27" operator="containsText" text="PREDICTED"/>
    <x:cfRule type="containsText" dxfId="3646" priority="28" operator="containsText" text="MEDIUM"/>
    <x:cfRule type="containsText" dxfId="3647" priority="29" operator="containsText" text="WORKING"/>
    <x:cfRule type="containsText" dxfId="3648" priority="30" operator="containsText" text="WATCH"/>
    <x:cfRule type="containsText" dxfId="3649" priority="31" operator="containsText" text="EXCLUDED"/>
    <x:cfRule type="containsText" dxfId="3650" priority="32" operator="containsText" text="SEPARATE"/>
    <x:cfRule type="containsText" dxfId="3651" priority="33" operator="containsText" text="REGULATORY"/>
    <x:cfRule type="containsText" dxfId="3652" priority="34" operator="containsText" text="FAIL"/>
    <x:cfRule type="containsText" dxfId="3653" priority="35" operator="containsText" text="BLOCKED"/>
    <x:cfRule type="containsText" dxfId="3654" priority="36" operator="containsText" text="LOW"/>
  </x:conditionalFormatting>
  <x:pageMargins left="0.7" right="0.7" top="0.75" bottom="0.75" header="0.3" footer="0.3"/>
  <x:drawing xmlns:r="http://schemas.openxmlformats.org/officeDocument/2006/relationships" r:id="Rddc260b48618484a"/>
</x:worksheet>
</file>

<file path=xl/worksheets/sheet13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12" hidden="0" customWidth="1"/>
    <x:col min="3" max="3" width="26" hidden="0" customWidth="1"/>
    <x:col min="4" max="4" width="14" hidden="0" customWidth="1"/>
    <x:col min="5" max="5" width="16" hidden="0" customWidth="1"/>
    <x:col min="6" max="6" width="14" hidden="0" customWidth="1"/>
    <x:col min="7" max="7" width="16" hidden="0" customWidth="1"/>
    <x:col min="8" max="8" width="18" hidden="0" customWidth="1"/>
    <x:col min="9" max="9" width="19" hidden="0" customWidth="1"/>
    <x:col min="10" max="10" width="18" hidden="0" customWidth="1"/>
    <x:col min="11" max="11" width="18" hidden="0" customWidth="1"/>
    <x:col min="12" max="12" width="38" hidden="0" customWidth="1"/>
    <x:col min="13" max="13" width="42" hidden="0" customWidth="1"/>
    <x:col min="14" max="14" width="20" hidden="0" customWidth="1"/>
  </x:cols>
  <x:sheetData>
    <x:row r="1" ht="30" customHeight="1">
      <x:c r="A1" s="630" t="str">
        <x:v>132｜N90扩展阵容叶节点：仅作条件敏感性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</x:row>
    <x:row r="2" ht="22" customHeight="1">
      <x:c r="A2" s="633" t="str">
        <x:v>30个旧模型状态完整保留｜联合权重=启发式阵容权重×价格核权重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</x:row>
    <x:row r="3" ht="92" customHeight="1">
      <x:c r="A3" s="637" t="str">
        <x:v>本表不再代表最可能首发阵容。它只展示：若未来出现Standard/Pro且Max承担不同商品角色，价格如何联动。当前官网与申报尾标只支持N90 Max，Standard/Pro没有首发证据；因此旧叶权重不得解释为客观发布概率。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</x:row>
    <x:row r="5" ht="56" customHeight="1">
      <x:c r="A5" s="642" t="str">
        <x:v>scenario_id</x:v>
      </x:c>
      <x:c r="B5" s="642" t="str">
        <x:v>leaf_id</x:v>
      </x:c>
      <x:c r="C5" s="642" t="str">
        <x:v>阵容</x:v>
      </x:c>
      <x:c r="D5" s="642" t="str">
        <x:v>叶权重</x:v>
      </x:c>
      <x:c r="E5" s="642" t="str">
        <x:v>X价格核</x:v>
      </x:c>
      <x:c r="F5" s="642" t="str">
        <x:v>X权重</x:v>
      </x:c>
      <x:c r="G5" s="642" t="str">
        <x:v>联合权重</x:v>
      </x:c>
      <x:c r="H5" s="642" t="str">
        <x:v>N90 Max</x:v>
      </x:c>
      <x:c r="I5" s="642" t="str">
        <x:v>Max相对预售降幅</x:v>
      </x:c>
      <x:c r="J5" s="642" t="str">
        <x:v>N90 Standard</x:v>
      </x:c>
      <x:c r="K5" s="642" t="str">
        <x:v>N90 Pro</x:v>
      </x:c>
      <x:c r="L5" s="642" t="str">
        <x:v>角色公式</x:v>
      </x:c>
      <x:c r="M5" s="642" t="str">
        <x:v>配置门槛</x:v>
      </x:c>
      <x:c r="N5" s="642" t="str">
        <x:v>状态</x:v>
      </x:c>
    </x:row>
    <x:row r="6" ht="44" customHeight="1">
      <x:c r="A6" s="19" t="str">
        <x:v>L0-X1</x:v>
      </x:c>
      <x:c r="B6" s="19" t="str">
        <x:v>L0</x:v>
      </x:c>
      <x:c r="C6" s="19" t="str">
        <x:v>仅Max</x:v>
      </x:c>
      <x:c r="D6" s="23" t="n">
        <x:f>'130_联合算法'!C16</x:f>
        <x:v>0.6</x:v>
      </x:c>
      <x:c r="E6" s="460" t="n">
        <x:f>'130_联合算法'!A6</x:f>
        <x:v>299900</x:v>
      </x:c>
      <x:c r="F6" s="23" t="n">
        <x:f>'130_联合算法'!C6</x:f>
        <x:v>0.028999999999999998</x:v>
      </x:c>
      <x:c r="G6" s="23" t="n">
        <x:f>D6*F6</x:f>
        <x:v>0.0174</x:v>
      </x:c>
      <x:c r="H6" s="460" t="n">
        <x:f>E6</x:f>
        <x:v>299900</x:v>
      </x:c>
      <x:c r="I6" s="460" t="n">
        <x:f>299900-H6</x:f>
        <x:v>0</x:v>
      </x:c>
      <x:c r="J6" s="460"/>
      <x:c r="K6" s="460"/>
      <x:c r="L6" s="19" t="str">
        <x:v>M=X</x:v>
      </x:c>
      <x:c r="M6" s="19" t="str">
        <x:v>Max承担起售价</x:v>
      </x:c>
      <x:c r="N6" s="19" t="str">
        <x:v>FINAL_LEAF</x:v>
      </x:c>
    </x:row>
    <x:row r="7" ht="44" customHeight="1">
      <x:c r="A7" s="643" t="str">
        <x:v>L0-X2</x:v>
      </x:c>
      <x:c r="B7" s="643" t="str">
        <x:v>L0</x:v>
      </x:c>
      <x:c r="C7" s="643" t="str">
        <x:v>仅Max</x:v>
      </x:c>
      <x:c r="D7" s="648" t="n">
        <x:f>'130_联合算法'!C16</x:f>
        <x:v>0.6</x:v>
      </x:c>
      <x:c r="E7" s="647" t="n">
        <x:f>'130_联合算法'!A7</x:f>
        <x:v>293900</x:v>
      </x:c>
      <x:c r="F7" s="648" t="n">
        <x:f>'130_联合算法'!C7</x:f>
        <x:v>0.0375</x:v>
      </x:c>
      <x:c r="G7" s="648" t="n">
        <x:f>D7*F7</x:f>
        <x:v>0.0225</x:v>
      </x:c>
      <x:c r="H7" s="647" t="n">
        <x:f>E7</x:f>
        <x:v>293900</x:v>
      </x:c>
      <x:c r="I7" s="647" t="n">
        <x:f>299900-H7</x:f>
        <x:v>6000</x:v>
      </x:c>
      <x:c r="J7" s="647"/>
      <x:c r="K7" s="647"/>
      <x:c r="L7" s="643" t="str">
        <x:v>M=X</x:v>
      </x:c>
      <x:c r="M7" s="643" t="str">
        <x:v>Max承担起售价</x:v>
      </x:c>
      <x:c r="N7" s="643" t="str">
        <x:v>FINAL_LEAF</x:v>
      </x:c>
    </x:row>
    <x:row r="8" ht="44" customHeight="1">
      <x:c r="A8" s="19" t="str">
        <x:v>L0-X3</x:v>
      </x:c>
      <x:c r="B8" s="19" t="str">
        <x:v>L0</x:v>
      </x:c>
      <x:c r="C8" s="19" t="str">
        <x:v>仅Max</x:v>
      </x:c>
      <x:c r="D8" s="23" t="n">
        <x:f>'130_联合算法'!C16</x:f>
        <x:v>0.6</x:v>
      </x:c>
      <x:c r="E8" s="460" t="n">
        <x:f>'130_联合算法'!A8</x:f>
        <x:v>289900</x:v>
      </x:c>
      <x:c r="F8" s="23" t="n">
        <x:f>'130_联合算法'!C8</x:f>
        <x:v>0.244</x:v>
      </x:c>
      <x:c r="G8" s="23" t="n">
        <x:f>D8*F8</x:f>
        <x:v>0.1464</x:v>
      </x:c>
      <x:c r="H8" s="460" t="n">
        <x:f>E8</x:f>
        <x:v>289900</x:v>
      </x:c>
      <x:c r="I8" s="460" t="n">
        <x:f>299900-H8</x:f>
        <x:v>10000</x:v>
      </x:c>
      <x:c r="J8" s="460"/>
      <x:c r="K8" s="460"/>
      <x:c r="L8" s="19" t="str">
        <x:v>M=X</x:v>
      </x:c>
      <x:c r="M8" s="19" t="str">
        <x:v>Max承担起售价</x:v>
      </x:c>
      <x:c r="N8" s="19" t="str">
        <x:v>FINAL_LEAF</x:v>
      </x:c>
    </x:row>
    <x:row r="9" ht="44" customHeight="1">
      <x:c r="A9" s="643" t="str">
        <x:v>L0-X4</x:v>
      </x:c>
      <x:c r="B9" s="643" t="str">
        <x:v>L0</x:v>
      </x:c>
      <x:c r="C9" s="643" t="str">
        <x:v>仅Max</x:v>
      </x:c>
      <x:c r="D9" s="648" t="n">
        <x:f>'130_联合算法'!C16</x:f>
        <x:v>0.6</x:v>
      </x:c>
      <x:c r="E9" s="647" t="n">
        <x:f>'130_联合算法'!A9</x:f>
        <x:v>279900</x:v>
      </x:c>
      <x:c r="F9" s="648" t="n">
        <x:f>'130_联合算法'!C9</x:f>
        <x:v>0.40149999999999997</x:v>
      </x:c>
      <x:c r="G9" s="648" t="n">
        <x:f>D9*F9</x:f>
        <x:v>0.24089999999999998</x:v>
      </x:c>
      <x:c r="H9" s="647" t="n">
        <x:f>E9</x:f>
        <x:v>279900</x:v>
      </x:c>
      <x:c r="I9" s="647" t="n">
        <x:f>299900-H9</x:f>
        <x:v>20000</x:v>
      </x:c>
      <x:c r="J9" s="647"/>
      <x:c r="K9" s="647"/>
      <x:c r="L9" s="643" t="str">
        <x:v>M=X</x:v>
      </x:c>
      <x:c r="M9" s="643" t="str">
        <x:v>Max承担起售价</x:v>
      </x:c>
      <x:c r="N9" s="643" t="str">
        <x:v>FINAL_LEAF</x:v>
      </x:c>
    </x:row>
    <x:row r="10" ht="44" customHeight="1">
      <x:c r="A10" s="19" t="str">
        <x:v>L0-X5</x:v>
      </x:c>
      <x:c r="B10" s="19" t="str">
        <x:v>L0</x:v>
      </x:c>
      <x:c r="C10" s="19" t="str">
        <x:v>仅Max</x:v>
      </x:c>
      <x:c r="D10" s="23" t="n">
        <x:f>'130_联合算法'!C16</x:f>
        <x:v>0.6</x:v>
      </x:c>
      <x:c r="E10" s="460" t="n">
        <x:f>'130_联合算法'!A10</x:f>
        <x:v>269900</x:v>
      </x:c>
      <x:c r="F10" s="23" t="n">
        <x:f>'130_联合算法'!C10</x:f>
        <x:v>0.2175</x:v>
      </x:c>
      <x:c r="G10" s="23" t="n">
        <x:f>D10*F10</x:f>
        <x:v>0.1305</x:v>
      </x:c>
      <x:c r="H10" s="460" t="n">
        <x:f>E10</x:f>
        <x:v>269900</x:v>
      </x:c>
      <x:c r="I10" s="460" t="n">
        <x:f>299900-H10</x:f>
        <x:v>30000</x:v>
      </x:c>
      <x:c r="J10" s="460"/>
      <x:c r="K10" s="460"/>
      <x:c r="L10" s="19" t="str">
        <x:v>M=X</x:v>
      </x:c>
      <x:c r="M10" s="19" t="str">
        <x:v>Max承担起售价</x:v>
      </x:c>
      <x:c r="N10" s="19" t="str">
        <x:v>FINAL_LEAF</x:v>
      </x:c>
    </x:row>
    <x:row r="11" ht="44" customHeight="1">
      <x:c r="A11" s="643" t="str">
        <x:v>L0-X6</x:v>
      </x:c>
      <x:c r="B11" s="643" t="str">
        <x:v>L0</x:v>
      </x:c>
      <x:c r="C11" s="643" t="str">
        <x:v>仅Max</x:v>
      </x:c>
      <x:c r="D11" s="648" t="n">
        <x:f>'130_联合算法'!C16</x:f>
        <x:v>0.6</x:v>
      </x:c>
      <x:c r="E11" s="647" t="n">
        <x:f>'130_联合算法'!A11</x:f>
        <x:v>259900</x:v>
      </x:c>
      <x:c r="F11" s="648" t="n">
        <x:f>'130_联合算法'!C11</x:f>
        <x:v>0.0705</x:v>
      </x:c>
      <x:c r="G11" s="648" t="n">
        <x:f>D11*F11</x:f>
        <x:v>0.0423</x:v>
      </x:c>
      <x:c r="H11" s="647" t="n">
        <x:f>E11</x:f>
        <x:v>259900</x:v>
      </x:c>
      <x:c r="I11" s="647" t="n">
        <x:f>299900-H11</x:f>
        <x:v>40000</x:v>
      </x:c>
      <x:c r="J11" s="647"/>
      <x:c r="K11" s="647"/>
      <x:c r="L11" s="643" t="str">
        <x:v>M=X</x:v>
      </x:c>
      <x:c r="M11" s="643" t="str">
        <x:v>Max承担起售价</x:v>
      </x:c>
      <x:c r="N11" s="643" t="str">
        <x:v>FINAL_LEAF</x:v>
      </x:c>
    </x:row>
    <x:row r="12" ht="44" customHeight="1">
      <x:c r="A12" s="19" t="str">
        <x:v>L1A-X1</x:v>
      </x:c>
      <x:c r="B12" s="19" t="str">
        <x:v>L1A</x:v>
      </x:c>
      <x:c r="C12" s="19" t="str">
        <x:v>Standard+Max 主</x:v>
      </x:c>
      <x:c r="D12" s="23" t="n">
        <x:f>'130_联合算法'!C17</x:f>
        <x:v>0.15</x:v>
      </x:c>
      <x:c r="E12" s="460" t="n">
        <x:f>'130_联合算法'!A6</x:f>
        <x:v>299900</x:v>
      </x:c>
      <x:c r="F12" s="23" t="n">
        <x:f>'130_联合算法'!C6</x:f>
        <x:v>0.028999999999999998</x:v>
      </x:c>
      <x:c r="G12" s="23" t="n">
        <x:f>D12*F12</x:f>
        <x:v>0.00435</x:v>
      </x:c>
      <x:c r="H12" s="460" t="n">
        <x:f>MIN(299900,E12+20000)</x:f>
        <x:v>299900</x:v>
      </x:c>
      <x:c r="I12" s="460" t="n">
        <x:f>299900-H12</x:f>
        <x:v>0</x:v>
      </x:c>
      <x:c r="J12" s="460" t="n">
        <x:f>H12-30000</x:f>
        <x:v>269900</x:v>
      </x:c>
      <x:c r="K12" s="460"/>
      <x:c r="L12" s="19" t="str">
        <x:v>M=min(29.99,X+2万)；Std=M−3万</x:v>
      </x:c>
      <x:c r="M12" s="19" t="str">
        <x:v>Standard须有明显底盘/座舱减项</x:v>
      </x:c>
      <x:c r="N12" s="19" t="str">
        <x:v>FINAL_LEAF</x:v>
      </x:c>
    </x:row>
    <x:row r="13" ht="44" customHeight="1">
      <x:c r="A13" s="643" t="str">
        <x:v>L1A-X2</x:v>
      </x:c>
      <x:c r="B13" s="643" t="str">
        <x:v>L1A</x:v>
      </x:c>
      <x:c r="C13" s="643" t="str">
        <x:v>Standard+Max 主</x:v>
      </x:c>
      <x:c r="D13" s="648" t="n">
        <x:f>'130_联合算法'!C17</x:f>
        <x:v>0.15</x:v>
      </x:c>
      <x:c r="E13" s="647" t="n">
        <x:f>'130_联合算法'!A7</x:f>
        <x:v>293900</x:v>
      </x:c>
      <x:c r="F13" s="648" t="n">
        <x:f>'130_联合算法'!C7</x:f>
        <x:v>0.0375</x:v>
      </x:c>
      <x:c r="G13" s="648" t="n">
        <x:f>D13*F13</x:f>
        <x:v>0.005625</x:v>
      </x:c>
      <x:c r="H13" s="647" t="n">
        <x:f>MIN(299900,E13+20000)</x:f>
        <x:v>299900</x:v>
      </x:c>
      <x:c r="I13" s="647" t="n">
        <x:f>299900-H13</x:f>
        <x:v>0</x:v>
      </x:c>
      <x:c r="J13" s="647" t="n">
        <x:f>H13-30000</x:f>
        <x:v>269900</x:v>
      </x:c>
      <x:c r="K13" s="647"/>
      <x:c r="L13" s="643" t="str">
        <x:v>M=min(29.99,X+2万)；Std=M−3万</x:v>
      </x:c>
      <x:c r="M13" s="643" t="str">
        <x:v>Standard须有明显底盘/座舱减项</x:v>
      </x:c>
      <x:c r="N13" s="643" t="str">
        <x:v>FINAL_LEAF</x:v>
      </x:c>
    </x:row>
    <x:row r="14" ht="44" customHeight="1">
      <x:c r="A14" s="19" t="str">
        <x:v>L1A-X3</x:v>
      </x:c>
      <x:c r="B14" s="19" t="str">
        <x:v>L1A</x:v>
      </x:c>
      <x:c r="C14" s="19" t="str">
        <x:v>Standard+Max 主</x:v>
      </x:c>
      <x:c r="D14" s="23" t="n">
        <x:f>'130_联合算法'!C17</x:f>
        <x:v>0.15</x:v>
      </x:c>
      <x:c r="E14" s="460" t="n">
        <x:f>'130_联合算法'!A8</x:f>
        <x:v>289900</x:v>
      </x:c>
      <x:c r="F14" s="23" t="n">
        <x:f>'130_联合算法'!C8</x:f>
        <x:v>0.244</x:v>
      </x:c>
      <x:c r="G14" s="23" t="n">
        <x:f>D14*F14</x:f>
        <x:v>0.0366</x:v>
      </x:c>
      <x:c r="H14" s="460" t="n">
        <x:f>MIN(299900,E14+20000)</x:f>
        <x:v>299900</x:v>
      </x:c>
      <x:c r="I14" s="460" t="n">
        <x:f>299900-H14</x:f>
        <x:v>0</x:v>
      </x:c>
      <x:c r="J14" s="460" t="n">
        <x:f>H14-30000</x:f>
        <x:v>269900</x:v>
      </x:c>
      <x:c r="K14" s="460"/>
      <x:c r="L14" s="19" t="str">
        <x:v>M=min(29.99,X+2万)；Std=M−3万</x:v>
      </x:c>
      <x:c r="M14" s="19" t="str">
        <x:v>Standard须有明显底盘/座舱减项</x:v>
      </x:c>
      <x:c r="N14" s="19" t="str">
        <x:v>FINAL_LEAF</x:v>
      </x:c>
    </x:row>
    <x:row r="15" ht="44" customHeight="1">
      <x:c r="A15" s="643" t="str">
        <x:v>L1A-X4</x:v>
      </x:c>
      <x:c r="B15" s="643" t="str">
        <x:v>L1A</x:v>
      </x:c>
      <x:c r="C15" s="643" t="str">
        <x:v>Standard+Max 主</x:v>
      </x:c>
      <x:c r="D15" s="648" t="n">
        <x:f>'130_联合算法'!C17</x:f>
        <x:v>0.15</x:v>
      </x:c>
      <x:c r="E15" s="647" t="n">
        <x:f>'130_联合算法'!A9</x:f>
        <x:v>279900</x:v>
      </x:c>
      <x:c r="F15" s="648" t="n">
        <x:f>'130_联合算法'!C9</x:f>
        <x:v>0.40149999999999997</x:v>
      </x:c>
      <x:c r="G15" s="648" t="n">
        <x:f>D15*F15</x:f>
        <x:v>0.060224999999999994</x:v>
      </x:c>
      <x:c r="H15" s="647" t="n">
        <x:f>MIN(299900,E15+20000)</x:f>
        <x:v>299900</x:v>
      </x:c>
      <x:c r="I15" s="647" t="n">
        <x:f>299900-H15</x:f>
        <x:v>0</x:v>
      </x:c>
      <x:c r="J15" s="647" t="n">
        <x:f>H15-30000</x:f>
        <x:v>269900</x:v>
      </x:c>
      <x:c r="K15" s="647"/>
      <x:c r="L15" s="643" t="str">
        <x:v>M=min(29.99,X+2万)；Std=M−3万</x:v>
      </x:c>
      <x:c r="M15" s="643" t="str">
        <x:v>Standard须有明显底盘/座舱减项</x:v>
      </x:c>
      <x:c r="N15" s="643" t="str">
        <x:v>FINAL_LEAF</x:v>
      </x:c>
    </x:row>
    <x:row r="16" ht="44" customHeight="1">
      <x:c r="A16" s="19" t="str">
        <x:v>L1A-X5</x:v>
      </x:c>
      <x:c r="B16" s="19" t="str">
        <x:v>L1A</x:v>
      </x:c>
      <x:c r="C16" s="19" t="str">
        <x:v>Standard+Max 主</x:v>
      </x:c>
      <x:c r="D16" s="23" t="n">
        <x:f>'130_联合算法'!C17</x:f>
        <x:v>0.15</x:v>
      </x:c>
      <x:c r="E16" s="460" t="n">
        <x:f>'130_联合算法'!A10</x:f>
        <x:v>269900</x:v>
      </x:c>
      <x:c r="F16" s="23" t="n">
        <x:f>'130_联合算法'!C10</x:f>
        <x:v>0.2175</x:v>
      </x:c>
      <x:c r="G16" s="23" t="n">
        <x:f>D16*F16</x:f>
        <x:v>0.032625</x:v>
      </x:c>
      <x:c r="H16" s="460" t="n">
        <x:f>MIN(299900,E16+20000)</x:f>
        <x:v>289900</x:v>
      </x:c>
      <x:c r="I16" s="460" t="n">
        <x:f>299900-H16</x:f>
        <x:v>10000</x:v>
      </x:c>
      <x:c r="J16" s="460" t="n">
        <x:f>H16-30000</x:f>
        <x:v>259900</x:v>
      </x:c>
      <x:c r="K16" s="460"/>
      <x:c r="L16" s="19" t="str">
        <x:v>M=min(29.99,X+2万)；Std=M−3万</x:v>
      </x:c>
      <x:c r="M16" s="19" t="str">
        <x:v>Standard须有明显底盘/座舱减项</x:v>
      </x:c>
      <x:c r="N16" s="19" t="str">
        <x:v>FINAL_LEAF</x:v>
      </x:c>
    </x:row>
    <x:row r="17" ht="44" customHeight="1">
      <x:c r="A17" s="643" t="str">
        <x:v>L1A-X6</x:v>
      </x:c>
      <x:c r="B17" s="643" t="str">
        <x:v>L1A</x:v>
      </x:c>
      <x:c r="C17" s="643" t="str">
        <x:v>Standard+Max 主</x:v>
      </x:c>
      <x:c r="D17" s="648" t="n">
        <x:f>'130_联合算法'!C17</x:f>
        <x:v>0.15</x:v>
      </x:c>
      <x:c r="E17" s="647" t="n">
        <x:f>'130_联合算法'!A11</x:f>
        <x:v>259900</x:v>
      </x:c>
      <x:c r="F17" s="648" t="n">
        <x:f>'130_联合算法'!C11</x:f>
        <x:v>0.0705</x:v>
      </x:c>
      <x:c r="G17" s="648" t="n">
        <x:f>D17*F17</x:f>
        <x:v>0.010575</x:v>
      </x:c>
      <x:c r="H17" s="647" t="n">
        <x:f>MIN(299900,E17+20000)</x:f>
        <x:v>279900</x:v>
      </x:c>
      <x:c r="I17" s="647" t="n">
        <x:f>299900-H17</x:f>
        <x:v>20000</x:v>
      </x:c>
      <x:c r="J17" s="647" t="n">
        <x:f>H17-30000</x:f>
        <x:v>249900</x:v>
      </x:c>
      <x:c r="K17" s="647"/>
      <x:c r="L17" s="643" t="str">
        <x:v>M=min(29.99,X+2万)；Std=M−3万</x:v>
      </x:c>
      <x:c r="M17" s="643" t="str">
        <x:v>Standard须有明显底盘/座舱减项</x:v>
      </x:c>
      <x:c r="N17" s="643" t="str">
        <x:v>FINAL_LEAF</x:v>
      </x:c>
    </x:row>
    <x:row r="18" ht="44" customHeight="1">
      <x:c r="A18" s="19" t="str">
        <x:v>L1B-X1</x:v>
      </x:c>
      <x:c r="B18" s="19" t="str">
        <x:v>L1B</x:v>
      </x:c>
      <x:c r="C18" s="19" t="str">
        <x:v>Standard+Max 备</x:v>
      </x:c>
      <x:c r="D18" s="23" t="n">
        <x:f>'130_联合算法'!C18</x:f>
        <x:v>0.1</x:v>
      </x:c>
      <x:c r="E18" s="460" t="n">
        <x:f>'130_联合算法'!A6</x:f>
        <x:v>299900</x:v>
      </x:c>
      <x:c r="F18" s="23" t="n">
        <x:f>'130_联合算法'!C6</x:f>
        <x:v>0.028999999999999998</x:v>
      </x:c>
      <x:c r="G18" s="23" t="n">
        <x:f>D18*F18</x:f>
        <x:v>0.0029</x:v>
      </x:c>
      <x:c r="H18" s="460" t="n">
        <x:f>MIN(289900,E18+10000)</x:f>
        <x:v>289900</x:v>
      </x:c>
      <x:c r="I18" s="460" t="n">
        <x:f>299900-H18</x:f>
        <x:v>10000</x:v>
      </x:c>
      <x:c r="J18" s="460" t="n">
        <x:f>H18-30000</x:f>
        <x:v>259900</x:v>
      </x:c>
      <x:c r="K18" s="460"/>
      <x:c r="L18" s="19" t="str">
        <x:v>M=min(28.99,X+1万)；Std=M−3万</x:v>
      </x:c>
      <x:c r="M18" s="19" t="str">
        <x:v>性价比两档整组下移</x:v>
      </x:c>
      <x:c r="N18" s="19" t="str">
        <x:v>FINAL_LEAF</x:v>
      </x:c>
    </x:row>
    <x:row r="19" ht="44" customHeight="1">
      <x:c r="A19" s="643" t="str">
        <x:v>L1B-X2</x:v>
      </x:c>
      <x:c r="B19" s="643" t="str">
        <x:v>L1B</x:v>
      </x:c>
      <x:c r="C19" s="643" t="str">
        <x:v>Standard+Max 备</x:v>
      </x:c>
      <x:c r="D19" s="648" t="n">
        <x:f>'130_联合算法'!C18</x:f>
        <x:v>0.1</x:v>
      </x:c>
      <x:c r="E19" s="647" t="n">
        <x:f>'130_联合算法'!A7</x:f>
        <x:v>293900</x:v>
      </x:c>
      <x:c r="F19" s="648" t="n">
        <x:f>'130_联合算法'!C7</x:f>
        <x:v>0.0375</x:v>
      </x:c>
      <x:c r="G19" s="648" t="n">
        <x:f>D19*F19</x:f>
        <x:v>0.00375</x:v>
      </x:c>
      <x:c r="H19" s="647" t="n">
        <x:f>MIN(289900,E19+10000)</x:f>
        <x:v>289900</x:v>
      </x:c>
      <x:c r="I19" s="647" t="n">
        <x:f>299900-H19</x:f>
        <x:v>10000</x:v>
      </x:c>
      <x:c r="J19" s="647" t="n">
        <x:f>H19-30000</x:f>
        <x:v>259900</x:v>
      </x:c>
      <x:c r="K19" s="647"/>
      <x:c r="L19" s="643" t="str">
        <x:v>M=min(28.99,X+1万)；Std=M−3万</x:v>
      </x:c>
      <x:c r="M19" s="643" t="str">
        <x:v>性价比两档整组下移</x:v>
      </x:c>
      <x:c r="N19" s="643" t="str">
        <x:v>FINAL_LEAF</x:v>
      </x:c>
    </x:row>
    <x:row r="20" ht="44" customHeight="1">
      <x:c r="A20" s="19" t="str">
        <x:v>L1B-X3</x:v>
      </x:c>
      <x:c r="B20" s="19" t="str">
        <x:v>L1B</x:v>
      </x:c>
      <x:c r="C20" s="19" t="str">
        <x:v>Standard+Max 备</x:v>
      </x:c>
      <x:c r="D20" s="23" t="n">
        <x:f>'130_联合算法'!C18</x:f>
        <x:v>0.1</x:v>
      </x:c>
      <x:c r="E20" s="460" t="n">
        <x:f>'130_联合算法'!A8</x:f>
        <x:v>289900</x:v>
      </x:c>
      <x:c r="F20" s="23" t="n">
        <x:f>'130_联合算法'!C8</x:f>
        <x:v>0.244</x:v>
      </x:c>
      <x:c r="G20" s="23" t="n">
        <x:f>D20*F20</x:f>
        <x:v>0.0244</x:v>
      </x:c>
      <x:c r="H20" s="460" t="n">
        <x:f>MIN(289900,E20+10000)</x:f>
        <x:v>289900</x:v>
      </x:c>
      <x:c r="I20" s="460" t="n">
        <x:f>299900-H20</x:f>
        <x:v>10000</x:v>
      </x:c>
      <x:c r="J20" s="460" t="n">
        <x:f>H20-30000</x:f>
        <x:v>259900</x:v>
      </x:c>
      <x:c r="K20" s="460"/>
      <x:c r="L20" s="19" t="str">
        <x:v>M=min(28.99,X+1万)；Std=M−3万</x:v>
      </x:c>
      <x:c r="M20" s="19" t="str">
        <x:v>性价比两档整组下移</x:v>
      </x:c>
      <x:c r="N20" s="19" t="str">
        <x:v>FINAL_LEAF</x:v>
      </x:c>
    </x:row>
    <x:row r="21" ht="44" customHeight="1">
      <x:c r="A21" s="643" t="str">
        <x:v>L1B-X4</x:v>
      </x:c>
      <x:c r="B21" s="643" t="str">
        <x:v>L1B</x:v>
      </x:c>
      <x:c r="C21" s="643" t="str">
        <x:v>Standard+Max 备</x:v>
      </x:c>
      <x:c r="D21" s="648" t="n">
        <x:f>'130_联合算法'!C18</x:f>
        <x:v>0.1</x:v>
      </x:c>
      <x:c r="E21" s="647" t="n">
        <x:f>'130_联合算法'!A9</x:f>
        <x:v>279900</x:v>
      </x:c>
      <x:c r="F21" s="648" t="n">
        <x:f>'130_联合算法'!C9</x:f>
        <x:v>0.40149999999999997</x:v>
      </x:c>
      <x:c r="G21" s="648" t="n">
        <x:f>D21*F21</x:f>
        <x:v>0.04015</x:v>
      </x:c>
      <x:c r="H21" s="647" t="n">
        <x:f>MIN(289900,E21+10000)</x:f>
        <x:v>289900</x:v>
      </x:c>
      <x:c r="I21" s="647" t="n">
        <x:f>299900-H21</x:f>
        <x:v>10000</x:v>
      </x:c>
      <x:c r="J21" s="647" t="n">
        <x:f>H21-30000</x:f>
        <x:v>259900</x:v>
      </x:c>
      <x:c r="K21" s="647"/>
      <x:c r="L21" s="643" t="str">
        <x:v>M=min(28.99,X+1万)；Std=M−3万</x:v>
      </x:c>
      <x:c r="M21" s="643" t="str">
        <x:v>性价比两档整组下移</x:v>
      </x:c>
      <x:c r="N21" s="643" t="str">
        <x:v>FINAL_LEAF</x:v>
      </x:c>
    </x:row>
    <x:row r="22" ht="44" customHeight="1">
      <x:c r="A22" s="19" t="str">
        <x:v>L1B-X5</x:v>
      </x:c>
      <x:c r="B22" s="19" t="str">
        <x:v>L1B</x:v>
      </x:c>
      <x:c r="C22" s="19" t="str">
        <x:v>Standard+Max 备</x:v>
      </x:c>
      <x:c r="D22" s="23" t="n">
        <x:f>'130_联合算法'!C18</x:f>
        <x:v>0.1</x:v>
      </x:c>
      <x:c r="E22" s="460" t="n">
        <x:f>'130_联合算法'!A10</x:f>
        <x:v>269900</x:v>
      </x:c>
      <x:c r="F22" s="23" t="n">
        <x:f>'130_联合算法'!C10</x:f>
        <x:v>0.2175</x:v>
      </x:c>
      <x:c r="G22" s="23" t="n">
        <x:f>D22*F22</x:f>
        <x:v>0.021750000000000002</x:v>
      </x:c>
      <x:c r="H22" s="460" t="n">
        <x:f>MIN(289900,E22+10000)</x:f>
        <x:v>279900</x:v>
      </x:c>
      <x:c r="I22" s="460" t="n">
        <x:f>299900-H22</x:f>
        <x:v>20000</x:v>
      </x:c>
      <x:c r="J22" s="460" t="n">
        <x:f>H22-30000</x:f>
        <x:v>249900</x:v>
      </x:c>
      <x:c r="K22" s="460"/>
      <x:c r="L22" s="19" t="str">
        <x:v>M=min(28.99,X+1万)；Std=M−3万</x:v>
      </x:c>
      <x:c r="M22" s="19" t="str">
        <x:v>性价比两档整组下移</x:v>
      </x:c>
      <x:c r="N22" s="19" t="str">
        <x:v>FINAL_LEAF</x:v>
      </x:c>
    </x:row>
    <x:row r="23" ht="44" customHeight="1">
      <x:c r="A23" s="643" t="str">
        <x:v>L1B-X6</x:v>
      </x:c>
      <x:c r="B23" s="643" t="str">
        <x:v>L1B</x:v>
      </x:c>
      <x:c r="C23" s="643" t="str">
        <x:v>Standard+Max 备</x:v>
      </x:c>
      <x:c r="D23" s="648" t="n">
        <x:f>'130_联合算法'!C18</x:f>
        <x:v>0.1</x:v>
      </x:c>
      <x:c r="E23" s="647" t="n">
        <x:f>'130_联合算法'!A11</x:f>
        <x:v>259900</x:v>
      </x:c>
      <x:c r="F23" s="648" t="n">
        <x:f>'130_联合算法'!C11</x:f>
        <x:v>0.0705</x:v>
      </x:c>
      <x:c r="G23" s="648" t="n">
        <x:f>D23*F23</x:f>
        <x:v>0.00705</x:v>
      </x:c>
      <x:c r="H23" s="647" t="n">
        <x:f>MIN(289900,E23+10000)</x:f>
        <x:v>269900</x:v>
      </x:c>
      <x:c r="I23" s="647" t="n">
        <x:f>299900-H23</x:f>
        <x:v>30000</x:v>
      </x:c>
      <x:c r="J23" s="647" t="n">
        <x:f>H23-30000</x:f>
        <x:v>239900</x:v>
      </x:c>
      <x:c r="K23" s="647"/>
      <x:c r="L23" s="643" t="str">
        <x:v>M=min(28.99,X+1万)；Std=M−3万</x:v>
      </x:c>
      <x:c r="M23" s="643" t="str">
        <x:v>性价比两档整组下移</x:v>
      </x:c>
      <x:c r="N23" s="643" t="str">
        <x:v>FINAL_LEAF</x:v>
      </x:c>
    </x:row>
    <x:row r="24" ht="44" customHeight="1">
      <x:c r="A24" s="19" t="str">
        <x:v>L2-X1</x:v>
      </x:c>
      <x:c r="B24" s="19" t="str">
        <x:v>L2</x:v>
      </x:c>
      <x:c r="C24" s="19" t="str">
        <x:v>Pro+Max</x:v>
      </x:c>
      <x:c r="D24" s="23" t="n">
        <x:f>'130_联合算法'!C19</x:f>
        <x:v>0.05</x:v>
      </x:c>
      <x:c r="E24" s="460" t="n">
        <x:f>'130_联合算法'!A6</x:f>
        <x:v>299900</x:v>
      </x:c>
      <x:c r="F24" s="23" t="n">
        <x:f>'130_联合算法'!C6</x:f>
        <x:v>0.028999999999999998</x:v>
      </x:c>
      <x:c r="G24" s="23" t="n">
        <x:f>D24*F24</x:f>
        <x:v>0.00145</x:v>
      </x:c>
      <x:c r="H24" s="460" t="n">
        <x:f>MIN(299900,E24+20000)</x:f>
        <x:v>299900</x:v>
      </x:c>
      <x:c r="I24" s="460" t="n">
        <x:f>299900-H24</x:f>
        <x:v>0</x:v>
      </x:c>
      <x:c r="J24" s="460"/>
      <x:c r="K24" s="460" t="n">
        <x:f>H24-20000</x:f>
        <x:v>279900</x:v>
      </x:c>
      <x:c r="L24" s="19" t="str">
        <x:v>M=min(29.99,X+2万)；Pro=M−2万</x:v>
      </x:c>
      <x:c r="M24" s="19" t="str">
        <x:v>Pro须有空悬或等价硬台阶</x:v>
      </x:c>
      <x:c r="N24" s="19" t="str">
        <x:v>CONDITIONAL_LEAF</x:v>
      </x:c>
    </x:row>
    <x:row r="25" ht="44" customHeight="1">
      <x:c r="A25" s="643" t="str">
        <x:v>L2-X2</x:v>
      </x:c>
      <x:c r="B25" s="643" t="str">
        <x:v>L2</x:v>
      </x:c>
      <x:c r="C25" s="643" t="str">
        <x:v>Pro+Max</x:v>
      </x:c>
      <x:c r="D25" s="648" t="n">
        <x:f>'130_联合算法'!C19</x:f>
        <x:v>0.05</x:v>
      </x:c>
      <x:c r="E25" s="647" t="n">
        <x:f>'130_联合算法'!A7</x:f>
        <x:v>293900</x:v>
      </x:c>
      <x:c r="F25" s="648" t="n">
        <x:f>'130_联合算法'!C7</x:f>
        <x:v>0.0375</x:v>
      </x:c>
      <x:c r="G25" s="648" t="n">
        <x:f>D25*F25</x:f>
        <x:v>0.001875</x:v>
      </x:c>
      <x:c r="H25" s="647" t="n">
        <x:f>MIN(299900,E25+20000)</x:f>
        <x:v>299900</x:v>
      </x:c>
      <x:c r="I25" s="647" t="n">
        <x:f>299900-H25</x:f>
        <x:v>0</x:v>
      </x:c>
      <x:c r="J25" s="647"/>
      <x:c r="K25" s="647" t="n">
        <x:f>H25-20000</x:f>
        <x:v>279900</x:v>
      </x:c>
      <x:c r="L25" s="643" t="str">
        <x:v>M=min(29.99,X+2万)；Pro=M−2万</x:v>
      </x:c>
      <x:c r="M25" s="643" t="str">
        <x:v>Pro须有空悬或等价硬台阶</x:v>
      </x:c>
      <x:c r="N25" s="643" t="str">
        <x:v>CONDITIONAL_LEAF</x:v>
      </x:c>
    </x:row>
    <x:row r="26" ht="44" customHeight="1">
      <x:c r="A26" s="19" t="str">
        <x:v>L2-X3</x:v>
      </x:c>
      <x:c r="B26" s="19" t="str">
        <x:v>L2</x:v>
      </x:c>
      <x:c r="C26" s="19" t="str">
        <x:v>Pro+Max</x:v>
      </x:c>
      <x:c r="D26" s="23" t="n">
        <x:f>'130_联合算法'!C19</x:f>
        <x:v>0.05</x:v>
      </x:c>
      <x:c r="E26" s="460" t="n">
        <x:f>'130_联合算法'!A8</x:f>
        <x:v>289900</x:v>
      </x:c>
      <x:c r="F26" s="23" t="n">
        <x:f>'130_联合算法'!C8</x:f>
        <x:v>0.244</x:v>
      </x:c>
      <x:c r="G26" s="23" t="n">
        <x:f>D26*F26</x:f>
        <x:v>0.0122</x:v>
      </x:c>
      <x:c r="H26" s="460" t="n">
        <x:f>MIN(299900,E26+20000)</x:f>
        <x:v>299900</x:v>
      </x:c>
      <x:c r="I26" s="460" t="n">
        <x:f>299900-H26</x:f>
        <x:v>0</x:v>
      </x:c>
      <x:c r="J26" s="460"/>
      <x:c r="K26" s="460" t="n">
        <x:f>H26-20000</x:f>
        <x:v>279900</x:v>
      </x:c>
      <x:c r="L26" s="19" t="str">
        <x:v>M=min(29.99,X+2万)；Pro=M−2万</x:v>
      </x:c>
      <x:c r="M26" s="19" t="str">
        <x:v>Pro须有空悬或等价硬台阶</x:v>
      </x:c>
      <x:c r="N26" s="19" t="str">
        <x:v>CONDITIONAL_LEAF</x:v>
      </x:c>
    </x:row>
    <x:row r="27" ht="44" customHeight="1">
      <x:c r="A27" s="643" t="str">
        <x:v>L2-X4</x:v>
      </x:c>
      <x:c r="B27" s="643" t="str">
        <x:v>L2</x:v>
      </x:c>
      <x:c r="C27" s="643" t="str">
        <x:v>Pro+Max</x:v>
      </x:c>
      <x:c r="D27" s="648" t="n">
        <x:f>'130_联合算法'!C19</x:f>
        <x:v>0.05</x:v>
      </x:c>
      <x:c r="E27" s="647" t="n">
        <x:f>'130_联合算法'!A9</x:f>
        <x:v>279900</x:v>
      </x:c>
      <x:c r="F27" s="648" t="n">
        <x:f>'130_联合算法'!C9</x:f>
        <x:v>0.40149999999999997</x:v>
      </x:c>
      <x:c r="G27" s="648" t="n">
        <x:f>D27*F27</x:f>
        <x:v>0.020075</x:v>
      </x:c>
      <x:c r="H27" s="647" t="n">
        <x:f>MIN(299900,E27+20000)</x:f>
        <x:v>299900</x:v>
      </x:c>
      <x:c r="I27" s="647" t="n">
        <x:f>299900-H27</x:f>
        <x:v>0</x:v>
      </x:c>
      <x:c r="J27" s="647"/>
      <x:c r="K27" s="647" t="n">
        <x:f>H27-20000</x:f>
        <x:v>279900</x:v>
      </x:c>
      <x:c r="L27" s="643" t="str">
        <x:v>M=min(29.99,X+2万)；Pro=M−2万</x:v>
      </x:c>
      <x:c r="M27" s="643" t="str">
        <x:v>Pro须有空悬或等价硬台阶</x:v>
      </x:c>
      <x:c r="N27" s="643" t="str">
        <x:v>CONDITIONAL_LEAF</x:v>
      </x:c>
    </x:row>
    <x:row r="28" ht="44" customHeight="1">
      <x:c r="A28" s="19" t="str">
        <x:v>L2-X5</x:v>
      </x:c>
      <x:c r="B28" s="19" t="str">
        <x:v>L2</x:v>
      </x:c>
      <x:c r="C28" s="19" t="str">
        <x:v>Pro+Max</x:v>
      </x:c>
      <x:c r="D28" s="23" t="n">
        <x:f>'130_联合算法'!C19</x:f>
        <x:v>0.05</x:v>
      </x:c>
      <x:c r="E28" s="460" t="n">
        <x:f>'130_联合算法'!A10</x:f>
        <x:v>269900</x:v>
      </x:c>
      <x:c r="F28" s="23" t="n">
        <x:f>'130_联合算法'!C10</x:f>
        <x:v>0.2175</x:v>
      </x:c>
      <x:c r="G28" s="23" t="n">
        <x:f>D28*F28</x:f>
        <x:v>0.010875000000000001</x:v>
      </x:c>
      <x:c r="H28" s="460" t="n">
        <x:f>MIN(299900,E28+20000)</x:f>
        <x:v>289900</x:v>
      </x:c>
      <x:c r="I28" s="460" t="n">
        <x:f>299900-H28</x:f>
        <x:v>10000</x:v>
      </x:c>
      <x:c r="J28" s="460"/>
      <x:c r="K28" s="460" t="n">
        <x:f>H28-20000</x:f>
        <x:v>269900</x:v>
      </x:c>
      <x:c r="L28" s="19" t="str">
        <x:v>M=min(29.99,X+2万)；Pro=M−2万</x:v>
      </x:c>
      <x:c r="M28" s="19" t="str">
        <x:v>Pro须有空悬或等价硬台阶</x:v>
      </x:c>
      <x:c r="N28" s="19" t="str">
        <x:v>CONDITIONAL_LEAF</x:v>
      </x:c>
    </x:row>
    <x:row r="29" ht="44" customHeight="1">
      <x:c r="A29" s="643" t="str">
        <x:v>L2-X6</x:v>
      </x:c>
      <x:c r="B29" s="643" t="str">
        <x:v>L2</x:v>
      </x:c>
      <x:c r="C29" s="643" t="str">
        <x:v>Pro+Max</x:v>
      </x:c>
      <x:c r="D29" s="648" t="n">
        <x:f>'130_联合算法'!C19</x:f>
        <x:v>0.05</x:v>
      </x:c>
      <x:c r="E29" s="647" t="n">
        <x:f>'130_联合算法'!A11</x:f>
        <x:v>259900</x:v>
      </x:c>
      <x:c r="F29" s="648" t="n">
        <x:f>'130_联合算法'!C11</x:f>
        <x:v>0.0705</x:v>
      </x:c>
      <x:c r="G29" s="648" t="n">
        <x:f>D29*F29</x:f>
        <x:v>0.003525</x:v>
      </x:c>
      <x:c r="H29" s="647" t="n">
        <x:f>MIN(299900,E29+20000)</x:f>
        <x:v>279900</x:v>
      </x:c>
      <x:c r="I29" s="647" t="n">
        <x:f>299900-H29</x:f>
        <x:v>20000</x:v>
      </x:c>
      <x:c r="J29" s="647"/>
      <x:c r="K29" s="647" t="n">
        <x:f>H29-20000</x:f>
        <x:v>259900</x:v>
      </x:c>
      <x:c r="L29" s="643" t="str">
        <x:v>M=min(29.99,X+2万)；Pro=M−2万</x:v>
      </x:c>
      <x:c r="M29" s="643" t="str">
        <x:v>Pro须有空悬或等价硬台阶</x:v>
      </x:c>
      <x:c r="N29" s="643" t="str">
        <x:v>CONDITIONAL_LEAF</x:v>
      </x:c>
    </x:row>
    <x:row r="30" ht="44" customHeight="1">
      <x:c r="A30" s="19" t="str">
        <x:v>L3-X1</x:v>
      </x:c>
      <x:c r="B30" s="19" t="str">
        <x:v>L3</x:v>
      </x:c>
      <x:c r="C30" s="19" t="str">
        <x:v>Standard+Pro+Max</x:v>
      </x:c>
      <x:c r="D30" s="23" t="n">
        <x:f>'130_联合算法'!C20</x:f>
        <x:v>0.1</x:v>
      </x:c>
      <x:c r="E30" s="460" t="n">
        <x:f>'130_联合算法'!A6</x:f>
        <x:v>299900</x:v>
      </x:c>
      <x:c r="F30" s="23" t="n">
        <x:f>'130_联合算法'!C6</x:f>
        <x:v>0.028999999999999998</x:v>
      </x:c>
      <x:c r="G30" s="23" t="n">
        <x:f>D30*F30</x:f>
        <x:v>0.0029</x:v>
      </x:c>
      <x:c r="H30" s="460" t="n">
        <x:f>MIN(299900,E30+20000)</x:f>
        <x:v>299900</x:v>
      </x:c>
      <x:c r="I30" s="460" t="n">
        <x:f>299900-H30</x:f>
        <x:v>0</x:v>
      </x:c>
      <x:c r="J30" s="460" t="n">
        <x:f>H30-40000</x:f>
        <x:v>259900</x:v>
      </x:c>
      <x:c r="K30" s="460" t="n">
        <x:f>H30-20000</x:f>
        <x:v>279900</x:v>
      </x:c>
      <x:c r="L30" s="19" t="str">
        <x:v>M=min(29.99,X+2万)；Std/Pro各隔2万</x:v>
      </x:c>
      <x:c r="M30" s="19" t="str">
        <x:v>三档每步必须有独立硬台阶</x:v>
      </x:c>
      <x:c r="N30" s="19" t="str">
        <x:v>STRICT_LEAF</x:v>
      </x:c>
    </x:row>
    <x:row r="31" ht="44" customHeight="1">
      <x:c r="A31" s="643" t="str">
        <x:v>L3-X2</x:v>
      </x:c>
      <x:c r="B31" s="643" t="str">
        <x:v>L3</x:v>
      </x:c>
      <x:c r="C31" s="643" t="str">
        <x:v>Standard+Pro+Max</x:v>
      </x:c>
      <x:c r="D31" s="648" t="n">
        <x:f>'130_联合算法'!C20</x:f>
        <x:v>0.1</x:v>
      </x:c>
      <x:c r="E31" s="647" t="n">
        <x:f>'130_联合算法'!A7</x:f>
        <x:v>293900</x:v>
      </x:c>
      <x:c r="F31" s="648" t="n">
        <x:f>'130_联合算法'!C7</x:f>
        <x:v>0.0375</x:v>
      </x:c>
      <x:c r="G31" s="648" t="n">
        <x:f>D31*F31</x:f>
        <x:v>0.00375</x:v>
      </x:c>
      <x:c r="H31" s="647" t="n">
        <x:f>MIN(299900,E31+20000)</x:f>
        <x:v>299900</x:v>
      </x:c>
      <x:c r="I31" s="647" t="n">
        <x:f>299900-H31</x:f>
        <x:v>0</x:v>
      </x:c>
      <x:c r="J31" s="647" t="n">
        <x:f>H31-40000</x:f>
        <x:v>259900</x:v>
      </x:c>
      <x:c r="K31" s="647" t="n">
        <x:f>H31-20000</x:f>
        <x:v>279900</x:v>
      </x:c>
      <x:c r="L31" s="643" t="str">
        <x:v>M=min(29.99,X+2万)；Std/Pro各隔2万</x:v>
      </x:c>
      <x:c r="M31" s="643" t="str">
        <x:v>三档每步必须有独立硬台阶</x:v>
      </x:c>
      <x:c r="N31" s="643" t="str">
        <x:v>STRICT_LEAF</x:v>
      </x:c>
    </x:row>
    <x:row r="32" ht="44" customHeight="1">
      <x:c r="A32" s="19" t="str">
        <x:v>L3-X3</x:v>
      </x:c>
      <x:c r="B32" s="19" t="str">
        <x:v>L3</x:v>
      </x:c>
      <x:c r="C32" s="19" t="str">
        <x:v>Standard+Pro+Max</x:v>
      </x:c>
      <x:c r="D32" s="23" t="n">
        <x:f>'130_联合算法'!C20</x:f>
        <x:v>0.1</x:v>
      </x:c>
      <x:c r="E32" s="460" t="n">
        <x:f>'130_联合算法'!A8</x:f>
        <x:v>289900</x:v>
      </x:c>
      <x:c r="F32" s="23" t="n">
        <x:f>'130_联合算法'!C8</x:f>
        <x:v>0.244</x:v>
      </x:c>
      <x:c r="G32" s="23" t="n">
        <x:f>D32*F32</x:f>
        <x:v>0.0244</x:v>
      </x:c>
      <x:c r="H32" s="460" t="n">
        <x:f>MIN(299900,E32+20000)</x:f>
        <x:v>299900</x:v>
      </x:c>
      <x:c r="I32" s="460" t="n">
        <x:f>299900-H32</x:f>
        <x:v>0</x:v>
      </x:c>
      <x:c r="J32" s="460" t="n">
        <x:f>H32-40000</x:f>
        <x:v>259900</x:v>
      </x:c>
      <x:c r="K32" s="460" t="n">
        <x:f>H32-20000</x:f>
        <x:v>279900</x:v>
      </x:c>
      <x:c r="L32" s="19" t="str">
        <x:v>M=min(29.99,X+2万)；Std/Pro各隔2万</x:v>
      </x:c>
      <x:c r="M32" s="19" t="str">
        <x:v>三档每步必须有独立硬台阶</x:v>
      </x:c>
      <x:c r="N32" s="19" t="str">
        <x:v>STRICT_LEAF</x:v>
      </x:c>
    </x:row>
    <x:row r="33" ht="44" customHeight="1">
      <x:c r="A33" s="643" t="str">
        <x:v>L3-X4</x:v>
      </x:c>
      <x:c r="B33" s="643" t="str">
        <x:v>L3</x:v>
      </x:c>
      <x:c r="C33" s="643" t="str">
        <x:v>Standard+Pro+Max</x:v>
      </x:c>
      <x:c r="D33" s="648" t="n">
        <x:f>'130_联合算法'!C20</x:f>
        <x:v>0.1</x:v>
      </x:c>
      <x:c r="E33" s="647" t="n">
        <x:f>'130_联合算法'!A9</x:f>
        <x:v>279900</x:v>
      </x:c>
      <x:c r="F33" s="648" t="n">
        <x:f>'130_联合算法'!C9</x:f>
        <x:v>0.40149999999999997</x:v>
      </x:c>
      <x:c r="G33" s="648" t="n">
        <x:f>D33*F33</x:f>
        <x:v>0.04015</x:v>
      </x:c>
      <x:c r="H33" s="647" t="n">
        <x:f>MIN(299900,E33+20000)</x:f>
        <x:v>299900</x:v>
      </x:c>
      <x:c r="I33" s="647" t="n">
        <x:f>299900-H33</x:f>
        <x:v>0</x:v>
      </x:c>
      <x:c r="J33" s="647" t="n">
        <x:f>H33-40000</x:f>
        <x:v>259900</x:v>
      </x:c>
      <x:c r="K33" s="647" t="n">
        <x:f>H33-20000</x:f>
        <x:v>279900</x:v>
      </x:c>
      <x:c r="L33" s="643" t="str">
        <x:v>M=min(29.99,X+2万)；Std/Pro各隔2万</x:v>
      </x:c>
      <x:c r="M33" s="643" t="str">
        <x:v>三档每步必须有独立硬台阶</x:v>
      </x:c>
      <x:c r="N33" s="643" t="str">
        <x:v>STRICT_LEAF</x:v>
      </x:c>
    </x:row>
    <x:row r="34" ht="44" customHeight="1">
      <x:c r="A34" s="19" t="str">
        <x:v>L3-X5</x:v>
      </x:c>
      <x:c r="B34" s="19" t="str">
        <x:v>L3</x:v>
      </x:c>
      <x:c r="C34" s="19" t="str">
        <x:v>Standard+Pro+Max</x:v>
      </x:c>
      <x:c r="D34" s="23" t="n">
        <x:f>'130_联合算法'!C20</x:f>
        <x:v>0.1</x:v>
      </x:c>
      <x:c r="E34" s="460" t="n">
        <x:f>'130_联合算法'!A10</x:f>
        <x:v>269900</x:v>
      </x:c>
      <x:c r="F34" s="23" t="n">
        <x:f>'130_联合算法'!C10</x:f>
        <x:v>0.2175</x:v>
      </x:c>
      <x:c r="G34" s="23" t="n">
        <x:f>D34*F34</x:f>
        <x:v>0.021750000000000002</x:v>
      </x:c>
      <x:c r="H34" s="460" t="n">
        <x:f>MIN(299900,E34+20000)</x:f>
        <x:v>289900</x:v>
      </x:c>
      <x:c r="I34" s="460" t="n">
        <x:f>299900-H34</x:f>
        <x:v>10000</x:v>
      </x:c>
      <x:c r="J34" s="460" t="n">
        <x:f>H34-40000</x:f>
        <x:v>249900</x:v>
      </x:c>
      <x:c r="K34" s="460" t="n">
        <x:f>H34-20000</x:f>
        <x:v>269900</x:v>
      </x:c>
      <x:c r="L34" s="19" t="str">
        <x:v>M=min(29.99,X+2万)；Std/Pro各隔2万</x:v>
      </x:c>
      <x:c r="M34" s="19" t="str">
        <x:v>三档每步必须有独立硬台阶</x:v>
      </x:c>
      <x:c r="N34" s="19" t="str">
        <x:v>STRICT_LEAF</x:v>
      </x:c>
    </x:row>
    <x:row r="35" ht="44" customHeight="1">
      <x:c r="A35" s="643" t="str">
        <x:v>L3-X6</x:v>
      </x:c>
      <x:c r="B35" s="643" t="str">
        <x:v>L3</x:v>
      </x:c>
      <x:c r="C35" s="643" t="str">
        <x:v>Standard+Pro+Max</x:v>
      </x:c>
      <x:c r="D35" s="648" t="n">
        <x:f>'130_联合算法'!C20</x:f>
        <x:v>0.1</x:v>
      </x:c>
      <x:c r="E35" s="647" t="n">
        <x:f>'130_联合算法'!A11</x:f>
        <x:v>259900</x:v>
      </x:c>
      <x:c r="F35" s="648" t="n">
        <x:f>'130_联合算法'!C11</x:f>
        <x:v>0.0705</x:v>
      </x:c>
      <x:c r="G35" s="648" t="n">
        <x:f>D35*F35</x:f>
        <x:v>0.00705</x:v>
      </x:c>
      <x:c r="H35" s="647" t="n">
        <x:f>MIN(299900,E35+20000)</x:f>
        <x:v>279900</x:v>
      </x:c>
      <x:c r="I35" s="647" t="n">
        <x:f>299900-H35</x:f>
        <x:v>20000</x:v>
      </x:c>
      <x:c r="J35" s="647" t="n">
        <x:f>H35-40000</x:f>
        <x:v>239900</x:v>
      </x:c>
      <x:c r="K35" s="647" t="n">
        <x:f>H35-20000</x:f>
        <x:v>259900</x:v>
      </x:c>
      <x:c r="L35" s="643" t="str">
        <x:v>M=min(29.99,X+2万)；Std/Pro各隔2万</x:v>
      </x:c>
      <x:c r="M35" s="643" t="str">
        <x:v>三档每步必须有独立硬台阶</x:v>
      </x:c>
      <x:c r="N35" s="643" t="str">
        <x:v>STRICT_LEAF</x:v>
      </x:c>
    </x:row>
    <x:row r="38" ht="24" customHeight="1">
      <x:c r="A38" s="646" t="str">
        <x:v>叶级校验摘要</x:v>
      </x:c>
      <x:c r="B38" s="646"/>
      <x:c r="C38" s="646"/>
      <x:c r="D38" s="646"/>
      <x:c r="E38" s="646"/>
      <x:c r="F38" s="646"/>
      <x:c r="G38" s="646"/>
      <x:c r="H38" s="646"/>
      <x:c r="I38" s="646"/>
      <x:c r="J38" s="646"/>
      <x:c r="K38" s="646"/>
      <x:c r="L38" s="646"/>
      <x:c r="M38" s="646"/>
      <x:c r="N38" s="646"/>
    </x:row>
    <x:row r="39" ht="42" customHeight="1">
      <x:c r="A39" s="642" t="str">
        <x:v>指标</x:v>
      </x:c>
      <x:c r="B39" s="642" t="str">
        <x:v>结果</x:v>
      </x:c>
      <x:c r="C39" s="642" t="str">
        <x:v>应为</x:v>
      </x:c>
      <x:c r="D39" s="642" t="str">
        <x:v>状态</x:v>
      </x:c>
      <x:c r="E39" s="642" t="str">
        <x:v>解释</x:v>
      </x:c>
      <x:c r="F39" s="642" t="str">
        <x:v>回链</x:v>
      </x:c>
    </x:row>
    <x:row r="40" ht="42" customHeight="1">
      <x:c r="A40" s="19" t="str">
        <x:v>30叶联合权重</x:v>
      </x:c>
      <x:c r="B40" s="23" t="n">
        <x:f>SUM(G6:G35)</x:f>
        <x:v>0.9999999999999999</x:v>
      </x:c>
      <x:c r="C40" s="23" t="n">
        <x:v>1</x:v>
      </x:c>
      <x:c r="D40" s="19" t="str">
        <x:f>IF(ABS(B40-C40)&lt;0.0001,"PASS","FAIL")</x:f>
        <x:v>PASS</x:v>
      </x:c>
      <x:c r="E40" s="19" t="str">
        <x:v>联合权重守恒</x:v>
      </x:c>
      <x:c r="F40" s="19" t="str">
        <x:v>130/132</x:v>
      </x:c>
    </x:row>
    <x:row r="41" ht="42" customHeight="1">
      <x:c r="A41" s="643" t="str">
        <x:v>L0权重</x:v>
      </x:c>
      <x:c r="B41" s="648" t="n">
        <x:f>SUM(G6:G11)</x:f>
        <x:v>0.6</x:v>
      </x:c>
      <x:c r="C41" s="648" t="n">
        <x:v>0.6</x:v>
      </x:c>
      <x:c r="D41" s="643" t="str">
        <x:f>IF(ABS(B41-C41)&lt;0.0001,"PASS","FAIL")</x:f>
        <x:v>PASS</x:v>
      </x:c>
      <x:c r="E41" s="643" t="str">
        <x:v>联合权重守恒</x:v>
      </x:c>
      <x:c r="F41" s="643" t="str">
        <x:v>130/132</x:v>
      </x:c>
    </x:row>
    <x:row r="42" ht="42" customHeight="1">
      <x:c r="A42" s="19" t="str">
        <x:v>L1A权重</x:v>
      </x:c>
      <x:c r="B42" s="23" t="n">
        <x:f>SUM(G12:G17)</x:f>
        <x:v>0.15</x:v>
      </x:c>
      <x:c r="C42" s="23" t="n">
        <x:v>0.15</x:v>
      </x:c>
      <x:c r="D42" s="19" t="str">
        <x:f>IF(ABS(B42-C42)&lt;0.0001,"PASS","FAIL")</x:f>
        <x:v>PASS</x:v>
      </x:c>
      <x:c r="E42" s="19" t="str">
        <x:v>联合权重守恒</x:v>
      </x:c>
      <x:c r="F42" s="19" t="str">
        <x:v>130/132</x:v>
      </x:c>
    </x:row>
    <x:row r="43" ht="42" customHeight="1">
      <x:c r="A43" s="643" t="str">
        <x:v>L1B权重</x:v>
      </x:c>
      <x:c r="B43" s="648" t="n">
        <x:f>SUM(G18:G23)</x:f>
        <x:v>0.1</x:v>
      </x:c>
      <x:c r="C43" s="648" t="n">
        <x:v>0.1</x:v>
      </x:c>
      <x:c r="D43" s="643" t="str">
        <x:f>IF(ABS(B43-C43)&lt;0.0001,"PASS","FAIL")</x:f>
        <x:v>PASS</x:v>
      </x:c>
      <x:c r="E43" s="643" t="str">
        <x:v>联合权重守恒</x:v>
      </x:c>
      <x:c r="F43" s="643" t="str">
        <x:v>130/132</x:v>
      </x:c>
    </x:row>
    <x:row r="44" ht="42" customHeight="1">
      <x:c r="A44" s="19" t="str">
        <x:v>L2权重</x:v>
      </x:c>
      <x:c r="B44" s="23" t="n">
        <x:f>SUM(G24:G29)</x:f>
        <x:v>0.05</x:v>
      </x:c>
      <x:c r="C44" s="23" t="n">
        <x:v>0.05</x:v>
      </x:c>
      <x:c r="D44" s="19" t="str">
        <x:f>IF(ABS(B44-C44)&lt;0.0001,"PASS","FAIL")</x:f>
        <x:v>PASS</x:v>
      </x:c>
      <x:c r="E44" s="19" t="str">
        <x:v>联合权重守恒</x:v>
      </x:c>
      <x:c r="F44" s="19" t="str">
        <x:v>130/132</x:v>
      </x:c>
    </x:row>
    <x:row r="45" ht="42" customHeight="1">
      <x:c r="A45" s="643" t="str">
        <x:v>L3权重</x:v>
      </x:c>
      <x:c r="B45" s="648" t="n">
        <x:f>SUM(G30:G35)</x:f>
        <x:v>0.1</x:v>
      </x:c>
      <x:c r="C45" s="648" t="n">
        <x:v>0.1</x:v>
      </x:c>
      <x:c r="D45" s="643" t="str">
        <x:f>IF(ABS(B45-C45)&lt;0.0001,"PASS","FAIL")</x:f>
        <x:v>PASS</x:v>
      </x:c>
      <x:c r="E45" s="643" t="str">
        <x:v>联合权重守恒</x:v>
      </x:c>
      <x:c r="F45" s="643" t="str">
        <x:v>130/132</x:v>
      </x:c>
    </x:row>
    <x:row r="46" ht="42" customHeight="1">
      <x:c r="A46" s="19" t="str">
        <x:v>Standard/Pro/Max存在权重</x:v>
      </x:c>
      <x:c r="B46" s="19" t="str">
        <x:f>SUM(G12:G23)+SUM(G30:G35)&amp;" / "&amp;SUM(G24:G35)&amp;" / "&amp;SUM(G6:G35)</x:f>
        <x:v>0.35 / 0.15 / 0.9999999999999999</x:v>
      </x:c>
      <x:c r="C46" s="19" t="str">
        <x:v>35% / 15% / 100%</x:v>
      </x:c>
      <x:c r="D46" s="19" t="str">
        <x:v>PASS</x:v>
      </x:c>
      <x:c r="E46" s="19" t="str">
        <x:v>存在权重按叶求和</x:v>
      </x:c>
      <x:c r="F46" s="19" t="str">
        <x:v>130</x:v>
      </x:c>
    </x:row>
  </x:sheetData>
  <x:mergeCells>
    <x:mergeCell ref="A1:N1"/>
    <x:mergeCell ref="A2:N2"/>
    <x:mergeCell ref="A3:N3"/>
    <x:mergeCell ref="A38:N38"/>
  </x:mergeCells>
  <x:conditionalFormatting sqref="N6:N35">
    <x:cfRule type="containsText" dxfId="3655" priority="1" operator="containsText" text="PASS"/>
    <x:cfRule type="containsText" dxfId="3656" priority="2" operator="containsText" text="SIGNED"/>
    <x:cfRule type="containsText" dxfId="3657" priority="3" operator="containsText" text="CONFIRMED"/>
    <x:cfRule type="containsText" dxfId="3658" priority="4" operator="containsText" text="OFFICIAL"/>
    <x:cfRule type="containsText" dxfId="3659" priority="5" operator="containsText" text="FINAL"/>
    <x:cfRule type="containsText" dxfId="3660" priority="6" operator="containsText" text="READY"/>
    <x:cfRule type="containsText" dxfId="3661" priority="7" operator="containsText" text="MODEL"/>
    <x:cfRule type="containsText" dxfId="3662" priority="8" operator="containsText" text="CONDITIONAL"/>
    <x:cfRule type="containsText" dxfId="3663" priority="9" operator="containsText" text="PREDICTED"/>
    <x:cfRule type="containsText" dxfId="3664" priority="10" operator="containsText" text="MEDIUM"/>
    <x:cfRule type="containsText" dxfId="3665" priority="11" operator="containsText" text="WORKING"/>
    <x:cfRule type="containsText" dxfId="3666" priority="12" operator="containsText" text="WATCH"/>
    <x:cfRule type="containsText" dxfId="3667" priority="13" operator="containsText" text="EXCLUDED"/>
    <x:cfRule type="containsText" dxfId="3668" priority="14" operator="containsText" text="SEPARATE"/>
    <x:cfRule type="containsText" dxfId="3669" priority="15" operator="containsText" text="REGULATORY"/>
    <x:cfRule type="containsText" dxfId="3670" priority="16" operator="containsText" text="FAIL"/>
    <x:cfRule type="containsText" dxfId="3671" priority="17" operator="containsText" text="BLOCKED"/>
    <x:cfRule type="containsText" dxfId="3672" priority="18" operator="containsText" text="LOW"/>
  </x:conditionalFormatting>
  <x:conditionalFormatting sqref="D40:D46">
    <x:cfRule type="containsText" dxfId="3673" priority="19" operator="containsText" text="PASS"/>
    <x:cfRule type="containsText" dxfId="3674" priority="20" operator="containsText" text="SIGNED"/>
    <x:cfRule type="containsText" dxfId="3675" priority="21" operator="containsText" text="CONFIRMED"/>
    <x:cfRule type="containsText" dxfId="3676" priority="22" operator="containsText" text="OFFICIAL"/>
    <x:cfRule type="containsText" dxfId="3677" priority="23" operator="containsText" text="FINAL"/>
    <x:cfRule type="containsText" dxfId="3678" priority="24" operator="containsText" text="READY"/>
    <x:cfRule type="containsText" dxfId="3679" priority="25" operator="containsText" text="MODEL"/>
    <x:cfRule type="containsText" dxfId="3680" priority="26" operator="containsText" text="CONDITIONAL"/>
    <x:cfRule type="containsText" dxfId="3681" priority="27" operator="containsText" text="PREDICTED"/>
    <x:cfRule type="containsText" dxfId="3682" priority="28" operator="containsText" text="MEDIUM"/>
    <x:cfRule type="containsText" dxfId="3683" priority="29" operator="containsText" text="WORKING"/>
    <x:cfRule type="containsText" dxfId="3684" priority="30" operator="containsText" text="WATCH"/>
    <x:cfRule type="containsText" dxfId="3685" priority="31" operator="containsText" text="EXCLUDED"/>
    <x:cfRule type="containsText" dxfId="3686" priority="32" operator="containsText" text="SEPARATE"/>
    <x:cfRule type="containsText" dxfId="3687" priority="33" operator="containsText" text="REGULATORY"/>
    <x:cfRule type="containsText" dxfId="3688" priority="34" operator="containsText" text="FAIL"/>
    <x:cfRule type="containsText" dxfId="3689" priority="35" operator="containsText" text="BLOCKED"/>
    <x:cfRule type="containsText" dxfId="3690" priority="36" operator="containsText" text="LOW"/>
  </x:conditionalFormatting>
  <x:pageMargins left="0.7" right="0.7" top="0.75" bottom="0.75" header="0.3" footer="0.3"/>
</x:worksheet>
</file>

<file path=xl/worksheets/sheet13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9" hidden="0" customWidth="1"/>
    <x:col min="2" max="2" width="18" hidden="0" customWidth="1"/>
    <x:col min="3" max="3" width="20" hidden="0" customWidth="1"/>
    <x:col min="4" max="4" width="22" hidden="0" customWidth="1"/>
    <x:col min="5" max="5" width="4" hidden="0" customWidth="1"/>
    <x:col min="6" max="6" width="22" hidden="0" customWidth="1"/>
    <x:col min="7" max="7" width="18" hidden="0" customWidth="1"/>
    <x:col min="8" max="8" width="22" hidden="0" customWidth="1"/>
    <x:col min="9" max="9" width="4" hidden="0" customWidth="1"/>
    <x:col min="10" max="10" width="18" hidden="0" customWidth="1"/>
    <x:col min="11" max="11" width="18" hidden="0" customWidth="1"/>
    <x:col min="12" max="12" width="22" hidden="0" customWidth="1"/>
    <x:col min="13" max="13" width="4" hidden="0" customWidth="1"/>
    <x:col min="14" max="14" width="14" hidden="0" customWidth="1"/>
    <x:col min="15" max="15" width="14" hidden="0" customWidth="1"/>
    <x:col min="16" max="16" width="14" hidden="0" customWidth="1"/>
  </x:cols>
  <x:sheetData>
    <x:row r="1" ht="30" customHeight="1">
      <x:c r="A1" s="630" t="str">
        <x:v>133｜N90条件价格边际：旧混合双峰已降级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  <x:c r="O1" s="630"/>
      <x:c r="P1" s="630"/>
    </x:row>
    <x:row r="2" ht="22" customHeight="1">
      <x:c r="A2" s="633" t="str">
        <x:v>正文主判断读“仅Max条件列”｜Standard/Pro只作生命周期情景｜旧无条件列保留审计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  <x:c r="O2" s="633"/>
      <x:c r="P2" s="633"/>
    </x:row>
    <x:row r="3" ht="92" customHeight="1">
      <x:c r="A3" s="637" t="str">
        <x:v>27.99与28.99几乎并列，是启发式阵容权重与role uplift相乘的结果，不是稳健市场双峰。当前官方阵容只公开N90 Max，所以正文中心押27.99万元；若未来增设低价SKU，Max再按28.99—29.99万元观察。更低尾仍保留，但精确百分比只适合作模型敏感性。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  <x:c r="O3" s="637"/>
      <x:c r="P3" s="637"/>
    </x:row>
    <x:row r="5" ht="46" customHeight="1">
      <x:c r="A5" s="642" t="str">
        <x:v>N90 Max价格</x:v>
      </x:c>
      <x:c r="B5" s="642" t="str">
        <x:v>无条件权重</x:v>
      </x:c>
      <x:c r="C5" s="642" t="str">
        <x:v>仅Max条件权重</x:v>
      </x:c>
      <x:c r="D5" s="642" t="str">
        <x:v>有低价SKU条件权重</x:v>
      </x:c>
      <x:c r="F5" s="642" t="str">
        <x:v>N90 Standard价格</x:v>
      </x:c>
      <x:c r="G5" s="642" t="str">
        <x:v>无条件权重</x:v>
      </x:c>
      <x:c r="H5" s="642" t="str">
        <x:v>条件于存在(35%)</x:v>
      </x:c>
      <x:c r="J5" s="642" t="str">
        <x:v>N90 Pro价格</x:v>
      </x:c>
      <x:c r="K5" s="642" t="str">
        <x:v>无条件权重</x:v>
      </x:c>
      <x:c r="L5" s="642" t="str">
        <x:v>条件于存在(15%)</x:v>
      </x:c>
    </x:row>
    <x:row r="6" ht="42" customHeight="1">
      <x:c r="A6" s="460" t="n">
        <x:v>259900</x:v>
      </x:c>
      <x:c r="B6" s="23" t="n">
        <x:f>SUMIF('132_N90联合叶节点'!$H$6:$H$35,A6,'132_N90联合叶节点'!$G$6:$G$35)</x:f>
        <x:v>0.0423</x:v>
      </x:c>
      <x:c r="C6" s="23" t="n">
        <x:f>SUMIF('132_N90联合叶节点'!$H$6:$H$11,A6,'132_N90联合叶节点'!$G$6:$G$11)/60%</x:f>
        <x:v>0.0705</x:v>
      </x:c>
      <x:c r="D6" s="23" t="n">
        <x:f>SUMIF('132_N90联合叶节点'!$H$12:$H$35,A6,'132_N90联合叶节点'!$G$12:$G$35)/40%</x:f>
        <x:v>0</x:v>
      </x:c>
      <x:c r="F6" s="460" t="n">
        <x:v>239900</x:v>
      </x:c>
      <x:c r="G6" s="23" t="n">
        <x:f>SUMIF('132_N90联合叶节点'!$J$6:$J$35,F6,'132_N90联合叶节点'!$G$6:$G$35)</x:f>
        <x:v>0.0141</x:v>
      </x:c>
      <x:c r="H6" s="23" t="n">
        <x:f>G6/35%</x:f>
        <x:v>0.040285714285714286</x:v>
      </x:c>
      <x:c r="I6"/>
      <x:c r="J6" s="460" t="n">
        <x:v>259900</x:v>
      </x:c>
      <x:c r="K6" s="23" t="n">
        <x:f>SUMIF('132_N90联合叶节点'!$K$6:$K$35,J6,'132_N90联合叶节点'!$G$6:$G$35)</x:f>
        <x:v>0.010575</x:v>
      </x:c>
      <x:c r="L6" s="23" t="n">
        <x:f>K6/15%</x:f>
        <x:v>0.0705</x:v>
      </x:c>
    </x:row>
    <x:row r="7" ht="42" customHeight="1">
      <x:c r="A7" s="647" t="n">
        <x:v>269900</x:v>
      </x:c>
      <x:c r="B7" s="648" t="n">
        <x:f>SUMIF('132_N90联合叶节点'!$H$6:$H$35,A7,'132_N90联合叶节点'!$G$6:$G$35)</x:f>
        <x:v>0.13755</x:v>
      </x:c>
      <x:c r="C7" s="648" t="n">
        <x:f>SUMIF('132_N90联合叶节点'!$H$6:$H$11,A7,'132_N90联合叶节点'!$G$6:$G$11)/60%</x:f>
        <x:v>0.21750000000000003</x:v>
      </x:c>
      <x:c r="D7" s="648" t="n">
        <x:f>SUMIF('132_N90联合叶节点'!$H$12:$H$35,A7,'132_N90联合叶节点'!$G$12:$G$35)/40%</x:f>
        <x:v>0.017625</x:v>
      </x:c>
      <x:c r="E7" s="649"/>
      <x:c r="F7" s="647" t="n">
        <x:v>249900</x:v>
      </x:c>
      <x:c r="G7" s="648" t="n">
        <x:f>SUMIF('132_N90联合叶节点'!$J$6:$J$35,F7,'132_N90联合叶节点'!$G$6:$G$35)</x:f>
        <x:v>0.054075</x:v>
      </x:c>
      <x:c r="H7" s="648" t="n">
        <x:f>G7/35%</x:f>
        <x:v>0.1545</x:v>
      </x:c>
      <x:c r="I7" s="649"/>
      <x:c r="J7" s="647" t="n">
        <x:v>269900</x:v>
      </x:c>
      <x:c r="K7" s="648" t="n">
        <x:f>SUMIF('132_N90联合叶节点'!$K$6:$K$35,J7,'132_N90联合叶节点'!$G$6:$G$35)</x:f>
        <x:v>0.032625</x:v>
      </x:c>
      <x:c r="L7" s="648" t="n">
        <x:f>K7/15%</x:f>
        <x:v>0.21750000000000003</x:v>
      </x:c>
    </x:row>
    <x:row r="8" ht="42" customHeight="1">
      <x:c r="A8" s="460" t="n">
        <x:v>279900</x:v>
      </x:c>
      <x:c r="B8" s="23" t="n">
        <x:f>SUMIF('132_N90联合叶节点'!$H$6:$H$35,A8,'132_N90联合叶节点'!$G$6:$G$35)</x:f>
        <x:v>0.28379999999999994</x:v>
      </x:c>
      <x:c r="C8" s="23" t="n">
        <x:f>SUMIF('132_N90联合叶节点'!$H$6:$H$11,A8,'132_N90联合叶节点'!$G$6:$G$11)/60%</x:f>
        <x:v>0.40149999999999997</x:v>
      </x:c>
      <x:c r="D8" s="23" t="n">
        <x:f>SUMIF('132_N90联合叶节点'!$H$12:$H$35,A8,'132_N90联合叶节点'!$G$12:$G$35)/40%</x:f>
        <x:v>0.10725</x:v>
      </x:c>
      <x:c r="F8" s="460" t="n">
        <x:v>259900</x:v>
      </x:c>
      <x:c r="G8" s="23" t="n">
        <x:f>SUMIF('132_N90联合叶节点'!$J$6:$J$35,F8,'132_N90联合叶节点'!$G$6:$G$35)</x:f>
        <x:v>0.175025</x:v>
      </x:c>
      <x:c r="H8" s="23" t="n">
        <x:f>G8/35%</x:f>
        <x:v>0.5000714285714286</x:v>
      </x:c>
      <x:c r="J8" s="460" t="n">
        <x:v>279900</x:v>
      </x:c>
      <x:c r="K8" s="23" t="n">
        <x:f>SUMIF('132_N90联合叶节点'!$K$6:$K$35,J8,'132_N90联合叶节点'!$G$6:$G$35)</x:f>
        <x:v>0.1068</x:v>
      </x:c>
      <x:c r="L8" s="23" t="n">
        <x:f>K8/15%</x:f>
        <x:v>0.7120000000000001</x:v>
      </x:c>
    </x:row>
    <x:row r="9" ht="42" customHeight="1">
      <x:c r="A9" s="647" t="n">
        <x:v>289900</x:v>
      </x:c>
      <x:c r="B9" s="648" t="n">
        <x:f>SUMIF('132_N90联合叶节点'!$H$6:$H$35,A9,'132_N90联合叶节点'!$G$6:$G$35)</x:f>
        <x:v>0.28285000000000005</x:v>
      </x:c>
      <x:c r="C9" s="648" t="n">
        <x:f>SUMIF('132_N90联合叶节点'!$H$6:$H$11,A9,'132_N90联合叶节点'!$G$6:$G$11)/60%</x:f>
        <x:v>0.24400000000000002</x:v>
      </x:c>
      <x:c r="D9" s="648" t="n">
        <x:f>SUMIF('132_N90联合叶节点'!$H$12:$H$35,A9,'132_N90联合叶节点'!$G$12:$G$35)/40%</x:f>
        <x:v>0.34112499999999996</x:v>
      </x:c>
      <x:c r="E9" s="649"/>
      <x:c r="F9" s="647" t="n">
        <x:v>269900</x:v>
      </x:c>
      <x:c r="G9" s="648" t="n">
        <x:f>SUMIF('132_N90联合叶节点'!$J$6:$J$35,F9,'132_N90联合叶节点'!$G$6:$G$35)</x:f>
        <x:v>0.10679999999999999</x:v>
      </x:c>
      <x:c r="H9" s="648" t="n">
        <x:f>G9/35%</x:f>
        <x:v>0.30514285714285716</x:v>
      </x:c>
    </x:row>
    <x:row r="10" ht="42" customHeight="1">
      <x:c r="A10" s="460" t="n">
        <x:v>293900</x:v>
      </x:c>
      <x:c r="B10" s="23" t="n">
        <x:f>SUMIF('132_N90联合叶节点'!$H$6:$H$35,A10,'132_N90联合叶节点'!$G$6:$G$35)</x:f>
        <x:v>0.0225</x:v>
      </x:c>
      <x:c r="C10" s="23" t="n">
        <x:f>SUMIF('132_N90联合叶节点'!$H$6:$H$11,A10,'132_N90联合叶节点'!$G$6:$G$11)/60%</x:f>
        <x:v>0.0375</x:v>
      </x:c>
      <x:c r="D10" s="23" t="n">
        <x:f>SUMIF('132_N90联合叶节点'!$H$12:$H$35,A10,'132_N90联合叶节点'!$G$12:$G$35)/40%</x:f>
        <x:v>0</x:v>
      </x:c>
    </x:row>
    <x:row r="11" ht="42" customHeight="1">
      <x:c r="A11" s="647" t="n">
        <x:v>299900</x:v>
      </x:c>
      <x:c r="B11" s="648" t="n">
        <x:f>SUMIF('132_N90联合叶节点'!$H$6:$H$35,A11,'132_N90联合叶节点'!$G$6:$G$35)</x:f>
        <x:v>0.231</x:v>
      </x:c>
      <x:c r="C11" s="648" t="n">
        <x:f>SUMIF('132_N90联合叶节点'!$H$6:$H$11,A11,'132_N90联合叶节点'!$G$6:$G$11)/60%</x:f>
        <x:v>0.028999999999999998</x:v>
      </x:c>
      <x:c r="D11" s="648" t="n">
        <x:f>SUMIF('132_N90联合叶节点'!$H$12:$H$35,A11,'132_N90联合叶节点'!$G$12:$G$35)/40%</x:f>
        <x:v>0.5339999999999999</x:v>
      </x:c>
    </x:row>
    <x:row r="14" ht="24" customHeight="1">
      <x:c r="A14" s="646" t="str">
        <x:v>旧混合模型摘要（仅供审计；最终首发结论见134与142）</x:v>
      </x:c>
      <x:c r="B14" s="646"/>
      <x:c r="C14" s="646"/>
      <x:c r="D14" s="646"/>
      <x:c r="E14" s="646"/>
      <x:c r="F14" s="646"/>
      <x:c r="G14" s="646"/>
      <x:c r="H14" s="646"/>
      <x:c r="I14" s="646"/>
      <x:c r="J14" s="646"/>
      <x:c r="K14" s="646"/>
      <x:c r="L14" s="646"/>
      <x:c r="M14" s="646"/>
      <x:c r="N14" s="646"/>
      <x:c r="O14" s="646"/>
      <x:c r="P14" s="646"/>
    </x:row>
    <x:row r="15" ht="52" customHeight="1">
      <x:c r="A15" s="642" t="str">
        <x:v>对象</x:v>
      </x:c>
      <x:c r="B15" s="642" t="str">
        <x:v>权重合计</x:v>
      </x:c>
      <x:c r="C15" s="642" t="str">
        <x:v>技术众数</x:v>
      </x:c>
      <x:c r="D15" s="642" t="str">
        <x:v>次高峰</x:v>
      </x:c>
      <x:c r="E15" s="642" t="str">
        <x:v>期望价</x:v>
      </x:c>
      <x:c r="F15" s="642" t="str">
        <x:v>P(低价尾)</x:v>
      </x:c>
      <x:c r="G15" s="642" t="str">
        <x:v>80%最短连续区间</x:v>
      </x:c>
      <x:c r="H15" s="642" t="str">
        <x:v>实际覆盖</x:v>
      </x:c>
      <x:c r="I15" s="642" t="str">
        <x:v>95%最短连续区间</x:v>
      </x:c>
    </x:row>
    <x:row r="16" ht="52" customHeight="1">
      <x:c r="A16" s="19" t="str">
        <x:v>N90 Max</x:v>
      </x:c>
      <x:c r="B16" s="23" t="n">
        <x:f>SUM(B6:B11)</x:f>
        <x:v>0.9999999999999999</x:v>
      </x:c>
      <x:c r="C16" s="460" t="n">
        <x:f>INDEX(A6:A11,MATCH(MAX(B6:B11),B6:B11,0))</x:f>
        <x:v>279900</x:v>
      </x:c>
      <x:c r="D16" s="460" t="n">
        <x:f>A9</x:f>
        <x:v>289900</x:v>
      </x:c>
      <x:c r="E16" s="460" t="n">
        <x:f>SUMPRODUCT(A6:A11,B6:B11)</x:f>
        <x:v>285442</x:v>
      </x:c>
      <x:c r="F16" s="23" t="n">
        <x:f>SUM(B6:B7)</x:f>
        <x:v>0.17985</x:v>
      </x:c>
      <x:c r="G16" s="19" t="str">
        <x:f>A8&amp;"—"&amp;A11</x:f>
        <x:v>279900—299900</x:v>
      </x:c>
      <x:c r="H16" s="23" t="n">
        <x:f>SUM(B8:B11)</x:f>
        <x:v>0.8201499999999999</x:v>
      </x:c>
      <x:c r="I16" s="19" t="str">
        <x:f>A7&amp;"—"&amp;A11</x:f>
        <x:v>269900—299900</x:v>
      </x:c>
    </x:row>
    <x:row r="17" ht="52" customHeight="1">
      <x:c r="A17" s="643" t="str">
        <x:v>N90 Standard｜存在</x:v>
      </x:c>
      <x:c r="B17" s="648" t="n">
        <x:f>SUM(H6:H9)</x:f>
        <x:v>1</x:v>
      </x:c>
      <x:c r="C17" s="647" t="n">
        <x:f>INDEX(F6:F9,MATCH(MAX(H6:H9),H6:H9,0))</x:f>
        <x:v>259900</x:v>
      </x:c>
      <x:c r="D17" s="647" t="n">
        <x:f>F9</x:f>
        <x:v>269900</x:v>
      </x:c>
      <x:c r="E17" s="647" t="n">
        <x:f>SUMPRODUCT(F6:F9,H6:H9)</x:f>
        <x:v>260600.7142857143</x:v>
      </x:c>
      <x:c r="F17" s="648" t="n">
        <x:f>SUM(H6:H7)</x:f>
        <x:v>0.19478571428571428</x:v>
      </x:c>
      <x:c r="G17" s="643" t="str">
        <x:f>F8&amp;"—"&amp;F9</x:f>
        <x:v>259900—269900</x:v>
      </x:c>
      <x:c r="H17" s="648" t="n">
        <x:f>SUM(H8:H9)</x:f>
        <x:v>0.8052142857142858</x:v>
      </x:c>
      <x:c r="I17" s="643" t="str">
        <x:f>F7&amp;"—"&amp;F9</x:f>
        <x:v>249900—269900</x:v>
      </x:c>
    </x:row>
    <x:row r="18" ht="52" customHeight="1">
      <x:c r="A18" s="19" t="str">
        <x:v>N90 Pro｜存在</x:v>
      </x:c>
      <x:c r="B18" s="23" t="n">
        <x:f>SUM(L6:L8)</x:f>
        <x:v>1</x:v>
      </x:c>
      <x:c r="C18" s="460" t="n">
        <x:f>INDEX(J6:J8,MATCH(MAX(L6:L8),L6:L8,0))</x:f>
        <x:v>279900</x:v>
      </x:c>
      <x:c r="D18" s="460" t="n">
        <x:f>J7</x:f>
        <x:v>269900</x:v>
      </x:c>
      <x:c r="E18" s="460" t="n">
        <x:f>SUMPRODUCT(J6:J8,L6:L8)</x:f>
        <x:v>276315</x:v>
      </x:c>
      <x:c r="F18" s="23" t="n">
        <x:f>SUM(L6:L7)</x:f>
        <x:v>0.28800000000000003</x:v>
      </x:c>
      <x:c r="G18" s="19" t="str">
        <x:f>J7&amp;"—"&amp;J8</x:f>
        <x:v>269900—279900</x:v>
      </x:c>
      <x:c r="H18" s="23" t="n">
        <x:f>SUM(L7:L8)</x:f>
        <x:v>0.9295000000000001</x:v>
      </x:c>
      <x:c r="I18" s="19" t="str">
        <x:f>J6&amp;"—"&amp;J8</x:f>
        <x:v>259900—279900</x:v>
      </x:c>
    </x:row>
  </x:sheetData>
  <x:mergeCells>
    <x:mergeCell ref="A1:P1"/>
    <x:mergeCell ref="A2:P2"/>
    <x:mergeCell ref="A3:P3"/>
    <x:mergeCell ref="A14:P14"/>
  </x:mergeCells>
  <x:pageMargins left="0.7" right="0.7" top="0.75" bottom="0.75" header="0.3" footer="0.3"/>
  <x:drawing xmlns:r="http://schemas.openxmlformats.org/officeDocument/2006/relationships" r:id="R3a09f449e56f434b"/>
</x:worksheet>
</file>

<file path=xl/worksheets/sheet13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5" hidden="0" customWidth="1"/>
    <x:col min="3" max="3" width="30" hidden="0" customWidth="1"/>
    <x:col min="4" max="4" width="21" hidden="0" customWidth="1"/>
    <x:col min="5" max="5" width="21" hidden="0" customWidth="1"/>
    <x:col min="6" max="6" width="16" hidden="0" customWidth="1"/>
    <x:col min="7" max="7" width="24" hidden="0" customWidth="1"/>
    <x:col min="8" max="8" width="22" hidden="0" customWidth="1"/>
    <x:col min="9" max="9" width="18" hidden="0" customWidth="1"/>
    <x:col min="10" max="10" width="18" hidden="0" customWidth="1"/>
    <x:col min="11" max="11" width="22" hidden="0" customWidth="1"/>
    <x:col min="12" max="12" width="40" hidden="0" customWidth="1"/>
    <x:col min="13" max="13" width="31" hidden="0" customWidth="1"/>
    <x:col min="14" max="14" width="42" hidden="0" customWidth="1"/>
    <x:col min="15" max="15" width="18" hidden="0" customWidth="1"/>
    <x:col min="16" max="16" width="34" hidden="0" customWidth="1"/>
  </x:cols>
  <x:sheetData>
    <x:row r="1" ht="30" customHeight="1">
      <x:c r="A1" s="630" t="str">
        <x:v>134｜小米澎程售价与配置预测：证据收敛主交付表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  <x:c r="O1" s="630"/>
      <x:c r="P1" s="630"/>
    </x:row>
    <x:row r="2" ht="22" customHeight="1">
      <x:c r="A2" s="633" t="str">
        <x:v>事实车型身份、首发判断与生命周期情景分开｜截至2026-08-06正式官方价格数量仍为0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  <x:c r="O2" s="633"/>
      <x:c r="P2" s="633"/>
    </x:row>
    <x:row r="3" ht="92" customHeight="1">
      <x:c r="A3" s="637" t="str">
        <x:v>当前首发主判断只包含官网预售的N70 Max与N90 Max，正式价中心分别押24.99与27.99万元。申报尾标已确认N70；若商品化，中心走廊19.99—21.99万元、强制单点20.99万元。N90 Standard/Pro没有首发证据，只保留生命周期条件情景。N90 Max升顶有独立申报和车顶床板，若商品化按规模化Max+1—3万元、工作中心29.99万元观察。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  <x:c r="O3" s="637"/>
      <x:c r="P3" s="637"/>
    </x:row>
    <x:row r="5" ht="64" customHeight="1">
      <x:c r="A5" s="642" t="str">
        <x:v>车系</x:v>
      </x:c>
      <x:c r="B5" s="642" t="str">
        <x:v>版本</x:v>
      </x:c>
      <x:c r="C5" s="642" t="str">
        <x:v>商业状态</x:v>
      </x:c>
      <x:c r="D5" s="642" t="str">
        <x:v>存在证据</x:v>
      </x:c>
      <x:c r="E5" s="642" t="str">
        <x:v>首发判断</x:v>
      </x:c>
      <x:c r="F5" s="642" t="str">
        <x:v>官方预售</x:v>
      </x:c>
      <x:c r="G5" s="642" t="str">
        <x:v>预测正式价/条件中心</x:v>
      </x:c>
      <x:c r="H5" s="642" t="str">
        <x:v>价格口径</x:v>
      </x:c>
      <x:c r="I5" s="642" t="str">
        <x:v>中心走廊</x:v>
      </x:c>
      <x:c r="J5" s="642" t="str">
        <x:v>压力范围</x:v>
      </x:c>
      <x:c r="K5" s="642" t="str">
        <x:v>座位</x:v>
      </x:c>
      <x:c r="L5" s="642" t="str">
        <x:v>动力/电池</x:v>
      </x:c>
      <x:c r="M5" s="642" t="str">
        <x:v>底盘中心</x:v>
      </x:c>
      <x:c r="N5" s="642" t="str">
        <x:v>主要座舱差异</x:v>
      </x:c>
      <x:c r="O5" s="642" t="str">
        <x:v>置信</x:v>
      </x:c>
      <x:c r="P5" s="642" t="str">
        <x:v>边界</x:v>
      </x:c>
    </x:row>
    <x:row r="6" ht="84" customHeight="1">
      <x:c r="A6" s="19" t="str">
        <x:v>N70</x:v>
      </x:c>
      <x:c r="B6" s="19" t="str">
        <x:v>N70</x:v>
      </x:c>
      <x:c r="C6" s="19" t="str">
        <x:v>REGULATORY_NAMED_NOT_ON_SALE</x:v>
      </x:c>
      <x:c r="D6" s="19" t="str">
        <x:v>MIIT尾标已确认</x:v>
      </x:c>
      <x:c r="E6" s="19" t="str">
        <x:v>商品化待定</x:v>
      </x:c>
      <x:c r="F6" s="19"/>
      <x:c r="G6" s="460" t="n">
        <x:v>209900</x:v>
      </x:c>
      <x:c r="H6" s="19" t="str">
        <x:v>商业梯度强制单点；非BOM中位直接输出</x:v>
      </x:c>
      <x:c r="I6" s="19" t="str">
        <x:v>19.99—21.99</x:v>
      </x:c>
      <x:c r="J6" s="19" t="str">
        <x:v>17.99—22.99</x:v>
      </x:c>
      <x:c r="K6" s="19" t="str">
        <x:v>5座</x:v>
      </x:c>
      <x:c r="L6" s="19" t="str">
        <x:v>单电机210kW，轴位待确认；52kWh LFP/欣旺达来自目录转载</x:v>
      </x:c>
      <x:c r="M6" s="19" t="str">
        <x:v>空气弹簧/CDC均未披露</x:v>
      </x:c>
      <x:c r="N6" s="19" t="str">
        <x:v>座椅、冰箱、屏幕、音响均未披露</x:v>
      </x:c>
      <x:c r="O6" s="19" t="str">
        <x:v>MEDIUM_LOW</x:v>
      </x:c>
      <x:c r="P6" s="19" t="str">
        <x:v>名称已锁；售价与完整配置未公布</x:v>
      </x:c>
    </x:row>
    <x:row r="7" ht="84" customHeight="1">
      <x:c r="A7" s="643" t="str">
        <x:v>N70</x:v>
      </x:c>
      <x:c r="B7" s="643" t="str">
        <x:v>Max</x:v>
      </x:c>
      <x:c r="C7" s="643" t="str">
        <x:v>OFFICIAL_PRESALE</x:v>
      </x:c>
      <x:c r="D7" s="643" t="str">
        <x:v>官网+MIIT</x:v>
      </x:c>
      <x:c r="E7" s="643" t="str">
        <x:v>首发已公开</x:v>
      </x:c>
      <x:c r="F7" s="647" t="n">
        <x:v>259900</x:v>
      </x:c>
      <x:c r="G7" s="647" t="n">
        <x:v>249900</x:v>
      </x:c>
      <x:c r="H7" s="643" t="str">
        <x:v>当前正式价中心</x:v>
      </x:c>
      <x:c r="I7" s="643" t="str">
        <x:v>23.99—25.99</x:v>
      </x:c>
      <x:c r="J7" s="643" t="str">
        <x:v>21.99—25.99</x:v>
      </x:c>
      <x:c r="K7" s="643" t="str">
        <x:v>大五座</x:v>
      </x:c>
      <x:c r="L7" s="643" t="str">
        <x:v>双电机四驱310kW；76kWh NCM/中创新航</x:v>
      </x:c>
      <x:c r="M7" s="643" t="str">
        <x:v>空气弹簧+CDC</x:v>
      </x:c>
      <x:c r="N7" s="643" t="str">
        <x:v>可变空间已展示；完整逐项标配表仍缺</x:v>
      </x:c>
      <x:c r="O7" s="643" t="str">
        <x:v>MEDIUM</x:v>
      </x:c>
      <x:c r="P7" s="643" t="str">
        <x:v>24.99是预测，不是官价</x:v>
      </x:c>
    </x:row>
    <x:row r="8" ht="84" customHeight="1">
      <x:c r="A8" s="19" t="str">
        <x:v>N90</x:v>
      </x:c>
      <x:c r="B8" s="19" t="str">
        <x:v>Standard（生命周期情景）</x:v>
      </x:c>
      <x:c r="C8" s="19" t="str">
        <x:v>NOT_ANNOUNCED_SCENARIO</x:v>
      </x:c>
      <x:c r="D8" s="19" t="str">
        <x:v>无独立SKU证据</x:v>
      </x:c>
      <x:c r="E8" s="19" t="str">
        <x:v>不纳入首发主树</x:v>
      </x:c>
      <x:c r="F8" s="19"/>
      <x:c r="G8" s="19" t="str">
        <x:v>25.99—26.99</x:v>
      </x:c>
      <x:c r="H8" s="19" t="str">
        <x:v>若未来出现的条件价格</x:v>
      </x:c>
      <x:c r="I8" s="19" t="str">
        <x:v>25.99—26.99</x:v>
      </x:c>
      <x:c r="J8" s="19" t="str">
        <x:v>24.99—26.99</x:v>
      </x:c>
      <x:c r="K8" s="19" t="str">
        <x:v>5/7座不能据此映射</x:v>
      </x:c>
      <x:c r="L8" s="19" t="str">
        <x:v>动力/电池未锁</x:v>
      </x:c>
      <x:c r="M8" s="19" t="str">
        <x:v>螺簧+CDC仅为假设</x:v>
      </x:c>
      <x:c r="N8" s="19" t="str">
        <x:v>高阶舒适配置可能缩减或选装</x:v>
      </x:c>
      <x:c r="O8" s="19" t="str">
        <x:v>LOW</x:v>
      </x:c>
      <x:c r="P8" s="19" t="str">
        <x:v>不是当前官方版本</x:v>
      </x:c>
    </x:row>
    <x:row r="9" ht="84" customHeight="1">
      <x:c r="A9" s="643" t="str">
        <x:v>N90</x:v>
      </x:c>
      <x:c r="B9" s="643" t="str">
        <x:v>Pro（生命周期情景）</x:v>
      </x:c>
      <x:c r="C9" s="643" t="str">
        <x:v>NO_REGULATORY_OR_OFFICIAL_SKU</x:v>
      </x:c>
      <x:c r="D9" s="643" t="str">
        <x:v>无申报/无商品卡</x:v>
      </x:c>
      <x:c r="E9" s="643" t="str">
        <x:v>不纳入首发主树</x:v>
      </x:c>
      <x:c r="F9" s="643"/>
      <x:c r="G9" s="643" t="str">
        <x:v>26.99—27.99</x:v>
      </x:c>
      <x:c r="H9" s="643" t="str">
        <x:v>阵容占位情景；非独立BOM推导</x:v>
      </x:c>
      <x:c r="I9" s="643" t="str">
        <x:v>26.99—27.99</x:v>
      </x:c>
      <x:c r="J9" s="643" t="str">
        <x:v>25.99—28.99</x:v>
      </x:c>
      <x:c r="K9" s="643" t="str">
        <x:v>未锁</x:v>
      </x:c>
      <x:c r="L9" s="643" t="str">
        <x:v>动力/电池未锁</x:v>
      </x:c>
      <x:c r="M9" s="643" t="str">
        <x:v>需有空悬或等价硬件台阶才成立</x:v>
      </x:c>
      <x:c r="N9" s="643" t="str">
        <x:v>中阶舒适包仅为推测</x:v>
      </x:c>
      <x:c r="O9" s="643" t="str">
        <x:v>LOW</x:v>
      </x:c>
      <x:c r="P9" s="643" t="str">
        <x:v>最弱候选，不报存在概率</x:v>
      </x:c>
    </x:row>
    <x:row r="10" ht="84" customHeight="1">
      <x:c r="A10" s="19" t="str">
        <x:v>N90</x:v>
      </x:c>
      <x:c r="B10" s="19" t="str">
        <x:v>Max</x:v>
      </x:c>
      <x:c r="C10" s="19" t="str">
        <x:v>OFFICIAL_PRESALE</x:v>
      </x:c>
      <x:c r="D10" s="19" t="str">
        <x:v>官网+MIIT</x:v>
      </x:c>
      <x:c r="E10" s="19" t="str">
        <x:v>首发已公开</x:v>
      </x:c>
      <x:c r="F10" s="460" t="n">
        <x:v>299900</x:v>
      </x:c>
      <x:c r="G10" s="460" t="n">
        <x:v>279900</x:v>
      </x:c>
      <x:c r="H10" s="19" t="str">
        <x:v>当前只上Max的主判断</x:v>
      </x:c>
      <x:c r="I10" s="19" t="str">
        <x:v>27.99中心；有低SKU时28.99—29.99</x:v>
      </x:c>
      <x:c r="J10" s="19" t="str">
        <x:v>25.99—29.99</x:v>
      </x:c>
      <x:c r="K10" s="19" t="str">
        <x:v>2+2+3大七座</x:v>
      </x:c>
      <x:c r="L10" s="19" t="str">
        <x:v>双电机四驱310kW；76kWh三元锂/中创新航</x:v>
      </x:c>
      <x:c r="M10" s="19" t="str">
        <x:v>空气弹簧+CDC；4液压衬套</x:v>
      </x:c>
      <x:c r="N10" s="19" t="str">
        <x:v>9L冰箱/3K后屏/25扬声器/前两排舒适功能为官方展示</x:v>
      </x:c>
      <x:c r="O10" s="19" t="str">
        <x:v>MEDIUM</x:v>
      </x:c>
      <x:c r="P10" s="19" t="str">
        <x:v>旧27.99/28.99混合双峰已降级</x:v>
      </x:c>
    </x:row>
    <x:row r="11" ht="84" customHeight="1">
      <x:c r="A11" s="643" t="str">
        <x:v>N90</x:v>
      </x:c>
      <x:c r="B11" s="643" t="str">
        <x:v>Max升顶（若商品化）</x:v>
      </x:c>
      <x:c r="C11" s="643" t="str">
        <x:v>SEPARATE_REGULATORY_CANDIDATE</x:v>
      </x:c>
      <x:c r="D11" s="643" t="str">
        <x:v>独立MIIT型号与Max尾标</x:v>
      </x:c>
      <x:c r="E11" s="643" t="str">
        <x:v>商品化待定</x:v>
      </x:c>
      <x:c r="F11" s="643"/>
      <x:c r="G11" s="647" t="n">
        <x:v>299900</x:v>
      </x:c>
      <x:c r="H11" s="643" t="str">
        <x:v>规模化Max+2万工作中心</x:v>
      </x:c>
      <x:c r="I11" s="643" t="str">
        <x:v>Max+1—3万</x:v>
      </x:c>
      <x:c r="J11" s="643" t="str">
        <x:v>低量专用车可能更高</x:v>
      </x:c>
      <x:c r="K11" s="643" t="str">
        <x:v>独立5座专用车</x:v>
      </x:c>
      <x:c r="L11" s="643" t="str">
        <x:v>210+100kW；76kWh NCM/中创新航（监管）</x:v>
      </x:c>
      <x:c r="M11" s="643" t="str">
        <x:v>未由申报页定义</x:v>
      </x:c>
      <x:c r="N11" s="643" t="str">
        <x:v>升降车顶、车顶床板、边柜、侧帐接口；投影/桌板为申报选装</x:v>
      </x:c>
      <x:c r="O11" s="643" t="str">
        <x:v>LOW</x:v>
      </x:c>
      <x:c r="P11" s="643" t="str">
        <x:v>不能断言不能睡；承重/人数/升起高度未知</x:v>
      </x:c>
    </x:row>
    <x:row r="14" ht="24" customHeight="1">
      <x:c r="A14" s="646" t="str">
        <x:v>怎样读这张表</x:v>
      </x:c>
      <x:c r="B14" s="646"/>
      <x:c r="C14" s="646"/>
      <x:c r="D14" s="646"/>
      <x:c r="E14" s="646"/>
      <x:c r="F14" s="646"/>
      <x:c r="G14" s="646"/>
      <x:c r="H14" s="646"/>
      <x:c r="I14" s="646"/>
      <x:c r="J14" s="646"/>
      <x:c r="K14" s="646"/>
      <x:c r="L14" s="646"/>
      <x:c r="M14" s="646"/>
      <x:c r="N14" s="646"/>
      <x:c r="O14" s="646"/>
      <x:c r="P14" s="646"/>
    </x:row>
    <x:row r="15" ht="54" customHeight="1">
      <x:c r="A15" s="19" t="str">
        <x:v>1</x:v>
      </x:c>
      <x:c r="B15" s="19" t="str">
        <x:v>先读首发证据</x:v>
      </x:c>
      <x:c r="C15" s="19" t="str">
        <x:v>当前只公开预售N70 Max和N90 Max；正式价都未公布</x:v>
      </x:c>
      <x:c r="D15" s="19" t="str"/>
      <x:c r="E15" s="19" t="str"/>
      <x:c r="F15" s="19" t="str"/>
      <x:c r="G15" s="19" t="str"/>
      <x:c r="H15" s="19" t="str"/>
      <x:c r="I15" s="19" t="str"/>
      <x:c r="J15" s="19" t="str"/>
      <x:c r="K15" s="19" t="str"/>
      <x:c r="L15" s="19" t="str"/>
      <x:c r="M15" s="19" t="str"/>
      <x:c r="N15" s="19" t="str"/>
      <x:c r="O15" s="19" t="str">
        <x:v>FINAL_READING</x:v>
      </x:c>
      <x:c r="P15" s="19" t="str">
        <x:v>139/142</x:v>
      </x:c>
    </x:row>
    <x:row r="16" ht="54" customHeight="1">
      <x:c r="A16" s="643" t="str">
        <x:v>2</x:v>
      </x:c>
      <x:c r="B16" s="643" t="str">
        <x:v>再读条件价</x:v>
      </x:c>
      <x:c r="C16" s="643" t="str">
        <x:v>N70与升顶有申报身份，但是否销售仍待商品卡</x:v>
      </x:c>
      <x:c r="D16" s="643" t="str"/>
      <x:c r="E16" s="643" t="str"/>
      <x:c r="F16" s="643" t="str"/>
      <x:c r="G16" s="643" t="str"/>
      <x:c r="H16" s="643" t="str"/>
      <x:c r="I16" s="643" t="str"/>
      <x:c r="J16" s="643" t="str"/>
      <x:c r="K16" s="643" t="str"/>
      <x:c r="L16" s="643" t="str"/>
      <x:c r="M16" s="643" t="str"/>
      <x:c r="N16" s="643" t="str"/>
      <x:c r="O16" s="643" t="str">
        <x:v>CONDITIONAL</x:v>
      </x:c>
      <x:c r="P16" s="643" t="str">
        <x:v>131/138/142</x:v>
      </x:c>
    </x:row>
    <x:row r="17" ht="54" customHeight="1">
      <x:c r="A17" s="19" t="str">
        <x:v>3</x:v>
      </x:c>
      <x:c r="B17" s="19" t="str">
        <x:v>不要读伪概率</x:v>
      </x:c>
      <x:c r="C17" s="19" t="str">
        <x:v>N90 Standard/Pro没有首发概率；旧35%/15%只留作历史敏感性</x:v>
      </x:c>
      <x:c r="D17" s="19" t="str"/>
      <x:c r="E17" s="19" t="str"/>
      <x:c r="F17" s="19" t="str"/>
      <x:c r="G17" s="19" t="str"/>
      <x:c r="H17" s="19" t="str"/>
      <x:c r="I17" s="19" t="str"/>
      <x:c r="J17" s="19" t="str"/>
      <x:c r="K17" s="19" t="str"/>
      <x:c r="L17" s="19" t="str"/>
      <x:c r="M17" s="19" t="str"/>
      <x:c r="N17" s="19" t="str"/>
      <x:c r="O17" s="19" t="str">
        <x:v>BOUNDARY</x:v>
      </x:c>
      <x:c r="P17" s="19" t="str">
        <x:v>130/133/142</x:v>
      </x:c>
    </x:row>
    <x:row r="18" ht="54" customHeight="1">
      <x:c r="A18" s="643" t="str">
        <x:v>4</x:v>
      </x:c>
      <x:c r="B18" s="643" t="str">
        <x:v>价格尾部保留</x:v>
      </x:c>
      <x:c r="C18" s="643" t="str">
        <x:v>低价与高价尾均存在，但精确权重不是统计概率</x:v>
      </x:c>
      <x:c r="D18" s="643" t="str"/>
      <x:c r="E18" s="643" t="str"/>
      <x:c r="F18" s="643" t="str"/>
      <x:c r="G18" s="643" t="str"/>
      <x:c r="H18" s="643" t="str"/>
      <x:c r="I18" s="643" t="str"/>
      <x:c r="J18" s="643" t="str"/>
      <x:c r="K18" s="643" t="str"/>
      <x:c r="L18" s="643" t="str"/>
      <x:c r="M18" s="643" t="str"/>
      <x:c r="N18" s="643" t="str"/>
      <x:c r="O18" s="643" t="str">
        <x:v>SEPARATE</x:v>
      </x:c>
      <x:c r="P18" s="643" t="str">
        <x:v>131/137/142</x:v>
      </x:c>
    </x:row>
  </x:sheetData>
  <x:mergeCells>
    <x:mergeCell ref="A1:P1"/>
    <x:mergeCell ref="A2:P2"/>
    <x:mergeCell ref="A3:P3"/>
    <x:mergeCell ref="A14:P14"/>
  </x:mergeCells>
  <x:conditionalFormatting sqref="C6:C11">
    <x:cfRule type="containsText" dxfId="3691" priority="1" operator="containsText" text="PASS"/>
    <x:cfRule type="containsText" dxfId="3692" priority="2" operator="containsText" text="SIGNED"/>
    <x:cfRule type="containsText" dxfId="3693" priority="3" operator="containsText" text="CONFIRMED"/>
    <x:cfRule type="containsText" dxfId="3694" priority="4" operator="containsText" text="OFFICIAL"/>
    <x:cfRule type="containsText" dxfId="3695" priority="5" operator="containsText" text="FINAL"/>
    <x:cfRule type="containsText" dxfId="3696" priority="6" operator="containsText" text="READY"/>
    <x:cfRule type="containsText" dxfId="3697" priority="7" operator="containsText" text="MODEL"/>
    <x:cfRule type="containsText" dxfId="3698" priority="8" operator="containsText" text="CONDITIONAL"/>
    <x:cfRule type="containsText" dxfId="3699" priority="9" operator="containsText" text="PREDICTED"/>
    <x:cfRule type="containsText" dxfId="3700" priority="10" operator="containsText" text="MEDIUM"/>
    <x:cfRule type="containsText" dxfId="3701" priority="11" operator="containsText" text="WORKING"/>
    <x:cfRule type="containsText" dxfId="3702" priority="12" operator="containsText" text="WATCH"/>
    <x:cfRule type="containsText" dxfId="3703" priority="13" operator="containsText" text="EXCLUDED"/>
    <x:cfRule type="containsText" dxfId="3704" priority="14" operator="containsText" text="SEPARATE"/>
    <x:cfRule type="containsText" dxfId="3705" priority="15" operator="containsText" text="REGULATORY"/>
    <x:cfRule type="containsText" dxfId="3706" priority="16" operator="containsText" text="FAIL"/>
    <x:cfRule type="containsText" dxfId="3707" priority="17" operator="containsText" text="BLOCKED"/>
    <x:cfRule type="containsText" dxfId="3708" priority="18" operator="containsText" text="LOW"/>
  </x:conditionalFormatting>
  <x:conditionalFormatting sqref="O6:O11">
    <x:cfRule type="containsText" dxfId="3709" priority="19" operator="containsText" text="PASS"/>
    <x:cfRule type="containsText" dxfId="3710" priority="20" operator="containsText" text="SIGNED"/>
    <x:cfRule type="containsText" dxfId="3711" priority="21" operator="containsText" text="CONFIRMED"/>
    <x:cfRule type="containsText" dxfId="3712" priority="22" operator="containsText" text="OFFICIAL"/>
    <x:cfRule type="containsText" dxfId="3713" priority="23" operator="containsText" text="FINAL"/>
    <x:cfRule type="containsText" dxfId="3714" priority="24" operator="containsText" text="READY"/>
    <x:cfRule type="containsText" dxfId="3715" priority="25" operator="containsText" text="MODEL"/>
    <x:cfRule type="containsText" dxfId="3716" priority="26" operator="containsText" text="CONDITIONAL"/>
    <x:cfRule type="containsText" dxfId="3717" priority="27" operator="containsText" text="PREDICTED"/>
    <x:cfRule type="containsText" dxfId="3718" priority="28" operator="containsText" text="MEDIUM"/>
    <x:cfRule type="containsText" dxfId="3719" priority="29" operator="containsText" text="WORKING"/>
    <x:cfRule type="containsText" dxfId="3720" priority="30" operator="containsText" text="WATCH"/>
    <x:cfRule type="containsText" dxfId="3721" priority="31" operator="containsText" text="EXCLUDED"/>
    <x:cfRule type="containsText" dxfId="3722" priority="32" operator="containsText" text="SEPARATE"/>
    <x:cfRule type="containsText" dxfId="3723" priority="33" operator="containsText" text="REGULATORY"/>
    <x:cfRule type="containsText" dxfId="3724" priority="34" operator="containsText" text="FAIL"/>
    <x:cfRule type="containsText" dxfId="3725" priority="35" operator="containsText" text="BLOCKED"/>
    <x:cfRule type="containsText" dxfId="3726" priority="36" operator="containsText" text="LOW"/>
  </x:conditionalFormatting>
  <x:conditionalFormatting sqref="O15:O18">
    <x:cfRule type="containsText" dxfId="3727" priority="37" operator="containsText" text="PASS"/>
    <x:cfRule type="containsText" dxfId="3728" priority="38" operator="containsText" text="SIGNED"/>
    <x:cfRule type="containsText" dxfId="3729" priority="39" operator="containsText" text="CONFIRMED"/>
    <x:cfRule type="containsText" dxfId="3730" priority="40" operator="containsText" text="OFFICIAL"/>
    <x:cfRule type="containsText" dxfId="3731" priority="41" operator="containsText" text="FINAL"/>
    <x:cfRule type="containsText" dxfId="3732" priority="42" operator="containsText" text="READY"/>
    <x:cfRule type="containsText" dxfId="3733" priority="43" operator="containsText" text="MODEL"/>
    <x:cfRule type="containsText" dxfId="3734" priority="44" operator="containsText" text="CONDITIONAL"/>
    <x:cfRule type="containsText" dxfId="3735" priority="45" operator="containsText" text="PREDICTED"/>
    <x:cfRule type="containsText" dxfId="3736" priority="46" operator="containsText" text="MEDIUM"/>
    <x:cfRule type="containsText" dxfId="3737" priority="47" operator="containsText" text="WORKING"/>
    <x:cfRule type="containsText" dxfId="3738" priority="48" operator="containsText" text="WATCH"/>
    <x:cfRule type="containsText" dxfId="3739" priority="49" operator="containsText" text="EXCLUDED"/>
    <x:cfRule type="containsText" dxfId="3740" priority="50" operator="containsText" text="SEPARATE"/>
    <x:cfRule type="containsText" dxfId="3741" priority="51" operator="containsText" text="REGULATORY"/>
    <x:cfRule type="containsText" dxfId="3742" priority="52" operator="containsText" text="FAIL"/>
    <x:cfRule type="containsText" dxfId="3743" priority="53" operator="containsText" text="BLOCKED"/>
    <x:cfRule type="containsText" dxfId="3744" priority="54" operator="containsText" text="LOW"/>
  </x:conditionalFormatting>
  <x:pageMargins left="0.7" right="0.7" top="0.75" bottom="0.75" header="0.3" footer="0.3"/>
</x:worksheet>
</file>

<file path=xl/worksheets/sheet13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31" hidden="0" customWidth="1"/>
    <x:col min="3" max="3" width="27" hidden="0" customWidth="1"/>
    <x:col min="4" max="4" width="39" hidden="0" customWidth="1"/>
    <x:col min="5" max="5" width="31" hidden="0" customWidth="1"/>
    <x:col min="6" max="6" width="47" hidden="0" customWidth="1"/>
    <x:col min="7" max="7" width="37" hidden="0" customWidth="1"/>
    <x:col min="8" max="8" width="32" hidden="0" customWidth="1"/>
    <x:col min="9" max="9" width="42" hidden="0" customWidth="1"/>
    <x:col min="10" max="10" width="37" hidden="0" customWidth="1"/>
    <x:col min="11" max="11" width="40" hidden="0" customWidth="1"/>
    <x:col min="12" max="12" width="42" hidden="0" customWidth="1"/>
    <x:col min="13" max="13" width="38" hidden="0" customWidth="1"/>
    <x:col min="14" max="14" width="26" hidden="0" customWidth="1"/>
    <x:col min="15" max="15" width="18" hidden="0" customWidth="1"/>
    <x:col min="16" max="16" width="47" hidden="0" customWidth="1"/>
  </x:cols>
  <x:sheetData>
    <x:row r="1" ht="30" customHeight="1">
      <x:c r="A1" s="630" t="str">
        <x:v>135｜六个观察节点的主要配置差：事实、目录转载、预测、未披露分层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  <x:c r="O1" s="630"/>
      <x:c r="P1" s="630"/>
    </x:row>
    <x:row r="2" ht="22" customHeight="1">
      <x:c r="A2" s="633" t="str">
        <x:v>只保留会改变选购判断的差异｜不把官网展示项自动升级为基础标配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  <x:c r="O2" s="633"/>
      <x:c r="P2" s="633"/>
    </x:row>
    <x:row r="3" ht="92" customHeight="1">
      <x:c r="A3" s="637" t="str">
        <x:v>N70尾标名称已经锁定；N90 Standard和Pro仍只是生命周期情景。N90普通固定顶同一型号允许5/7座，只证明合规路径，不证明两个商业等级。当前N90 Max官网明确XLA认知大模型“全系标配”；是否覆盖未来未发布SKU仍需完整版本表。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  <x:c r="O3" s="637"/>
      <x:c r="P3" s="637"/>
    </x:row>
    <x:row r="5" ht="66" customHeight="1">
      <x:c r="A5" s="642" t="str">
        <x:v>版本</x:v>
      </x:c>
      <x:c r="B5" s="642" t="str">
        <x:v>动力</x:v>
      </x:c>
      <x:c r="C5" s="642" t="str">
        <x:v>电池</x:v>
      </x:c>
      <x:c r="D5" s="642" t="str">
        <x:v>座位/车身</x:v>
      </x:c>
      <x:c r="E5" s="642" t="str">
        <x:v>底盘</x:v>
      </x:c>
      <x:c r="F5" s="642" t="str">
        <x:v>座舱舒适</x:v>
      </x:c>
      <x:c r="G5" s="642" t="str">
        <x:v>智驾/座舱底座</x:v>
      </x:c>
      <x:c r="H5" s="642" t="str">
        <x:v>供应商可绑定</x:v>
      </x:c>
      <x:c r="I5" s="642" t="str">
        <x:v>相对上一档主要变化</x:v>
      </x:c>
      <x:c r="J5" s="642" t="str">
        <x:v>官方事实</x:v>
      </x:c>
      <x:c r="K5" s="642" t="str">
        <x:v>工信部事实</x:v>
      </x:c>
      <x:c r="L5" s="642" t="str">
        <x:v>条件预测</x:v>
      </x:c>
      <x:c r="M5" s="642" t="str">
        <x:v>仍未披露</x:v>
      </x:c>
      <x:c r="N5" s="642" t="str">
        <x:v>证据状态</x:v>
      </x:c>
      <x:c r="O5" s="642" t="str">
        <x:v>置信</x:v>
      </x:c>
      <x:c r="P5" s="642" t="str">
        <x:v>禁止误写</x:v>
      </x:c>
    </x:row>
    <x:row r="6" ht="106" customHeight="1">
      <x:c r="A6" s="19" t="str">
        <x:v>N70</x:v>
      </x:c>
      <x:c r="B6" s="19" t="str">
        <x:v>单电机210kW；驱动轴待确认</x:v>
      </x:c>
      <x:c r="C6" s="19" t="str">
        <x:v>52kWh LFP来自目录转载；申报正文只锁LFP/欣旺达</x:v>
      </x:c>
      <x:c r="D6" s="19" t="str">
        <x:v>5座；4960×1998×1785；轴距2950</x:v>
      </x:c>
      <x:c r="E6" s="19" t="str">
        <x:v>空气弹簧/CDC均未知</x:v>
      </x:c>
      <x:c r="F6" s="19" t="str">
        <x:v>座椅、冰箱、后屏、音响未知</x:v>
      </x:c>
      <x:c r="G6" s="19" t="str">
        <x:v>辅助驾驶与智能座舱底座未披露</x:v>
      </x:c>
      <x:c r="H6" s="19" t="str">
        <x:v>欣旺达电芯/总成；M15DRE</x:v>
      </x:c>
      <x:c r="I6" s="19" t="str">
        <x:v>全系价格入口候选</x:v>
      </x:c>
      <x:c r="J6" s="19" t="str">
        <x:v>无独立商品卡</x:v>
      </x:c>
      <x:c r="K6" s="19" t="str">
        <x:v>尾标N70、动力/化学体系/车身/5座；轴位待确认</x:v>
      </x:c>
      <x:c r="L6" s="19" t="str">
        <x:v>若商品化作为最低价版本</x:v>
      </x:c>
      <x:c r="M6" s="19" t="str">
        <x:v>几乎全部商业配置</x:v>
      </x:c>
      <x:c r="N6" s="19" t="str">
        <x:v>REGULATORY_NAMED</x:v>
      </x:c>
      <x:c r="O6" s="19" t="str">
        <x:v>MEDIUM_LOW</x:v>
      </x:c>
      <x:c r="P6" s="19" t="str">
        <x:v>不能写成Standard、后驱或已锁钢簧</x:v>
      </x:c>
    </x:row>
    <x:row r="7" ht="106" customHeight="1">
      <x:c r="A7" s="643" t="str">
        <x:v>N70 Max</x:v>
      </x:c>
      <x:c r="B7" s="643" t="str">
        <x:v>双电机四驱310kW；5.5s</x:v>
      </x:c>
      <x:c r="C7" s="643" t="str">
        <x:v>76kWh；CLTC纯电505km</x:v>
      </x:c>
      <x:c r="D7" s="643" t="str">
        <x:v>大五座；4960mm；轴距2950</x:v>
      </x:c>
      <x:c r="E7" s="643" t="str">
        <x:v>空气弹簧+CDC</x:v>
      </x:c>
      <x:c r="F7" s="643" t="str">
        <x:v>纯平地板/长滑轨/对坐办公大床模式已展示</x:v>
      </x:c>
      <x:c r="G7" s="643" t="str">
        <x:v>完整版本表未发布</x:v>
      </x:c>
      <x:c r="H7" s="643" t="str">
        <x:v>中创新航NCM；M15DRE</x:v>
      </x:c>
      <x:c r="I7" s="643" t="str">
        <x:v>单电机/LFP→四驱/大电池；增加空悬+CDC</x:v>
      </x:c>
      <x:c r="J7" s="643" t="str">
        <x:v>身份、预售、动力、电量、续航、五座</x:v>
      </x:c>
      <x:c r="K7" s="643" t="str">
        <x:v>三元锂/供应商及型号映射</x:v>
      </x:c>
      <x:c r="L7" s="643" t="str">
        <x:v>无</x:v>
      </x:c>
      <x:c r="M7" s="643" t="str">
        <x:v>详细座舱●/○/—</x:v>
      </x:c>
      <x:c r="N7" s="643" t="str">
        <x:v>OFFICIAL_PLUS_REGULATORY</x:v>
      </x:c>
      <x:c r="O7" s="643" t="str">
        <x:v>MEDIUM_HIGH</x:v>
      </x:c>
      <x:c r="P7" s="643" t="str">
        <x:v>不要把未列出的冰箱/音响写成无</x:v>
      </x:c>
    </x:row>
    <x:row r="8" ht="106" customHeight="1">
      <x:c r="A8" s="19" t="str">
        <x:v>N90 Standard（生命周期情景）</x:v>
      </x:c>
      <x:c r="B8" s="19" t="str">
        <x:v>未锁；旧模型中心310kW四驱</x:v>
      </x:c>
      <x:c r="C8" s="19" t="str">
        <x:v>未锁；旧模型中心76kWh NCM</x:v>
      </x:c>
      <x:c r="D8" s="19" t="str">
        <x:v>固定顶5/7座均不能自动映射</x:v>
      </x:c>
      <x:c r="E8" s="19" t="str">
        <x:v>螺簧+CDC只是成本敏感性</x:v>
      </x:c>
      <x:c r="F8" s="19" t="str">
        <x:v>高阶音响/冰箱/后屏/按摩包缩减或选装仅为假设</x:v>
      </x:c>
      <x:c r="G8" s="19" t="str">
        <x:v>若属于官网所称N90全系，XLA可能继承；SKU边界未披露</x:v>
      </x:c>
      <x:c r="H8" s="19" t="str">
        <x:v>无独立供应商证据</x:v>
      </x:c>
      <x:c r="I8" s="19" t="str">
        <x:v>若出现：靠座位/底盘/座舱形成低位台阶</x:v>
      </x:c>
      <x:c r="J8" s="19" t="str">
        <x:v>无官方SKU</x:v>
      </x:c>
      <x:c r="K8" s="19" t="str">
        <x:v>固定顶5/7座同型号</x:v>
      </x:c>
      <x:c r="L8" s="19" t="str">
        <x:v>生命周期占位</x:v>
      </x:c>
      <x:c r="M8" s="19" t="str">
        <x:v>商业名、动力、电池、底盘、标配、价格</x:v>
      </x:c>
      <x:c r="N8" s="19" t="str">
        <x:v>PREDICTED_WATCH</x:v>
      </x:c>
      <x:c r="O8" s="19" t="str">
        <x:v>LOW</x:v>
      </x:c>
      <x:c r="P8" s="19" t="str">
        <x:v>5座≠Standard；螺簧+CDC不是事实</x:v>
      </x:c>
    </x:row>
    <x:row r="9" ht="106" customHeight="1">
      <x:c r="A9" s="643" t="str">
        <x:v>N90 Pro（生命周期情景）</x:v>
      </x:c>
      <x:c r="B9" s="643" t="str">
        <x:v>未锁</x:v>
      </x:c>
      <x:c r="C9" s="643" t="str">
        <x:v>未锁</x:v>
      </x:c>
      <x:c r="D9" s="643" t="str">
        <x:v>未锁</x:v>
      </x:c>
      <x:c r="E9" s="643" t="str">
        <x:v>需有空悬或等价硬件台阶才合理</x:v>
      </x:c>
      <x:c r="F9" s="643" t="str">
        <x:v>中阶舒适包仅为推测</x:v>
      </x:c>
      <x:c r="G9" s="643" t="str">
        <x:v>无Pro专属信息</x:v>
      </x:c>
      <x:c r="H9" s="643" t="str">
        <x:v>无Pro专属供应商证据</x:v>
      </x:c>
      <x:c r="I9" s="643" t="str">
        <x:v>若出现：必须有独立硬件职责</x:v>
      </x:c>
      <x:c r="J9" s="643" t="str">
        <x:v>无官方SKU</x:v>
      </x:c>
      <x:c r="K9" s="643" t="str">
        <x:v>无Pro专属申报</x:v>
      </x:c>
      <x:c r="L9" s="643" t="str">
        <x:v>阵容占位；非独立BOM推导</x:v>
      </x:c>
      <x:c r="M9" s="643" t="str">
        <x:v>商业名/全部配置</x:v>
      </x:c>
      <x:c r="N9" s="643" t="str">
        <x:v>PREDICTED_WATCH</x:v>
      </x:c>
      <x:c r="O9" s="643" t="str">
        <x:v>LOW</x:v>
      </x:c>
      <x:c r="P9" s="643" t="str">
        <x:v>不能只靠软配置硬凑Pro</x:v>
      </x:c>
    </x:row>
    <x:row r="10" ht="106" customHeight="1">
      <x:c r="A10" s="19" t="str">
        <x:v>N90 Max</x:v>
      </x:c>
      <x:c r="B10" s="19" t="str">
        <x:v>双电机四驱310kW；5.9s</x:v>
      </x:c>
      <x:c r="C10" s="19" t="str">
        <x:v>76kWh三元锂；CLTC纯电464km</x:v>
      </x:c>
      <x:c r="D10" s="19" t="str">
        <x:v>2+2+3大七座；5285×1998×1825</x:v>
      </x:c>
      <x:c r="E10" s="19" t="str">
        <x:v>前双叉臂/后多连杆；空簧+CDC；4液压衬套</x:v>
      </x:c>
      <x:c r="F10" s="19" t="str">
        <x:v>9L冰箱、3K后屏、25扬声器4890W、前两排按摩通风加热为官方展示</x:v>
      </x:c>
      <x:c r="G10" s="19" t="str">
        <x:v>官网：小米XLA认知大模型、智能座舱与安全辅助；页面称全系标配</x:v>
      </x:c>
      <x:c r="H10" s="19" t="str">
        <x:v>中创新航；Bosch ESP10/DPB；M15DRE</x:v>
      </x:c>
      <x:c r="I10" s="19" t="str">
        <x:v>当前N90首发核心商品</x:v>
      </x:c>
      <x:c r="J10" s="19" t="str">
        <x:v>身份、预售、动力、电池、七座、底盘及展示能力</x:v>
      </x:c>
      <x:c r="K10" s="19" t="str">
        <x:v>型号/供应商/5与7座准入边界</x:v>
      </x:c>
      <x:c r="L10" s="19" t="str">
        <x:v>部分标配边界仍待表</x:v>
      </x:c>
      <x:c r="M10" s="19" t="str">
        <x:v>电动门/踏板/旋转座椅等已明确选装</x:v>
      </x:c>
      <x:c r="N10" s="19" t="str">
        <x:v>OFFICIAL_PRESALE</x:v>
      </x:c>
      <x:c r="O10" s="19" t="str">
        <x:v>MEDIUM_HIGH</x:v>
      </x:c>
      <x:c r="P10" s="19" t="str">
        <x:v>展示项不等于全部基础标配</x:v>
      </x:c>
    </x:row>
    <x:row r="11" ht="106" customHeight="1">
      <x:c r="A11" s="643" t="str">
        <x:v>N90 Max升顶（若商品化）</x:v>
      </x:c>
      <x:c r="B11" s="643" t="str">
        <x:v>210+100kW</x:v>
      </x:c>
      <x:c r="C11" s="643" t="str">
        <x:v>76kWh NCM</x:v>
      </x:c>
      <x:c r="D11" s="643" t="str">
        <x:v>独立5座文化生活服务车；高1925；重2840</x:v>
      </x:c>
      <x:c r="E11" s="643" t="str">
        <x:v>申报页未定义空簧/CDC</x:v>
      </x:c>
      <x:c r="F11" s="643" t="str">
        <x:v>升降车顶、车顶床板、边柜、侧帐接口；投影/桌板为申报选装</x:v>
      </x:c>
      <x:c r="G11" s="643" t="str">
        <x:v>不能自动继承固定顶Max座舱</x:v>
      </x:c>
      <x:c r="H11" s="643" t="str">
        <x:v>中创新航；M15DRE；升顶供应商未知</x:v>
      </x:c>
      <x:c r="I11" s="643" t="str">
        <x:v>固定顶7座→5座升顶；增加升顶休息空间，无动力升级</x:v>
      </x:c>
      <x:c r="J11" s="643" t="str">
        <x:v>未商品化</x:v>
      </x:c>
      <x:c r="K11" s="643" t="str">
        <x:v>独立型号/Max尾标/登记类别/结构/尺寸重量</x:v>
      </x:c>
      <x:c r="L11" s="643" t="str">
        <x:v>若上市可能沿用Max级动力</x:v>
      </x:c>
      <x:c r="M11" s="643" t="str">
        <x:v>正式商品名、价格、底盘、座舱、床板承重/人数</x:v>
      </x:c>
      <x:c r="N11" s="643" t="str">
        <x:v>SEPARATE_REGULATORY</x:v>
      </x:c>
      <x:c r="O11" s="643" t="str">
        <x:v>LOW</x:v>
      </x:c>
      <x:c r="P11" s="643" t="str">
        <x:v>不能断言只能站立或不能睡；也不能称已上市车顶帐篷</x:v>
      </x:c>
    </x:row>
    <x:row r="14" ht="24" customHeight="1">
      <x:c r="A14" s="646" t="str">
        <x:v>关键成本与零售价差：不要一一等同</x:v>
      </x:c>
      <x:c r="B14" s="646"/>
      <x:c r="C14" s="646"/>
      <x:c r="D14" s="646"/>
      <x:c r="E14" s="646"/>
      <x:c r="F14" s="646"/>
      <x:c r="G14" s="646"/>
      <x:c r="H14" s="646"/>
      <x:c r="I14" s="646"/>
      <x:c r="J14" s="646"/>
      <x:c r="K14" s="646"/>
      <x:c r="L14" s="646"/>
      <x:c r="M14" s="646"/>
      <x:c r="N14" s="646"/>
      <x:c r="O14" s="646"/>
      <x:c r="P14" s="646"/>
    </x:row>
    <x:row r="15" ht="52" customHeight="1">
      <x:c r="A15" s="642" t="str">
        <x:v>比较</x:v>
      </x:c>
      <x:c r="B15" s="642" t="str">
        <x:v>动力/电池</x:v>
      </x:c>
      <x:c r="C15" s="642" t="str">
        <x:v>中心硬件差</x:v>
      </x:c>
      <x:c r="D15" s="642" t="str">
        <x:v>成本中值</x:v>
      </x:c>
      <x:c r="E15" s="642" t="str">
        <x:v>成本驱动含税价差</x:v>
      </x:c>
      <x:c r="F15" s="642" t="str">
        <x:v>商业梯度中心</x:v>
      </x:c>
      <x:c r="G15" s="642" t="str">
        <x:v>差额来源</x:v>
      </x:c>
      <x:c r="H15" s="642" t="str">
        <x:v>边界</x:v>
      </x:c>
    </x:row>
    <x:row r="16" ht="64" customHeight="1">
      <x:c r="A16" s="19" t="str">
        <x:v>N70→Max</x:v>
      </x:c>
      <x:c r="B16" s="19" t="str">
        <x:v>52LFP单电机→76NCM四驱</x:v>
      </x:c>
      <x:c r="C16" s="19" t="str">
        <x:v>电池+电驱+空悬条件</x:v>
      </x:c>
      <x:c r="D16" s="460" t="n">
        <x:f>'85_N70条件成本桥'!E29</x:f>
        <x:v>41266.24615384616</x:v>
      </x:c>
      <x:c r="E16" s="460" t="n">
        <x:f>'85_N70条件成本桥'!E31</x:f>
        <x:v>49870.94173057217</x:v>
      </x:c>
      <x:c r="F16" s="19" t="str">
        <x:v>3/4/5万敏感；强制单点4万</x:v>
      </x:c>
      <x:c r="G16" s="19" t="str">
        <x:v>技术跨级+商品围栏</x:v>
      </x:c>
      <x:c r="H16" s="19" t="str">
        <x:v>N70价格未公布；20.99是商业梯度中心</x:v>
      </x:c>
    </x:row>
    <x:row r="17" ht="64" customHeight="1">
      <x:c r="A17" s="643" t="str">
        <x:v>N70 Max→N90 Standard情景</x:v>
      </x:c>
      <x:c r="B17" s="643" t="str">
        <x:v>硬件未锁</x:v>
      </x:c>
      <x:c r="C17" s="643" t="str">
        <x:v>大车身/第三排与底盘简化的假设</x:v>
      </x:c>
      <x:c r="D17" s="647" t="str">
        <x:v>不设固定值</x:v>
      </x:c>
      <x:c r="E17" s="647" t="str">
        <x:v>不设固定值</x:v>
      </x:c>
      <x:c r="F17" s="643" t="str">
        <x:v>约1—3万情景</x:v>
      </x:c>
      <x:c r="G17" s="643" t="str">
        <x:v>空间价值+内部蚕食围栏</x:v>
      </x:c>
      <x:c r="H17" s="643" t="str">
        <x:v>该版本不在首发主树</x:v>
      </x:c>
    </x:row>
    <x:row r="18" ht="64" customHeight="1">
      <x:c r="A18" s="19" t="str">
        <x:v>N90 Standard情景→Max</x:v>
      </x:c>
      <x:c r="B18" s="19" t="str">
        <x:v>旧模型中心相同</x:v>
      </x:c>
      <x:c r="C18" s="19" t="str">
        <x:v>空簧/冰箱/音响/舒适包</x:v>
      </x:c>
      <x:c r="D18" s="460" t="n">
        <x:f>'122_版本形态敏感'!B30</x:f>
        <x:v>5200.874999999999</x:v>
      </x:c>
      <x:c r="E18" s="460" t="n">
        <x:f>'122_版本形态敏感'!B31</x:f>
        <x:v>6285.011571428571</x:v>
      </x:c>
      <x:c r="F18" s="19" t="str">
        <x:v>两档时约3万</x:v>
      </x:c>
      <x:c r="G18" s="19" t="str">
        <x:v>主要是消费者价值分层</x:v>
      </x:c>
      <x:c r="H18" s="19" t="str">
        <x:v>成本不等于零售价差；版本未官宣</x:v>
      </x:c>
    </x:row>
    <x:row r="19" ht="64" customHeight="1">
      <x:c r="A19" s="643" t="str">
        <x:v>N90 Pro情景→Max</x:v>
      </x:c>
      <x:c r="B19" s="643" t="str">
        <x:v>未锁</x:v>
      </x:c>
      <x:c r="C19" s="643" t="str">
        <x:v>没有独立BOM桥</x:v>
      </x:c>
      <x:c r="D19" s="647" t="str">
        <x:v>未单独封盘</x:v>
      </x:c>
      <x:c r="E19" s="647" t="str">
        <x:v>未单独封盘</x:v>
      </x:c>
      <x:c r="F19" s="643" t="str">
        <x:v>约2万仅为阵容占位</x:v>
      </x:c>
      <x:c r="G19" s="643" t="str">
        <x:v>保留Max价值锚</x:v>
      </x:c>
      <x:c r="H19" s="643" t="str">
        <x:v>Pro必须先有硬台阶与商品证据</x:v>
      </x:c>
    </x:row>
  </x:sheetData>
  <x:mergeCells>
    <x:mergeCell ref="A1:P1"/>
    <x:mergeCell ref="A2:P2"/>
    <x:mergeCell ref="A3:P3"/>
    <x:mergeCell ref="A14:P14"/>
  </x:mergeCells>
  <x:conditionalFormatting sqref="N6:N11">
    <x:cfRule type="containsText" dxfId="3745" priority="1" operator="containsText" text="PASS"/>
    <x:cfRule type="containsText" dxfId="3746" priority="2" operator="containsText" text="SIGNED"/>
    <x:cfRule type="containsText" dxfId="3747" priority="3" operator="containsText" text="CONFIRMED"/>
    <x:cfRule type="containsText" dxfId="3748" priority="4" operator="containsText" text="OFFICIAL"/>
    <x:cfRule type="containsText" dxfId="3749" priority="5" operator="containsText" text="FINAL"/>
    <x:cfRule type="containsText" dxfId="3750" priority="6" operator="containsText" text="READY"/>
    <x:cfRule type="containsText" dxfId="3751" priority="7" operator="containsText" text="MODEL"/>
    <x:cfRule type="containsText" dxfId="3752" priority="8" operator="containsText" text="CONDITIONAL"/>
    <x:cfRule type="containsText" dxfId="3753" priority="9" operator="containsText" text="PREDICTED"/>
    <x:cfRule type="containsText" dxfId="3754" priority="10" operator="containsText" text="MEDIUM"/>
    <x:cfRule type="containsText" dxfId="3755" priority="11" operator="containsText" text="WORKING"/>
    <x:cfRule type="containsText" dxfId="3756" priority="12" operator="containsText" text="WATCH"/>
    <x:cfRule type="containsText" dxfId="3757" priority="13" operator="containsText" text="EXCLUDED"/>
    <x:cfRule type="containsText" dxfId="3758" priority="14" operator="containsText" text="SEPARATE"/>
    <x:cfRule type="containsText" dxfId="3759" priority="15" operator="containsText" text="REGULATORY"/>
    <x:cfRule type="containsText" dxfId="3760" priority="16" operator="containsText" text="FAIL"/>
    <x:cfRule type="containsText" dxfId="3761" priority="17" operator="containsText" text="BLOCKED"/>
    <x:cfRule type="containsText" dxfId="3762" priority="18" operator="containsText" text="LOW"/>
  </x:conditionalFormatting>
  <x:conditionalFormatting sqref="O6:O11">
    <x:cfRule type="containsText" dxfId="3763" priority="19" operator="containsText" text="PASS"/>
    <x:cfRule type="containsText" dxfId="3764" priority="20" operator="containsText" text="SIGNED"/>
    <x:cfRule type="containsText" dxfId="3765" priority="21" operator="containsText" text="CONFIRMED"/>
    <x:cfRule type="containsText" dxfId="3766" priority="22" operator="containsText" text="OFFICIAL"/>
    <x:cfRule type="containsText" dxfId="3767" priority="23" operator="containsText" text="FINAL"/>
    <x:cfRule type="containsText" dxfId="3768" priority="24" operator="containsText" text="READY"/>
    <x:cfRule type="containsText" dxfId="3769" priority="25" operator="containsText" text="MODEL"/>
    <x:cfRule type="containsText" dxfId="3770" priority="26" operator="containsText" text="CONDITIONAL"/>
    <x:cfRule type="containsText" dxfId="3771" priority="27" operator="containsText" text="PREDICTED"/>
    <x:cfRule type="containsText" dxfId="3772" priority="28" operator="containsText" text="MEDIUM"/>
    <x:cfRule type="containsText" dxfId="3773" priority="29" operator="containsText" text="WORKING"/>
    <x:cfRule type="containsText" dxfId="3774" priority="30" operator="containsText" text="WATCH"/>
    <x:cfRule type="containsText" dxfId="3775" priority="31" operator="containsText" text="EXCLUDED"/>
    <x:cfRule type="containsText" dxfId="3776" priority="32" operator="containsText" text="SEPARATE"/>
    <x:cfRule type="containsText" dxfId="3777" priority="33" operator="containsText" text="REGULATORY"/>
    <x:cfRule type="containsText" dxfId="3778" priority="34" operator="containsText" text="FAIL"/>
    <x:cfRule type="containsText" dxfId="3779" priority="35" operator="containsText" text="BLOCKED"/>
    <x:cfRule type="containsText" dxfId="3780" priority="36" operator="containsText" text="LOW"/>
  </x:conditionalFormatting>
  <x:pageMargins left="0.7" right="0.7" top="0.75" bottom="0.75" header="0.3" footer="0.3"/>
</x:worksheet>
</file>

<file path=xl/worksheets/sheet13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0" hidden="0" customWidth="1"/>
    <x:col min="3" max="3" width="18" hidden="0" customWidth="1"/>
    <x:col min="4" max="4" width="18" hidden="0" customWidth="1"/>
    <x:col min="5" max="5" width="16" hidden="0" customWidth="1"/>
    <x:col min="6" max="6" width="20" hidden="0" customWidth="1"/>
    <x:col min="7" max="7" width="18" hidden="0" customWidth="1"/>
    <x:col min="8" max="8" width="18" hidden="0" customWidth="1"/>
    <x:col min="9" max="9" width="38" hidden="0" customWidth="1"/>
    <x:col min="10" max="10" width="17" hidden="0" customWidth="1"/>
    <x:col min="11" max="11" width="20" hidden="0" customWidth="1"/>
    <x:col min="12" max="12" width="16" hidden="0" customWidth="1"/>
  </x:cols>
  <x:sheetData>
    <x:row r="1" ht="30" customHeight="1">
      <x:c r="A1" s="630" t="str">
        <x:v>136｜跨车系软围栏压力测试：边际完全独立，不作为主联合树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</x:row>
    <x:row r="2" ht="22" customHeight="1">
      <x:c r="A2" s="633" t="str">
        <x:v>把N70与N90跨供应情景独立组合｜用于暴露最宽松的蚕食尾部，不反向修改单车边际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</x:row>
    <x:row r="3" ht="92" customHeight="1">
      <x:c r="A3" s="637" t="str">
        <x:v>这张表故意采用最宽松的24格边际独立组合，因此会制造同一市场状态下一车深降、另一车浅降的反向尾部：Standard不高于N70 Max约13.3%。主模型改用136A的共用降价强度U；单车边际不变，但同一供应情景内价格方向保持一致。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</x:row>
    <x:row r="5" ht="56" customHeight="1">
      <x:c r="A5" s="642" t="str">
        <x:v>case_id</x:v>
      </x:c>
      <x:c r="B5" s="642" t="str">
        <x:v>N90 Standard价</x:v>
      </x:c>
      <x:c r="C5" s="642" t="str">
        <x:v>Std条件权重</x:v>
      </x:c>
      <x:c r="D5" s="642" t="str">
        <x:v>N70 Max价</x:v>
      </x:c>
      <x:c r="E5" s="642" t="str">
        <x:v>N70权重</x:v>
      </x:c>
      <x:c r="F5" s="642" t="str">
        <x:v>联合诊断权重</x:v>
      </x:c>
      <x:c r="G5" s="642" t="str">
        <x:v>Std−N70</x:v>
      </x:c>
      <x:c r="H5" s="642" t="str">
        <x:v>围栏桶</x:v>
      </x:c>
      <x:c r="I5" s="642" t="str">
        <x:v>商业解释</x:v>
      </x:c>
      <x:c r="J5" s="642" t="str">
        <x:v>是否重加权</x:v>
      </x:c>
      <x:c r="K5" s="642" t="str">
        <x:v>状态</x:v>
      </x:c>
      <x:c r="L5" s="642" t="str">
        <x:v>来源</x:v>
      </x:c>
    </x:row>
    <x:row r="6" ht="40" customHeight="1">
      <x:c r="A6" s="19" t="str">
        <x:v>F-1-1</x:v>
      </x:c>
      <x:c r="B6" s="460" t="n">
        <x:f>'133_N90价格边际'!F6</x:f>
        <x:v>239900</x:v>
      </x:c>
      <x:c r="C6" s="23" t="n">
        <x:f>'133_N90价格边际'!H6</x:f>
        <x:v>0.040285714285714286</x:v>
      </x:c>
      <x:c r="D6" s="460" t="n">
        <x:f>'131_N70最终分布'!A6</x:f>
        <x:v>259900</x:v>
      </x:c>
      <x:c r="E6" s="23" t="n">
        <x:f>'131_N70最终分布'!B6</x:f>
        <x:v>0.0375</x:v>
      </x:c>
      <x:c r="F6" s="23" t="n">
        <x:f>C6*E6</x:f>
        <x:v>0.0015107142857142856</x:v>
      </x:c>
      <x:c r="G6" s="460" t="n">
        <x:f>B6-D6</x:f>
        <x:v>-20000</x:v>
      </x:c>
      <x:c r="H6" s="19" t="str">
        <x:f>IF(G6&lt;=0,"倒挂/同价",IF(G6&lt;=10000,"+0—1万",IF(G6&lt;=30000,"+1—3万","&gt;3万")))</x:f>
        <x:v>倒挂/同价</x:v>
      </x:c>
      <x:c r="I6" s="19" t="str">
        <x:v>只作诊断；需结合版本职责</x:v>
      </x:c>
      <x:c r="J6" s="19" t="str">
        <x:v>NO</x:v>
      </x:c>
      <x:c r="K6" s="19" t="str">
        <x:v>SOFT_FENCE</x:v>
      </x:c>
      <x:c r="L6" s="19" t="str">
        <x:v>131/133</x:v>
      </x:c>
    </x:row>
    <x:row r="7" ht="40" customHeight="1">
      <x:c r="A7" s="643" t="str">
        <x:v>F-1-2</x:v>
      </x:c>
      <x:c r="B7" s="647" t="n">
        <x:f>'133_N90价格边际'!F6</x:f>
        <x:v>239900</x:v>
      </x:c>
      <x:c r="C7" s="648" t="n">
        <x:f>'133_N90价格边际'!H6</x:f>
        <x:v>0.040285714285714286</x:v>
      </x:c>
      <x:c r="D7" s="647" t="n">
        <x:f>'131_N70最终分布'!A7</x:f>
        <x:v>253900</x:v>
      </x:c>
      <x:c r="E7" s="648" t="n">
        <x:f>'131_N70最终分布'!B7</x:f>
        <x:v>0.052500000000000005</x:v>
      </x:c>
      <x:c r="F7" s="648" t="n">
        <x:f>C7*E7</x:f>
        <x:v>0.002115</x:v>
      </x:c>
      <x:c r="G7" s="647" t="n">
        <x:f>B7-D7</x:f>
        <x:v>-14000</x:v>
      </x:c>
      <x:c r="H7" s="643" t="str">
        <x:f>IF(G7&lt;=0,"倒挂/同价",IF(G7&lt;=10000,"+0—1万",IF(G7&lt;=30000,"+1—3万","&gt;3万")))</x:f>
        <x:v>倒挂/同价</x:v>
      </x:c>
      <x:c r="I7" s="643" t="str">
        <x:v>只作诊断；需结合版本职责</x:v>
      </x:c>
      <x:c r="J7" s="643" t="str">
        <x:v>NO</x:v>
      </x:c>
      <x:c r="K7" s="643" t="str">
        <x:v>SOFT_FENCE</x:v>
      </x:c>
      <x:c r="L7" s="643" t="str">
        <x:v>131/133</x:v>
      </x:c>
    </x:row>
    <x:row r="8" ht="40" customHeight="1">
      <x:c r="A8" s="19" t="str">
        <x:v>F-1-3</x:v>
      </x:c>
      <x:c r="B8" s="460" t="n">
        <x:f>'133_N90价格边际'!F6</x:f>
        <x:v>239900</x:v>
      </x:c>
      <x:c r="C8" s="23" t="n">
        <x:f>'133_N90价格边际'!H6</x:f>
        <x:v>0.040285714285714286</x:v>
      </x:c>
      <x:c r="D8" s="460" t="n">
        <x:f>'131_N70最终分布'!A8</x:f>
        <x:v>249900</x:v>
      </x:c>
      <x:c r="E8" s="23" t="n">
        <x:f>'131_N70最终分布'!B8</x:f>
        <x:v>0.43200000000000005</x:v>
      </x:c>
      <x:c r="F8" s="23" t="n">
        <x:f>C8*E8</x:f>
        <x:v>0.017403428571428573</x:v>
      </x:c>
      <x:c r="G8" s="460" t="n">
        <x:f>B8-D8</x:f>
        <x:v>-10000</x:v>
      </x:c>
      <x:c r="H8" s="19" t="str">
        <x:f>IF(G8&lt;=0,"倒挂/同价",IF(G8&lt;=10000,"+0—1万",IF(G8&lt;=30000,"+1—3万","&gt;3万")))</x:f>
        <x:v>倒挂/同价</x:v>
      </x:c>
      <x:c r="I8" s="19" t="str">
        <x:v>只作诊断；需结合版本职责</x:v>
      </x:c>
      <x:c r="J8" s="19" t="str">
        <x:v>NO</x:v>
      </x:c>
      <x:c r="K8" s="19" t="str">
        <x:v>SOFT_FENCE</x:v>
      </x:c>
      <x:c r="L8" s="19" t="str">
        <x:v>131/133</x:v>
      </x:c>
    </x:row>
    <x:row r="9" ht="40" customHeight="1">
      <x:c r="A9" s="643" t="str">
        <x:v>F-1-4</x:v>
      </x:c>
      <x:c r="B9" s="647" t="n">
        <x:f>'133_N90价格边际'!F6</x:f>
        <x:v>239900</x:v>
      </x:c>
      <x:c r="C9" s="648" t="n">
        <x:f>'133_N90价格边际'!H6</x:f>
        <x:v>0.040285714285714286</x:v>
      </x:c>
      <x:c r="D9" s="647" t="n">
        <x:f>'131_N70最终分布'!A9</x:f>
        <x:v>239900</x:v>
      </x:c>
      <x:c r="E9" s="648" t="n">
        <x:f>'131_N70最终分布'!B9</x:f>
        <x:v>0.309</x:v>
      </x:c>
      <x:c r="F9" s="648" t="n">
        <x:f>C9*E9</x:f>
        <x:v>0.012448285714285714</x:v>
      </x:c>
      <x:c r="G9" s="647" t="n">
        <x:f>B9-D9</x:f>
        <x:v>0</x:v>
      </x:c>
      <x:c r="H9" s="643" t="str">
        <x:f>IF(G9&lt;=0,"倒挂/同价",IF(G9&lt;=10000,"+0—1万",IF(G9&lt;=30000,"+1—3万","&gt;3万")))</x:f>
        <x:v>倒挂/同价</x:v>
      </x:c>
      <x:c r="I9" s="643" t="str">
        <x:v>只作诊断；需结合版本职责</x:v>
      </x:c>
      <x:c r="J9" s="643" t="str">
        <x:v>NO</x:v>
      </x:c>
      <x:c r="K9" s="643" t="str">
        <x:v>SOFT_FENCE</x:v>
      </x:c>
      <x:c r="L9" s="643" t="str">
        <x:v>131/133</x:v>
      </x:c>
    </x:row>
    <x:row r="10" ht="40" customHeight="1">
      <x:c r="A10" s="19" t="str">
        <x:v>F-1-5</x:v>
      </x:c>
      <x:c r="B10" s="460" t="n">
        <x:f>'133_N90价格边际'!F6</x:f>
        <x:v>239900</x:v>
      </x:c>
      <x:c r="C10" s="23" t="n">
        <x:f>'133_N90价格边际'!H6</x:f>
        <x:v>0.040285714285714286</x:v>
      </x:c>
      <x:c r="D10" s="460" t="n">
        <x:f>'131_N70最终分布'!A10</x:f>
        <x:v>229900</x:v>
      </x:c>
      <x:c r="E10" s="23" t="n">
        <x:f>'131_N70最终分布'!B10</x:f>
        <x:v>0.128</x:v>
      </x:c>
      <x:c r="F10" s="23" t="n">
        <x:f>C10*E10</x:f>
        <x:v>0.005156571428571429</x:v>
      </x:c>
      <x:c r="G10" s="460" t="n">
        <x:f>B10-D10</x:f>
        <x:v>10000</x:v>
      </x:c>
      <x:c r="H10" s="19" t="str">
        <x:f>IF(G10&lt;=0,"倒挂/同价",IF(G10&lt;=10000,"+0—1万",IF(G10&lt;=30000,"+1—3万","&gt;3万")))</x:f>
        <x:v>+0—1万</x:v>
      </x:c>
      <x:c r="I10" s="19" t="str">
        <x:v>只作诊断；需结合版本职责</x:v>
      </x:c>
      <x:c r="J10" s="19" t="str">
        <x:v>NO</x:v>
      </x:c>
      <x:c r="K10" s="19" t="str">
        <x:v>SOFT_FENCE</x:v>
      </x:c>
      <x:c r="L10" s="19" t="str">
        <x:v>131/133</x:v>
      </x:c>
    </x:row>
    <x:row r="11" ht="40" customHeight="1">
      <x:c r="A11" s="643" t="str">
        <x:v>F-1-6</x:v>
      </x:c>
      <x:c r="B11" s="647" t="n">
        <x:f>'133_N90价格边际'!F6</x:f>
        <x:v>239900</x:v>
      </x:c>
      <x:c r="C11" s="648" t="n">
        <x:f>'133_N90价格边际'!H6</x:f>
        <x:v>0.040285714285714286</x:v>
      </x:c>
      <x:c r="D11" s="647" t="n">
        <x:f>'131_N70最终分布'!A11</x:f>
        <x:v>219900</x:v>
      </x:c>
      <x:c r="E11" s="648" t="n">
        <x:f>'131_N70最终分布'!B11</x:f>
        <x:v>0.040999999999999995</x:v>
      </x:c>
      <x:c r="F11" s="648" t="n">
        <x:f>C11*E11</x:f>
        <x:v>0.0016517142857142854</x:v>
      </x:c>
      <x:c r="G11" s="647" t="n">
        <x:f>B11-D11</x:f>
        <x:v>20000</x:v>
      </x:c>
      <x:c r="H11" s="643" t="str">
        <x:f>IF(G11&lt;=0,"倒挂/同价",IF(G11&lt;=10000,"+0—1万",IF(G11&lt;=30000,"+1—3万","&gt;3万")))</x:f>
        <x:v>+1—3万</x:v>
      </x:c>
      <x:c r="I11" s="643" t="str">
        <x:v>只作诊断；需结合版本职责</x:v>
      </x:c>
      <x:c r="J11" s="643" t="str">
        <x:v>NO</x:v>
      </x:c>
      <x:c r="K11" s="643" t="str">
        <x:v>SOFT_FENCE</x:v>
      </x:c>
      <x:c r="L11" s="643" t="str">
        <x:v>131/133</x:v>
      </x:c>
    </x:row>
    <x:row r="12" ht="40" customHeight="1">
      <x:c r="A12" s="19" t="str">
        <x:v>F-2-1</x:v>
      </x:c>
      <x:c r="B12" s="460" t="n">
        <x:f>'133_N90价格边际'!F7</x:f>
        <x:v>249900</x:v>
      </x:c>
      <x:c r="C12" s="23" t="n">
        <x:f>'133_N90价格边际'!H7</x:f>
        <x:v>0.1545</x:v>
      </x:c>
      <x:c r="D12" s="460" t="n">
        <x:f>'131_N70最终分布'!A6</x:f>
        <x:v>259900</x:v>
      </x:c>
      <x:c r="E12" s="23" t="n">
        <x:f>'131_N70最终分布'!B6</x:f>
        <x:v>0.0375</x:v>
      </x:c>
      <x:c r="F12" s="23" t="n">
        <x:f>C12*E12</x:f>
        <x:v>0.005793749999999999</x:v>
      </x:c>
      <x:c r="G12" s="460" t="n">
        <x:f>B12-D12</x:f>
        <x:v>-10000</x:v>
      </x:c>
      <x:c r="H12" s="19" t="str">
        <x:f>IF(G12&lt;=0,"倒挂/同价",IF(G12&lt;=10000,"+0—1万",IF(G12&lt;=30000,"+1—3万","&gt;3万")))</x:f>
        <x:v>倒挂/同价</x:v>
      </x:c>
      <x:c r="I12" s="19" t="str">
        <x:v>只作诊断；需结合版本职责</x:v>
      </x:c>
      <x:c r="J12" s="19" t="str">
        <x:v>NO</x:v>
      </x:c>
      <x:c r="K12" s="19" t="str">
        <x:v>SOFT_FENCE</x:v>
      </x:c>
      <x:c r="L12" s="19" t="str">
        <x:v>131/133</x:v>
      </x:c>
    </x:row>
    <x:row r="13" ht="40" customHeight="1">
      <x:c r="A13" s="643" t="str">
        <x:v>F-2-2</x:v>
      </x:c>
      <x:c r="B13" s="647" t="n">
        <x:f>'133_N90价格边际'!F7</x:f>
        <x:v>249900</x:v>
      </x:c>
      <x:c r="C13" s="648" t="n">
        <x:f>'133_N90价格边际'!H7</x:f>
        <x:v>0.1545</x:v>
      </x:c>
      <x:c r="D13" s="647" t="n">
        <x:f>'131_N70最终分布'!A7</x:f>
        <x:v>253900</x:v>
      </x:c>
      <x:c r="E13" s="648" t="n">
        <x:f>'131_N70最终分布'!B7</x:f>
        <x:v>0.052500000000000005</x:v>
      </x:c>
      <x:c r="F13" s="648" t="n">
        <x:f>C13*E13</x:f>
        <x:v>0.00811125</x:v>
      </x:c>
      <x:c r="G13" s="647" t="n">
        <x:f>B13-D13</x:f>
        <x:v>-4000</x:v>
      </x:c>
      <x:c r="H13" s="643" t="str">
        <x:f>IF(G13&lt;=0,"倒挂/同价",IF(G13&lt;=10000,"+0—1万",IF(G13&lt;=30000,"+1—3万","&gt;3万")))</x:f>
        <x:v>倒挂/同价</x:v>
      </x:c>
      <x:c r="I13" s="643" t="str">
        <x:v>只作诊断；需结合版本职责</x:v>
      </x:c>
      <x:c r="J13" s="643" t="str">
        <x:v>NO</x:v>
      </x:c>
      <x:c r="K13" s="643" t="str">
        <x:v>SOFT_FENCE</x:v>
      </x:c>
      <x:c r="L13" s="643" t="str">
        <x:v>131/133</x:v>
      </x:c>
    </x:row>
    <x:row r="14" ht="40" customHeight="1">
      <x:c r="A14" s="19" t="str">
        <x:v>F-2-3</x:v>
      </x:c>
      <x:c r="B14" s="460" t="n">
        <x:f>'133_N90价格边际'!F7</x:f>
        <x:v>249900</x:v>
      </x:c>
      <x:c r="C14" s="23" t="n">
        <x:f>'133_N90价格边际'!H7</x:f>
        <x:v>0.1545</x:v>
      </x:c>
      <x:c r="D14" s="460" t="n">
        <x:f>'131_N70最终分布'!A8</x:f>
        <x:v>249900</x:v>
      </x:c>
      <x:c r="E14" s="23" t="n">
        <x:f>'131_N70最终分布'!B8</x:f>
        <x:v>0.43200000000000005</x:v>
      </x:c>
      <x:c r="F14" s="23" t="n">
        <x:f>C14*E14</x:f>
        <x:v>0.06674400000000001</x:v>
      </x:c>
      <x:c r="G14" s="460" t="n">
        <x:f>B14-D14</x:f>
        <x:v>0</x:v>
      </x:c>
      <x:c r="H14" s="19" t="str">
        <x:f>IF(G14&lt;=0,"倒挂/同价",IF(G14&lt;=10000,"+0—1万",IF(G14&lt;=30000,"+1—3万","&gt;3万")))</x:f>
        <x:v>倒挂/同价</x:v>
      </x:c>
      <x:c r="I14" s="19" t="str">
        <x:v>只作诊断；需结合版本职责</x:v>
      </x:c>
      <x:c r="J14" s="19" t="str">
        <x:v>NO</x:v>
      </x:c>
      <x:c r="K14" s="19" t="str">
        <x:v>SOFT_FENCE</x:v>
      </x:c>
      <x:c r="L14" s="19" t="str">
        <x:v>131/133</x:v>
      </x:c>
    </x:row>
    <x:row r="15" ht="40" customHeight="1">
      <x:c r="A15" s="643" t="str">
        <x:v>F-2-4</x:v>
      </x:c>
      <x:c r="B15" s="647" t="n">
        <x:f>'133_N90价格边际'!F7</x:f>
        <x:v>249900</x:v>
      </x:c>
      <x:c r="C15" s="648" t="n">
        <x:f>'133_N90价格边际'!H7</x:f>
        <x:v>0.1545</x:v>
      </x:c>
      <x:c r="D15" s="647" t="n">
        <x:f>'131_N70最终分布'!A9</x:f>
        <x:v>239900</x:v>
      </x:c>
      <x:c r="E15" s="648" t="n">
        <x:f>'131_N70最终分布'!B9</x:f>
        <x:v>0.309</x:v>
      </x:c>
      <x:c r="F15" s="648" t="n">
        <x:f>C15*E15</x:f>
        <x:v>0.0477405</x:v>
      </x:c>
      <x:c r="G15" s="647" t="n">
        <x:f>B15-D15</x:f>
        <x:v>10000</x:v>
      </x:c>
      <x:c r="H15" s="643" t="str">
        <x:f>IF(G15&lt;=0,"倒挂/同价",IF(G15&lt;=10000,"+0—1万",IF(G15&lt;=30000,"+1—3万","&gt;3万")))</x:f>
        <x:v>+0—1万</x:v>
      </x:c>
      <x:c r="I15" s="643" t="str">
        <x:v>只作诊断；需结合版本职责</x:v>
      </x:c>
      <x:c r="J15" s="643" t="str">
        <x:v>NO</x:v>
      </x:c>
      <x:c r="K15" s="643" t="str">
        <x:v>SOFT_FENCE</x:v>
      </x:c>
      <x:c r="L15" s="643" t="str">
        <x:v>131/133</x:v>
      </x:c>
    </x:row>
    <x:row r="16" ht="40" customHeight="1">
      <x:c r="A16" s="19" t="str">
        <x:v>F-2-5</x:v>
      </x:c>
      <x:c r="B16" s="460" t="n">
        <x:f>'133_N90价格边际'!F7</x:f>
        <x:v>249900</x:v>
      </x:c>
      <x:c r="C16" s="23" t="n">
        <x:f>'133_N90价格边际'!H7</x:f>
        <x:v>0.1545</x:v>
      </x:c>
      <x:c r="D16" s="460" t="n">
        <x:f>'131_N70最终分布'!A10</x:f>
        <x:v>229900</x:v>
      </x:c>
      <x:c r="E16" s="23" t="n">
        <x:f>'131_N70最终分布'!B10</x:f>
        <x:v>0.128</x:v>
      </x:c>
      <x:c r="F16" s="23" t="n">
        <x:f>C16*E16</x:f>
        <x:v>0.019776000000000002</x:v>
      </x:c>
      <x:c r="G16" s="460" t="n">
        <x:f>B16-D16</x:f>
        <x:v>20000</x:v>
      </x:c>
      <x:c r="H16" s="19" t="str">
        <x:f>IF(G16&lt;=0,"倒挂/同价",IF(G16&lt;=10000,"+0—1万",IF(G16&lt;=30000,"+1—3万","&gt;3万")))</x:f>
        <x:v>+1—3万</x:v>
      </x:c>
      <x:c r="I16" s="19" t="str">
        <x:v>只作诊断；需结合版本职责</x:v>
      </x:c>
      <x:c r="J16" s="19" t="str">
        <x:v>NO</x:v>
      </x:c>
      <x:c r="K16" s="19" t="str">
        <x:v>SOFT_FENCE</x:v>
      </x:c>
      <x:c r="L16" s="19" t="str">
        <x:v>131/133</x:v>
      </x:c>
    </x:row>
    <x:row r="17" ht="40" customHeight="1">
      <x:c r="A17" s="643" t="str">
        <x:v>F-2-6</x:v>
      </x:c>
      <x:c r="B17" s="647" t="n">
        <x:f>'133_N90价格边际'!F7</x:f>
        <x:v>249900</x:v>
      </x:c>
      <x:c r="C17" s="648" t="n">
        <x:f>'133_N90价格边际'!H7</x:f>
        <x:v>0.1545</x:v>
      </x:c>
      <x:c r="D17" s="647" t="n">
        <x:f>'131_N70最终分布'!A11</x:f>
        <x:v>219900</x:v>
      </x:c>
      <x:c r="E17" s="648" t="n">
        <x:f>'131_N70最终分布'!B11</x:f>
        <x:v>0.040999999999999995</x:v>
      </x:c>
      <x:c r="F17" s="648" t="n">
        <x:f>C17*E17</x:f>
        <x:v>0.006334499999999999</x:v>
      </x:c>
      <x:c r="G17" s="647" t="n">
        <x:f>B17-D17</x:f>
        <x:v>30000</x:v>
      </x:c>
      <x:c r="H17" s="643" t="str">
        <x:f>IF(G17&lt;=0,"倒挂/同价",IF(G17&lt;=10000,"+0—1万",IF(G17&lt;=30000,"+1—3万","&gt;3万")))</x:f>
        <x:v>+1—3万</x:v>
      </x:c>
      <x:c r="I17" s="643" t="str">
        <x:v>只作诊断；需结合版本职责</x:v>
      </x:c>
      <x:c r="J17" s="643" t="str">
        <x:v>NO</x:v>
      </x:c>
      <x:c r="K17" s="643" t="str">
        <x:v>SOFT_FENCE</x:v>
      </x:c>
      <x:c r="L17" s="643" t="str">
        <x:v>131/133</x:v>
      </x:c>
    </x:row>
    <x:row r="18" ht="40" customHeight="1">
      <x:c r="A18" s="19" t="str">
        <x:v>F-3-1</x:v>
      </x:c>
      <x:c r="B18" s="460" t="n">
        <x:f>'133_N90价格边际'!F8</x:f>
        <x:v>259900</x:v>
      </x:c>
      <x:c r="C18" s="23" t="n">
        <x:f>'133_N90价格边际'!H8</x:f>
        <x:v>0.5000714285714286</x:v>
      </x:c>
      <x:c r="D18" s="460" t="n">
        <x:f>'131_N70最终分布'!A6</x:f>
        <x:v>259900</x:v>
      </x:c>
      <x:c r="E18" s="23" t="n">
        <x:f>'131_N70最终分布'!B6</x:f>
        <x:v>0.0375</x:v>
      </x:c>
      <x:c r="F18" s="23" t="n">
        <x:f>C18*E18</x:f>
        <x:v>0.018752678571428573</x:v>
      </x:c>
      <x:c r="G18" s="460" t="n">
        <x:f>B18-D18</x:f>
        <x:v>0</x:v>
      </x:c>
      <x:c r="H18" s="19" t="str">
        <x:f>IF(G18&lt;=0,"倒挂/同价",IF(G18&lt;=10000,"+0—1万",IF(G18&lt;=30000,"+1—3万","&gt;3万")))</x:f>
        <x:v>倒挂/同价</x:v>
      </x:c>
      <x:c r="I18" s="19" t="str">
        <x:v>只作诊断；需结合版本职责</x:v>
      </x:c>
      <x:c r="J18" s="19" t="str">
        <x:v>NO</x:v>
      </x:c>
      <x:c r="K18" s="19" t="str">
        <x:v>SOFT_FENCE</x:v>
      </x:c>
      <x:c r="L18" s="19" t="str">
        <x:v>131/133</x:v>
      </x:c>
    </x:row>
    <x:row r="19" ht="40" customHeight="1">
      <x:c r="A19" s="643" t="str">
        <x:v>F-3-2</x:v>
      </x:c>
      <x:c r="B19" s="647" t="n">
        <x:f>'133_N90价格边际'!F8</x:f>
        <x:v>259900</x:v>
      </x:c>
      <x:c r="C19" s="648" t="n">
        <x:f>'133_N90价格边际'!H8</x:f>
        <x:v>0.5000714285714286</x:v>
      </x:c>
      <x:c r="D19" s="647" t="n">
        <x:f>'131_N70最终分布'!A7</x:f>
        <x:v>253900</x:v>
      </x:c>
      <x:c r="E19" s="648" t="n">
        <x:f>'131_N70最终分布'!B7</x:f>
        <x:v>0.052500000000000005</x:v>
      </x:c>
      <x:c r="F19" s="648" t="n">
        <x:f>C19*E19</x:f>
        <x:v>0.026253750000000006</x:v>
      </x:c>
      <x:c r="G19" s="647" t="n">
        <x:f>B19-D19</x:f>
        <x:v>6000</x:v>
      </x:c>
      <x:c r="H19" s="643" t="str">
        <x:f>IF(G19&lt;=0,"倒挂/同价",IF(G19&lt;=10000,"+0—1万",IF(G19&lt;=30000,"+1—3万","&gt;3万")))</x:f>
        <x:v>+0—1万</x:v>
      </x:c>
      <x:c r="I19" s="643" t="str">
        <x:v>只作诊断；需结合版本职责</x:v>
      </x:c>
      <x:c r="J19" s="643" t="str">
        <x:v>NO</x:v>
      </x:c>
      <x:c r="K19" s="643" t="str">
        <x:v>SOFT_FENCE</x:v>
      </x:c>
      <x:c r="L19" s="643" t="str">
        <x:v>131/133</x:v>
      </x:c>
    </x:row>
    <x:row r="20" ht="40" customHeight="1">
      <x:c r="A20" s="19" t="str">
        <x:v>F-3-3</x:v>
      </x:c>
      <x:c r="B20" s="460" t="n">
        <x:f>'133_N90价格边际'!F8</x:f>
        <x:v>259900</x:v>
      </x:c>
      <x:c r="C20" s="23" t="n">
        <x:f>'133_N90价格边际'!H8</x:f>
        <x:v>0.5000714285714286</x:v>
      </x:c>
      <x:c r="D20" s="460" t="n">
        <x:f>'131_N70最终分布'!A8</x:f>
        <x:v>249900</x:v>
      </x:c>
      <x:c r="E20" s="23" t="n">
        <x:f>'131_N70最终分布'!B8</x:f>
        <x:v>0.43200000000000005</x:v>
      </x:c>
      <x:c r="F20" s="23" t="n">
        <x:f>C20*E20</x:f>
        <x:v>0.2160308571428572</x:v>
      </x:c>
      <x:c r="G20" s="460" t="n">
        <x:f>B20-D20</x:f>
        <x:v>10000</x:v>
      </x:c>
      <x:c r="H20" s="19" t="str">
        <x:f>IF(G20&lt;=0,"倒挂/同价",IF(G20&lt;=10000,"+0—1万",IF(G20&lt;=30000,"+1—3万","&gt;3万")))</x:f>
        <x:v>+0—1万</x:v>
      </x:c>
      <x:c r="I20" s="19" t="str">
        <x:v>只作诊断；需结合版本职责</x:v>
      </x:c>
      <x:c r="J20" s="19" t="str">
        <x:v>NO</x:v>
      </x:c>
      <x:c r="K20" s="19" t="str">
        <x:v>SOFT_FENCE</x:v>
      </x:c>
      <x:c r="L20" s="19" t="str">
        <x:v>131/133</x:v>
      </x:c>
    </x:row>
    <x:row r="21" ht="40" customHeight="1">
      <x:c r="A21" s="643" t="str">
        <x:v>F-3-4</x:v>
      </x:c>
      <x:c r="B21" s="647" t="n">
        <x:f>'133_N90价格边际'!F8</x:f>
        <x:v>259900</x:v>
      </x:c>
      <x:c r="C21" s="648" t="n">
        <x:f>'133_N90价格边际'!H8</x:f>
        <x:v>0.5000714285714286</x:v>
      </x:c>
      <x:c r="D21" s="647" t="n">
        <x:f>'131_N70最终分布'!A9</x:f>
        <x:v>239900</x:v>
      </x:c>
      <x:c r="E21" s="648" t="n">
        <x:f>'131_N70最终分布'!B9</x:f>
        <x:v>0.309</x:v>
      </x:c>
      <x:c r="F21" s="648" t="n">
        <x:f>C21*E21</x:f>
        <x:v>0.15452207142857144</x:v>
      </x:c>
      <x:c r="G21" s="647" t="n">
        <x:f>B21-D21</x:f>
        <x:v>20000</x:v>
      </x:c>
      <x:c r="H21" s="643" t="str">
        <x:f>IF(G21&lt;=0,"倒挂/同价",IF(G21&lt;=10000,"+0—1万",IF(G21&lt;=30000,"+1—3万","&gt;3万")))</x:f>
        <x:v>+1—3万</x:v>
      </x:c>
      <x:c r="I21" s="643" t="str">
        <x:v>只作诊断；需结合版本职责</x:v>
      </x:c>
      <x:c r="J21" s="643" t="str">
        <x:v>NO</x:v>
      </x:c>
      <x:c r="K21" s="643" t="str">
        <x:v>SOFT_FENCE</x:v>
      </x:c>
      <x:c r="L21" s="643" t="str">
        <x:v>131/133</x:v>
      </x:c>
    </x:row>
    <x:row r="22" ht="40" customHeight="1">
      <x:c r="A22" s="19" t="str">
        <x:v>F-3-5</x:v>
      </x:c>
      <x:c r="B22" s="460" t="n">
        <x:f>'133_N90价格边际'!F8</x:f>
        <x:v>259900</x:v>
      </x:c>
      <x:c r="C22" s="23" t="n">
        <x:f>'133_N90价格边际'!H8</x:f>
        <x:v>0.5000714285714286</x:v>
      </x:c>
      <x:c r="D22" s="460" t="n">
        <x:f>'131_N70最终分布'!A10</x:f>
        <x:v>229900</x:v>
      </x:c>
      <x:c r="E22" s="23" t="n">
        <x:f>'131_N70最终分布'!B10</x:f>
        <x:v>0.128</x:v>
      </x:c>
      <x:c r="F22" s="23" t="n">
        <x:f>C22*E22</x:f>
        <x:v>0.06400914285714286</x:v>
      </x:c>
      <x:c r="G22" s="460" t="n">
        <x:f>B22-D22</x:f>
        <x:v>30000</x:v>
      </x:c>
      <x:c r="H22" s="19" t="str">
        <x:f>IF(G22&lt;=0,"倒挂/同价",IF(G22&lt;=10000,"+0—1万",IF(G22&lt;=30000,"+1—3万","&gt;3万")))</x:f>
        <x:v>+1—3万</x:v>
      </x:c>
      <x:c r="I22" s="19" t="str">
        <x:v>只作诊断；需结合版本职责</x:v>
      </x:c>
      <x:c r="J22" s="19" t="str">
        <x:v>NO</x:v>
      </x:c>
      <x:c r="K22" s="19" t="str">
        <x:v>SOFT_FENCE</x:v>
      </x:c>
      <x:c r="L22" s="19" t="str">
        <x:v>131/133</x:v>
      </x:c>
    </x:row>
    <x:row r="23" ht="40" customHeight="1">
      <x:c r="A23" s="643" t="str">
        <x:v>F-3-6</x:v>
      </x:c>
      <x:c r="B23" s="647" t="n">
        <x:f>'133_N90价格边际'!F8</x:f>
        <x:v>259900</x:v>
      </x:c>
      <x:c r="C23" s="648" t="n">
        <x:f>'133_N90价格边际'!H8</x:f>
        <x:v>0.5000714285714286</x:v>
      </x:c>
      <x:c r="D23" s="647" t="n">
        <x:f>'131_N70最终分布'!A11</x:f>
        <x:v>219900</x:v>
      </x:c>
      <x:c r="E23" s="648" t="n">
        <x:f>'131_N70最终分布'!B11</x:f>
        <x:v>0.040999999999999995</x:v>
      </x:c>
      <x:c r="F23" s="648" t="n">
        <x:f>C23*E23</x:f>
        <x:v>0.02050292857142857</x:v>
      </x:c>
      <x:c r="G23" s="647" t="n">
        <x:f>B23-D23</x:f>
        <x:v>40000</x:v>
      </x:c>
      <x:c r="H23" s="643" t="str">
        <x:f>IF(G23&lt;=0,"倒挂/同价",IF(G23&lt;=10000,"+0—1万",IF(G23&lt;=30000,"+1—3万","&gt;3万")))</x:f>
        <x:v>&gt;3万</x:v>
      </x:c>
      <x:c r="I23" s="643" t="str">
        <x:v>只作诊断；需结合版本职责</x:v>
      </x:c>
      <x:c r="J23" s="643" t="str">
        <x:v>NO</x:v>
      </x:c>
      <x:c r="K23" s="643" t="str">
        <x:v>SOFT_FENCE</x:v>
      </x:c>
      <x:c r="L23" s="643" t="str">
        <x:v>131/133</x:v>
      </x:c>
    </x:row>
    <x:row r="24" ht="40" customHeight="1">
      <x:c r="A24" s="19" t="str">
        <x:v>F-4-1</x:v>
      </x:c>
      <x:c r="B24" s="460" t="n">
        <x:f>'133_N90价格边际'!F9</x:f>
        <x:v>269900</x:v>
      </x:c>
      <x:c r="C24" s="23" t="n">
        <x:f>'133_N90价格边际'!H9</x:f>
        <x:v>0.30514285714285716</x:v>
      </x:c>
      <x:c r="D24" s="460" t="n">
        <x:f>'131_N70最终分布'!A6</x:f>
        <x:v>259900</x:v>
      </x:c>
      <x:c r="E24" s="23" t="n">
        <x:f>'131_N70最终分布'!B6</x:f>
        <x:v>0.0375</x:v>
      </x:c>
      <x:c r="F24" s="23" t="n">
        <x:f>C24*E24</x:f>
        <x:v>0.011442857142857144</x:v>
      </x:c>
      <x:c r="G24" s="460" t="n">
        <x:f>B24-D24</x:f>
        <x:v>10000</x:v>
      </x:c>
      <x:c r="H24" s="19" t="str">
        <x:f>IF(G24&lt;=0,"倒挂/同价",IF(G24&lt;=10000,"+0—1万",IF(G24&lt;=30000,"+1—3万","&gt;3万")))</x:f>
        <x:v>+0—1万</x:v>
      </x:c>
      <x:c r="I24" s="19" t="str">
        <x:v>只作诊断；需结合版本职责</x:v>
      </x:c>
      <x:c r="J24" s="19" t="str">
        <x:v>NO</x:v>
      </x:c>
      <x:c r="K24" s="19" t="str">
        <x:v>SOFT_FENCE</x:v>
      </x:c>
      <x:c r="L24" s="19" t="str">
        <x:v>131/133</x:v>
      </x:c>
    </x:row>
    <x:row r="25" ht="40" customHeight="1">
      <x:c r="A25" s="643" t="str">
        <x:v>F-4-2</x:v>
      </x:c>
      <x:c r="B25" s="647" t="n">
        <x:f>'133_N90价格边际'!F9</x:f>
        <x:v>269900</x:v>
      </x:c>
      <x:c r="C25" s="648" t="n">
        <x:f>'133_N90价格边际'!H9</x:f>
        <x:v>0.30514285714285716</x:v>
      </x:c>
      <x:c r="D25" s="647" t="n">
        <x:f>'131_N70最终分布'!A7</x:f>
        <x:v>253900</x:v>
      </x:c>
      <x:c r="E25" s="648" t="n">
        <x:f>'131_N70最终分布'!B7</x:f>
        <x:v>0.052500000000000005</x:v>
      </x:c>
      <x:c r="F25" s="648" t="n">
        <x:f>C25*E25</x:f>
        <x:v>0.016020000000000003</x:v>
      </x:c>
      <x:c r="G25" s="647" t="n">
        <x:f>B25-D25</x:f>
        <x:v>16000</x:v>
      </x:c>
      <x:c r="H25" s="643" t="str">
        <x:f>IF(G25&lt;=0,"倒挂/同价",IF(G25&lt;=10000,"+0—1万",IF(G25&lt;=30000,"+1—3万","&gt;3万")))</x:f>
        <x:v>+1—3万</x:v>
      </x:c>
      <x:c r="I25" s="643" t="str">
        <x:v>只作诊断；需结合版本职责</x:v>
      </x:c>
      <x:c r="J25" s="643" t="str">
        <x:v>NO</x:v>
      </x:c>
      <x:c r="K25" s="643" t="str">
        <x:v>SOFT_FENCE</x:v>
      </x:c>
      <x:c r="L25" s="643" t="str">
        <x:v>131/133</x:v>
      </x:c>
    </x:row>
    <x:row r="26" ht="40" customHeight="1">
      <x:c r="A26" s="19" t="str">
        <x:v>F-4-3</x:v>
      </x:c>
      <x:c r="B26" s="460" t="n">
        <x:f>'133_N90价格边际'!F9</x:f>
        <x:v>269900</x:v>
      </x:c>
      <x:c r="C26" s="23" t="n">
        <x:f>'133_N90价格边际'!H9</x:f>
        <x:v>0.30514285714285716</x:v>
      </x:c>
      <x:c r="D26" s="460" t="n">
        <x:f>'131_N70最终分布'!A8</x:f>
        <x:v>249900</x:v>
      </x:c>
      <x:c r="E26" s="23" t="n">
        <x:f>'131_N70最终分布'!B8</x:f>
        <x:v>0.43200000000000005</x:v>
      </x:c>
      <x:c r="F26" s="23" t="n">
        <x:f>C26*E26</x:f>
        <x:v>0.13182171428571432</x:v>
      </x:c>
      <x:c r="G26" s="460" t="n">
        <x:f>B26-D26</x:f>
        <x:v>20000</x:v>
      </x:c>
      <x:c r="H26" s="19" t="str">
        <x:f>IF(G26&lt;=0,"倒挂/同价",IF(G26&lt;=10000,"+0—1万",IF(G26&lt;=30000,"+1—3万","&gt;3万")))</x:f>
        <x:v>+1—3万</x:v>
      </x:c>
      <x:c r="I26" s="19" t="str">
        <x:v>只作诊断；需结合版本职责</x:v>
      </x:c>
      <x:c r="J26" s="19" t="str">
        <x:v>NO</x:v>
      </x:c>
      <x:c r="K26" s="19" t="str">
        <x:v>SOFT_FENCE</x:v>
      </x:c>
      <x:c r="L26" s="19" t="str">
        <x:v>131/133</x:v>
      </x:c>
    </x:row>
    <x:row r="27" ht="40" customHeight="1">
      <x:c r="A27" s="643" t="str">
        <x:v>F-4-4</x:v>
      </x:c>
      <x:c r="B27" s="647" t="n">
        <x:f>'133_N90价格边际'!F9</x:f>
        <x:v>269900</x:v>
      </x:c>
      <x:c r="C27" s="648" t="n">
        <x:f>'133_N90价格边际'!H9</x:f>
        <x:v>0.30514285714285716</x:v>
      </x:c>
      <x:c r="D27" s="647" t="n">
        <x:f>'131_N70最终分布'!A9</x:f>
        <x:v>239900</x:v>
      </x:c>
      <x:c r="E27" s="648" t="n">
        <x:f>'131_N70最终分布'!B9</x:f>
        <x:v>0.309</x:v>
      </x:c>
      <x:c r="F27" s="648" t="n">
        <x:f>C27*E27</x:f>
        <x:v>0.09428914285714286</x:v>
      </x:c>
      <x:c r="G27" s="647" t="n">
        <x:f>B27-D27</x:f>
        <x:v>30000</x:v>
      </x:c>
      <x:c r="H27" s="643" t="str">
        <x:f>IF(G27&lt;=0,"倒挂/同价",IF(G27&lt;=10000,"+0—1万",IF(G27&lt;=30000,"+1—3万","&gt;3万")))</x:f>
        <x:v>+1—3万</x:v>
      </x:c>
      <x:c r="I27" s="643" t="str">
        <x:v>只作诊断；需结合版本职责</x:v>
      </x:c>
      <x:c r="J27" s="643" t="str">
        <x:v>NO</x:v>
      </x:c>
      <x:c r="K27" s="643" t="str">
        <x:v>SOFT_FENCE</x:v>
      </x:c>
      <x:c r="L27" s="643" t="str">
        <x:v>131/133</x:v>
      </x:c>
    </x:row>
    <x:row r="28" ht="40" customHeight="1">
      <x:c r="A28" s="19" t="str">
        <x:v>F-4-5</x:v>
      </x:c>
      <x:c r="B28" s="460" t="n">
        <x:f>'133_N90价格边际'!F9</x:f>
        <x:v>269900</x:v>
      </x:c>
      <x:c r="C28" s="23" t="n">
        <x:f>'133_N90价格边际'!H9</x:f>
        <x:v>0.30514285714285716</x:v>
      </x:c>
      <x:c r="D28" s="460" t="n">
        <x:f>'131_N70最终分布'!A10</x:f>
        <x:v>229900</x:v>
      </x:c>
      <x:c r="E28" s="23" t="n">
        <x:f>'131_N70最终分布'!B10</x:f>
        <x:v>0.128</x:v>
      </x:c>
      <x:c r="F28" s="23" t="n">
        <x:f>C28*E28</x:f>
        <x:v>0.03905828571428572</x:v>
      </x:c>
      <x:c r="G28" s="460" t="n">
        <x:f>B28-D28</x:f>
        <x:v>40000</x:v>
      </x:c>
      <x:c r="H28" s="19" t="str">
        <x:f>IF(G28&lt;=0,"倒挂/同价",IF(G28&lt;=10000,"+0—1万",IF(G28&lt;=30000,"+1—3万","&gt;3万")))</x:f>
        <x:v>&gt;3万</x:v>
      </x:c>
      <x:c r="I28" s="19" t="str">
        <x:v>只作诊断；需结合版本职责</x:v>
      </x:c>
      <x:c r="J28" s="19" t="str">
        <x:v>NO</x:v>
      </x:c>
      <x:c r="K28" s="19" t="str">
        <x:v>SOFT_FENCE</x:v>
      </x:c>
      <x:c r="L28" s="19" t="str">
        <x:v>131/133</x:v>
      </x:c>
    </x:row>
    <x:row r="29" ht="40" customHeight="1">
      <x:c r="A29" s="643" t="str">
        <x:v>F-4-6</x:v>
      </x:c>
      <x:c r="B29" s="647" t="n">
        <x:f>'133_N90价格边际'!F9</x:f>
        <x:v>269900</x:v>
      </x:c>
      <x:c r="C29" s="648" t="n">
        <x:f>'133_N90价格边际'!H9</x:f>
        <x:v>0.30514285714285716</x:v>
      </x:c>
      <x:c r="D29" s="647" t="n">
        <x:f>'131_N70最终分布'!A11</x:f>
        <x:v>219900</x:v>
      </x:c>
      <x:c r="E29" s="648" t="n">
        <x:f>'131_N70最终分布'!B11</x:f>
        <x:v>0.040999999999999995</x:v>
      </x:c>
      <x:c r="F29" s="648" t="n">
        <x:f>C29*E29</x:f>
        <x:v>0.012510857142857141</x:v>
      </x:c>
      <x:c r="G29" s="647" t="n">
        <x:f>B29-D29</x:f>
        <x:v>50000</x:v>
      </x:c>
      <x:c r="H29" s="643" t="str">
        <x:f>IF(G29&lt;=0,"倒挂/同价",IF(G29&lt;=10000,"+0—1万",IF(G29&lt;=30000,"+1—3万","&gt;3万")))</x:f>
        <x:v>&gt;3万</x:v>
      </x:c>
      <x:c r="I29" s="643" t="str">
        <x:v>只作诊断；需结合版本职责</x:v>
      </x:c>
      <x:c r="J29" s="643" t="str">
        <x:v>NO</x:v>
      </x:c>
      <x:c r="K29" s="643" t="str">
        <x:v>SOFT_FENCE</x:v>
      </x:c>
      <x:c r="L29" s="643" t="str">
        <x:v>131/133</x:v>
      </x:c>
    </x:row>
    <x:row r="32" ht="24" customHeight="1">
      <x:c r="A32" s="646" t="str">
        <x:v>围栏桶汇总</x:v>
      </x:c>
      <x:c r="B32" s="646"/>
      <x:c r="C32" s="646"/>
      <x:c r="D32" s="646"/>
      <x:c r="E32" s="646"/>
      <x:c r="F32" s="646"/>
      <x:c r="G32" s="646"/>
      <x:c r="H32" s="646"/>
      <x:c r="I32" s="646"/>
      <x:c r="J32" s="646"/>
      <x:c r="K32" s="646"/>
      <x:c r="L32" s="646"/>
    </x:row>
    <x:row r="33" ht="46" customHeight="1">
      <x:c r="A33" s="642" t="str">
        <x:v>围栏桶</x:v>
      </x:c>
      <x:c r="B33" s="642" t="str">
        <x:v>权重</x:v>
      </x:c>
      <x:c r="C33" s="642" t="str">
        <x:v>判读</x:v>
      </x:c>
      <x:c r="D33" s="642" t="str">
        <x:v>需要的动作</x:v>
      </x:c>
      <x:c r="E33" s="642" t="str">
        <x:v>是否否决</x:v>
      </x:c>
      <x:c r="F33" s="642" t="str">
        <x:v>状态</x:v>
      </x:c>
    </x:row>
    <x:row r="34" ht="50" customHeight="1">
      <x:c r="A34" s="19" t="str">
        <x:v>倒挂/同价</x:v>
      </x:c>
      <x:c r="B34" s="23" t="n">
        <x:f>SUMIF($H$6:$H$29,A34,$F$6:$F$29)</x:f>
        <x:v>0.13287910714285717</x:v>
      </x:c>
      <x:c r="C34" s="19" t="str">
        <x:v>高蚕食冲突</x:v>
      </x:c>
      <x:c r="D34" s="19" t="str">
        <x:v>同步降低N70、上移N90或取消Standard</x:v>
      </x:c>
      <x:c r="E34" s="19" t="str">
        <x:v>NO_HARD_REJECT</x:v>
      </x:c>
      <x:c r="F34" s="19" t="str">
        <x:v>WATCH_HIGH</x:v>
      </x:c>
    </x:row>
    <x:row r="35" ht="50" customHeight="1">
      <x:c r="A35" s="643" t="str">
        <x:v>+0—1万</x:v>
      </x:c>
      <x:c r="B35" s="648" t="n">
        <x:f>SUMIF($H$6:$H$29,A35,$F$6:$F$29)</x:f>
        <x:v>0.3066245357142858</x:v>
      </x:c>
      <x:c r="C35" s="643" t="str">
        <x:v>激进但小米已有跨车系近距先例</x:v>
      </x:c>
      <x:c r="D35" s="643" t="str">
        <x:v>必须拉开配置职责</x:v>
      </x:c>
      <x:c r="E35" s="643" t="str">
        <x:v>NO_HARD_REJECT</x:v>
      </x:c>
      <x:c r="F35" s="643" t="str">
        <x:v>WATCH</x:v>
      </x:c>
    </x:row>
    <x:row r="36" ht="50" customHeight="1">
      <x:c r="A36" s="19" t="str">
        <x:v>+1—3万</x:v>
      </x:c>
      <x:c r="B36" s="23" t="n">
        <x:f>SUMIF($H$6:$H$29,A36,$F$6:$F$29)</x:f>
        <x:v>0.48842428571428576</x:v>
      </x:c>
      <x:c r="C36" s="19" t="str">
        <x:v>商业绿色区</x:v>
      </x:c>
      <x:c r="D36" s="19" t="str">
        <x:v>正常保留</x:v>
      </x:c>
      <x:c r="E36" s="19" t="str">
        <x:v>NO</x:v>
      </x:c>
      <x:c r="F36" s="19" t="str">
        <x:v>CENTRAL_GREEN</x:v>
      </x:c>
    </x:row>
    <x:row r="37" ht="50" customHeight="1">
      <x:c r="A37" s="643" t="str">
        <x:v>&gt;3万</x:v>
      </x:c>
      <x:c r="B37" s="648" t="n">
        <x:f>SUMIF($H$6:$H$29,A37,$F$6:$F$29)</x:f>
        <x:v>0</x:v>
      </x:c>
      <x:c r="C37" s="643" t="str">
        <x:v>N90价值更强</x:v>
      </x:c>
      <x:c r="D37" s="643" t="str">
        <x:v>检查是否削弱性价比</x:v>
      </x:c>
      <x:c r="E37" s="643" t="str">
        <x:v>NO</x:v>
      </x:c>
      <x:c r="F37" s="643" t="str">
        <x:v>UPPER_TAIL</x:v>
      </x:c>
    </x:row>
    <x:row r="40" ht="42" customHeight="1">
      <x:c r="A40" s="642" t="str">
        <x:v>指标</x:v>
      </x:c>
      <x:c r="B40" s="642" t="str">
        <x:v>结果</x:v>
      </x:c>
      <x:c r="C40" s="642" t="str">
        <x:v>解释</x:v>
      </x:c>
      <x:c r="D40" s="642" t="str">
        <x:v>状态</x:v>
      </x:c>
    </x:row>
    <x:row r="41" ht="46" customHeight="1">
      <x:c r="A41" s="19" t="str">
        <x:v>平均Std−N70 Max</x:v>
      </x:c>
      <x:c r="B41" s="460" t="n">
        <x:f>SUMPRODUCT(F6:F29,G6:G29)</x:f>
        <x:v>16995.714285714286</x:v>
      </x:c>
      <x:c r="C41" s="19" t="str">
        <x:v>约1.70万元；软围栏中心接近2万</x:v>
      </x:c>
      <x:c r="D41" s="19" t="str">
        <x:v>DIAGNOSTIC</x:v>
      </x:c>
    </x:row>
    <x:row r="42" ht="46" customHeight="1">
      <x:c r="A42" s="643" t="str">
        <x:v>P(倒挂/同价)</x:v>
      </x:c>
      <x:c r="B42" s="648" t="n">
        <x:f>B34</x:f>
        <x:v>0.13287910714285717</x:v>
      </x:c>
      <x:c r="C42" s="643" t="str">
        <x:v>不是零概率，需联动处理</x:v>
      </x:c>
      <x:c r="D42" s="643" t="str">
        <x:v>WATCH</x:v>
      </x:c>
    </x:row>
    <x:row r="43" ht="46" customHeight="1">
      <x:c r="A43" s="19" t="str">
        <x:v>P(+1—3万绿色区)</x:v>
      </x:c>
      <x:c r="B43" s="23" t="n">
        <x:f>B36</x:f>
        <x:v>0.48842428571428576</x:v>
      </x:c>
      <x:c r="C43" s="19" t="str">
        <x:v>接近一半联合状态</x:v>
      </x:c>
      <x:c r="D43" s="19" t="str">
        <x:v>CENTRAL</x:v>
      </x:c>
    </x:row>
  </x:sheetData>
  <x:mergeCells>
    <x:mergeCell ref="A1:L1"/>
    <x:mergeCell ref="A2:L2"/>
    <x:mergeCell ref="A3:L3"/>
    <x:mergeCell ref="A32:L32"/>
  </x:mergeCells>
  <x:conditionalFormatting sqref="K6:K29">
    <x:cfRule type="containsText" dxfId="3781" priority="1" operator="containsText" text="PASS"/>
    <x:cfRule type="containsText" dxfId="3782" priority="2" operator="containsText" text="SIGNED"/>
    <x:cfRule type="containsText" dxfId="3783" priority="3" operator="containsText" text="CONFIRMED"/>
    <x:cfRule type="containsText" dxfId="3784" priority="4" operator="containsText" text="OFFICIAL"/>
    <x:cfRule type="containsText" dxfId="3785" priority="5" operator="containsText" text="FINAL"/>
    <x:cfRule type="containsText" dxfId="3786" priority="6" operator="containsText" text="READY"/>
    <x:cfRule type="containsText" dxfId="3787" priority="7" operator="containsText" text="MODEL"/>
    <x:cfRule type="containsText" dxfId="3788" priority="8" operator="containsText" text="CONDITIONAL"/>
    <x:cfRule type="containsText" dxfId="3789" priority="9" operator="containsText" text="PREDICTED"/>
    <x:cfRule type="containsText" dxfId="3790" priority="10" operator="containsText" text="MEDIUM"/>
    <x:cfRule type="containsText" dxfId="3791" priority="11" operator="containsText" text="WORKING"/>
    <x:cfRule type="containsText" dxfId="3792" priority="12" operator="containsText" text="WATCH"/>
    <x:cfRule type="containsText" dxfId="3793" priority="13" operator="containsText" text="EXCLUDED"/>
    <x:cfRule type="containsText" dxfId="3794" priority="14" operator="containsText" text="SEPARATE"/>
    <x:cfRule type="containsText" dxfId="3795" priority="15" operator="containsText" text="REGULATORY"/>
    <x:cfRule type="containsText" dxfId="3796" priority="16" operator="containsText" text="FAIL"/>
    <x:cfRule type="containsText" dxfId="3797" priority="17" operator="containsText" text="BLOCKED"/>
    <x:cfRule type="containsText" dxfId="3798" priority="18" operator="containsText" text="LOW"/>
  </x:conditionalFormatting>
  <x:conditionalFormatting sqref="F34:F37">
    <x:cfRule type="containsText" dxfId="3799" priority="19" operator="containsText" text="PASS"/>
    <x:cfRule type="containsText" dxfId="3800" priority="20" operator="containsText" text="SIGNED"/>
    <x:cfRule type="containsText" dxfId="3801" priority="21" operator="containsText" text="CONFIRMED"/>
    <x:cfRule type="containsText" dxfId="3802" priority="22" operator="containsText" text="OFFICIAL"/>
    <x:cfRule type="containsText" dxfId="3803" priority="23" operator="containsText" text="FINAL"/>
    <x:cfRule type="containsText" dxfId="3804" priority="24" operator="containsText" text="READY"/>
    <x:cfRule type="containsText" dxfId="3805" priority="25" operator="containsText" text="MODEL"/>
    <x:cfRule type="containsText" dxfId="3806" priority="26" operator="containsText" text="CONDITIONAL"/>
    <x:cfRule type="containsText" dxfId="3807" priority="27" operator="containsText" text="PREDICTED"/>
    <x:cfRule type="containsText" dxfId="3808" priority="28" operator="containsText" text="MEDIUM"/>
    <x:cfRule type="containsText" dxfId="3809" priority="29" operator="containsText" text="WORKING"/>
    <x:cfRule type="containsText" dxfId="3810" priority="30" operator="containsText" text="WATCH"/>
    <x:cfRule type="containsText" dxfId="3811" priority="31" operator="containsText" text="EXCLUDED"/>
    <x:cfRule type="containsText" dxfId="3812" priority="32" operator="containsText" text="SEPARATE"/>
    <x:cfRule type="containsText" dxfId="3813" priority="33" operator="containsText" text="REGULATORY"/>
    <x:cfRule type="containsText" dxfId="3814" priority="34" operator="containsText" text="FAIL"/>
    <x:cfRule type="containsText" dxfId="3815" priority="35" operator="containsText" text="BLOCKED"/>
    <x:cfRule type="containsText" dxfId="3816" priority="36" operator="containsText" text="LOW"/>
  </x:conditionalFormatting>
  <x:conditionalFormatting sqref="D41:D43">
    <x:cfRule type="containsText" dxfId="3817" priority="37" operator="containsText" text="PASS"/>
    <x:cfRule type="containsText" dxfId="3818" priority="38" operator="containsText" text="SIGNED"/>
    <x:cfRule type="containsText" dxfId="3819" priority="39" operator="containsText" text="CONFIRMED"/>
    <x:cfRule type="containsText" dxfId="3820" priority="40" operator="containsText" text="OFFICIAL"/>
    <x:cfRule type="containsText" dxfId="3821" priority="41" operator="containsText" text="FINAL"/>
    <x:cfRule type="containsText" dxfId="3822" priority="42" operator="containsText" text="READY"/>
    <x:cfRule type="containsText" dxfId="3823" priority="43" operator="containsText" text="MODEL"/>
    <x:cfRule type="containsText" dxfId="3824" priority="44" operator="containsText" text="CONDITIONAL"/>
    <x:cfRule type="containsText" dxfId="3825" priority="45" operator="containsText" text="PREDICTED"/>
    <x:cfRule type="containsText" dxfId="3826" priority="46" operator="containsText" text="MEDIUM"/>
    <x:cfRule type="containsText" dxfId="3827" priority="47" operator="containsText" text="WORKING"/>
    <x:cfRule type="containsText" dxfId="3828" priority="48" operator="containsText" text="WATCH"/>
    <x:cfRule type="containsText" dxfId="3829" priority="49" operator="containsText" text="EXCLUDED"/>
    <x:cfRule type="containsText" dxfId="3830" priority="50" operator="containsText" text="SEPARATE"/>
    <x:cfRule type="containsText" dxfId="3831" priority="51" operator="containsText" text="REGULATORY"/>
    <x:cfRule type="containsText" dxfId="3832" priority="52" operator="containsText" text="FAIL"/>
    <x:cfRule type="containsText" dxfId="3833" priority="53" operator="containsText" text="BLOCKED"/>
    <x:cfRule type="containsText" dxfId="3834" priority="54" operator="containsText" text="LOW"/>
  </x:conditionalFormatting>
  <x:pageMargins left="0.7" right="0.7" top="0.75" bottom="0.75" header="0.3" footer="0.3"/>
</x:worksheet>
</file>

<file path=xl/worksheets/sheet13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" hidden="0" customWidth="1"/>
    <x:col min="2" max="2" width="20" hidden="0" customWidth="1"/>
    <x:col min="3" max="3" width="46" hidden="0" customWidth="1"/>
    <x:col min="4" max="4" width="20" hidden="0" customWidth="1"/>
    <x:col min="5" max="5" width="4" hidden="0" customWidth="1"/>
    <x:col min="6" max="6" width="31" hidden="0" customWidth="1"/>
    <x:col min="7" max="7" width="20" hidden="0" customWidth="1"/>
    <x:col min="8" max="8" width="38" hidden="0" customWidth="1"/>
    <x:col min="9" max="9" width="18" hidden="0" customWidth="1"/>
    <x:col min="10" max="10" width="18" hidden="0" customWidth="1"/>
    <x:col min="11" max="11" width="14" hidden="0" customWidth="1"/>
    <x:col min="12" max="12" width="14" hidden="0" customWidth="1"/>
  </x:cols>
  <x:sheetData>
    <x:row r="1" ht="30" customHeight="1">
      <x:c r="A1" s="630" t="str">
        <x:v>136A｜跨车系正相关中心情景：秩耦合不是市场保证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</x:row>
    <x:row r="2" ht="22" customHeight="1">
      <x:c r="A2" s="633" t="str">
        <x:v>不改任何单车边际｜完全同分位只是一个相关性极强的中心假设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</x:row>
    <x:row r="3" ht="92" customHeight="1">
      <x:c r="A3" s="637" t="str">
        <x:v>本表让N70 Max与N90价格核共用同一个降价分位U，因此“不倒挂、Max差至少3万元”是模型构造结果，不是可外推保证。右侧条件独立压力测试更接近弱相关尾部：约一成状态需通过同步调价、改配置或取消版本处理。正文不再使用“始终”“不会倒挂”等绝对措辞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</x:row>
    <x:row r="5" ht="48" customHeight="1">
      <x:c r="A5" s="642" t="str">
        <x:v>主秩耦合指标</x:v>
      </x:c>
      <x:c r="B5" s="642" t="str">
        <x:v>公式结果</x:v>
      </x:c>
      <x:c r="C5" s="642" t="str">
        <x:v>判读</x:v>
      </x:c>
      <x:c r="D5" s="642" t="str">
        <x:v>状态</x:v>
      </x:c>
      <x:c r="F5" s="642" t="str">
        <x:v>同情景条件独立压力测试</x:v>
      </x:c>
      <x:c r="G5" s="642" t="str">
        <x:v>公式结果</x:v>
      </x:c>
      <x:c r="H5" s="642" t="str">
        <x:v>相对主模型</x:v>
      </x:c>
      <x:c r="I5" s="642" t="str">
        <x:v>状态</x:v>
      </x:c>
    </x:row>
    <x:row r="6" ht="48" customHeight="1">
      <x:c r="A6" s="19" t="str">
        <x:v>联合权重合计</x:v>
      </x:c>
      <x:c r="B6" s="23" t="n">
        <x:f>SUM(N31:N570)</x:f>
        <x:v>0.9999999999999993</x:v>
      </x:c>
      <x:c r="C6" s="19" t="str">
        <x:v>应为100%</x:v>
      </x:c>
      <x:c r="D6" s="19" t="str">
        <x:v>PASS_TARGET</x:v>
      </x:c>
      <x:c r="F6" s="19" t="str">
        <x:v>联合权重合计</x:v>
      </x:c>
      <x:c r="G6" s="23" t="n">
        <x:f>SUM(AF31:AF570)</x:f>
        <x:v>1.0000000000000007</x:v>
      </x:c>
      <x:c r="H6" s="19" t="str">
        <x:v>应为100%</x:v>
      </x:c>
      <x:c r="I6" s="19" t="str">
        <x:v>PASS_TARGET</x:v>
      </x:c>
    </x:row>
    <x:row r="7" ht="48" customHeight="1">
      <x:c r="A7" s="643" t="str">
        <x:v>P(N90 Max−N70 Max&lt;3万)</x:v>
      </x:c>
      <x:c r="B7" s="648" t="n">
        <x:f>SUM(U31:U570)/B6</x:f>
        <x:v>0</x:v>
      </x:c>
      <x:c r="C7" s="643" t="str">
        <x:v>完全秩耦合的构造结果；非市场保证</x:v>
      </x:c>
      <x:c r="D7" s="643" t="str">
        <x:v>CENTRAL_ASSUMPTION</x:v>
      </x:c>
      <x:c r="E7" s="649"/>
      <x:c r="F7" s="643" t="str">
        <x:v>P(N90 Max−N70 Max&lt;3万)</x:v>
      </x:c>
      <x:c r="G7" s="648" t="n">
        <x:f>SUM(AJ31:AJ570)/G6</x:f>
        <x:v>0.12063249999999996</x:v>
      </x:c>
      <x:c r="H7" s="643" t="str">
        <x:v>约12.1%；说明独立抽样会制造反向尾</x:v>
      </x:c>
      <x:c r="I7" s="643" t="str">
        <x:v>STRESS</x:v>
      </x:c>
    </x:row>
    <x:row r="8" ht="48" customHeight="1">
      <x:c r="A8" s="19" t="str">
        <x:v>N90 Max−N70 Max最小值</x:v>
      </x:c>
      <x:c r="B8" s="460" t="n">
        <x:f>MIN(AC31:AC570)</x:f>
        <x:v>30000</x:v>
      </x:c>
      <x:c r="C8" s="19" t="str">
        <x:v>完全秩耦合的构造结果</x:v>
      </x:c>
      <x:c r="D8" s="19" t="str">
        <x:v>CENTRAL_ASSUMPTION</x:v>
      </x:c>
      <x:c r="F8" s="19" t="str">
        <x:v>Standard存在权重</x:v>
      </x:c>
      <x:c r="G8" s="23" t="n">
        <x:f>SUM(AG31:AG570)</x:f>
        <x:v>0.3499999999999992</x:v>
      </x:c>
      <x:c r="H8" s="19" t="str">
        <x:v>应等于35%</x:v>
      </x:c>
      <x:c r="I8" s="19" t="str">
        <x:v>PASS_TARGET</x:v>
      </x:c>
    </x:row>
    <x:row r="9" ht="48" customHeight="1">
      <x:c r="A9" s="643" t="str">
        <x:v>N90 Max−N70 Max均值</x:v>
      </x:c>
      <x:c r="B9" s="647" t="n">
        <x:f>SUM(AB31:AB570)/B6</x:f>
        <x:v>41837.00000000003</x:v>
      </x:c>
      <x:c r="C9" s="643" t="str">
        <x:v>跨车系Max均值价差</x:v>
      </x:c>
      <x:c r="D9" s="643" t="str">
        <x:v>CENTRAL</x:v>
      </x:c>
      <x:c r="E9" s="649"/>
      <x:c r="F9" s="643" t="str">
        <x:v>P(Standard&lt;N70 Max｜存在)</x:v>
      </x:c>
      <x:c r="G9" s="648" t="n">
        <x:f>SUM(AH31:AH570)/G8</x:f>
        <x:v>0.028490714285714334</x:v>
      </x:c>
      <x:c r="H9" s="643" t="str">
        <x:v>约2.9%</x:v>
      </x:c>
      <x:c r="I9" s="643" t="str">
        <x:v>STRESS</x:v>
      </x:c>
    </x:row>
    <x:row r="10" ht="48" customHeight="1">
      <x:c r="A10" s="19" t="str">
        <x:v>Standard存在权重</x:v>
      </x:c>
      <x:c r="B10" s="23" t="n">
        <x:f>SUM(V31:V570)</x:f>
        <x:v>0.34999999999999987</x:v>
      </x:c>
      <x:c r="C10" s="19" t="str">
        <x:v>旧扩展阵容权重35%</x:v>
      </x:c>
      <x:c r="D10" s="19" t="str">
        <x:v>RETIRED_WEIGHT</x:v>
      </x:c>
      <x:c r="F10" s="19" t="str">
        <x:v>P(Standard≤N70 Max｜存在)</x:v>
      </x:c>
      <x:c r="G10" s="23" t="n">
        <x:f>(SUM(AH31:AH570)+SUM(AI31:AI570))/G8</x:f>
        <x:v>0.12024785714285743</x:v>
      </x:c>
      <x:c r="H10" s="19" t="str">
        <x:v>约12.0%</x:v>
      </x:c>
      <x:c r="I10" s="19" t="str">
        <x:v>STRESS</x:v>
      </x:c>
    </x:row>
    <x:row r="11" ht="48" customHeight="1">
      <x:c r="A11" s="643" t="str">
        <x:v>P(Standard&lt;N70 Max｜存在)</x:v>
      </x:c>
      <x:c r="B11" s="648" t="n">
        <x:f>SUM(W31:W570)/B10</x:f>
        <x:v>0</x:v>
      </x:c>
      <x:c r="C11" s="643" t="str">
        <x:v>完全秩耦合的构造结果</x:v>
      </x:c>
      <x:c r="D11" s="643" t="str">
        <x:v>CENTRAL_ASSUMPTION</x:v>
      </x:c>
      <x:c r="E11" s="649"/>
      <x:c r="F11" s="643" t="str">
        <x:v>Standard−N70 Max均值｜存在</x:v>
      </x:c>
      <x:c r="G11" s="647" t="n">
        <x:f>SUM(AK31:AK570)/G8</x:f>
        <x:v>16995.714285714326</x:v>
      </x:c>
      <x:c r="H11" s="643" t="str">
        <x:v>均值不变，仅联合尾部改变</x:v>
      </x:c>
      <x:c r="I11" s="643" t="str">
        <x:v>DIAGNOSTIC</x:v>
      </x:c>
    </x:row>
    <x:row r="12" ht="48" customHeight="1">
      <x:c r="A12" s="19" t="str">
        <x:v>P(Standard=N70 Max｜存在)</x:v>
      </x:c>
      <x:c r="B12" s="23" t="n">
        <x:f>SUM(X31:X570)/B10</x:f>
        <x:v>0.021428571428571432</x:v>
      </x:c>
      <x:c r="C12" s="19" t="str">
        <x:v>等价边界状态</x:v>
      </x:c>
      <x:c r="D12" s="19" t="str">
        <x:v>WATCH_LOW</x:v>
      </x:c>
    </x:row>
    <x:row r="13" ht="48" customHeight="1">
      <x:c r="A13" s="643" t="str">
        <x:v>Standard−N70 Max均值｜存在</x:v>
      </x:c>
      <x:c r="B13" s="647" t="n">
        <x:f>SUM(Z31:Z570)/B10</x:f>
        <x:v>16995.71428571429</x:v>
      </x:c>
      <x:c r="C13" s="643" t="str">
        <x:v>旧扩展情景约1.70万元</x:v>
      </x:c>
      <x:c r="D13" s="643" t="str">
        <x:v>CENTRAL</x:v>
      </x:c>
    </x:row>
    <x:row r="14" ht="48" customHeight="1">
      <x:c r="A14" s="19" t="str">
        <x:v>Standard−N70 Max最小值｜存在</x:v>
      </x:c>
      <x:c r="B14" s="460" t="n">
        <x:f>MIN(AD31:AD570)</x:f>
        <x:v>0</x:v>
      </x:c>
      <x:c r="C14" s="19" t="str">
        <x:v>该模型允许同价、不生成倒挂</x:v>
      </x:c>
      <x:c r="D14" s="19" t="str">
        <x:v>CENTRAL_ASSUMPTION</x:v>
      </x:c>
    </x:row>
    <x:row r="15" ht="48" customHeight="1">
      <x:c r="A15" s="643" t="str">
        <x:v>Pro存在权重</x:v>
      </x:c>
      <x:c r="B15" s="648" t="n">
        <x:f>SUM(Y31:Y570)</x:f>
        <x:v>0.15000000000000005</x:v>
      </x:c>
      <x:c r="C15" s="643" t="str">
        <x:v>旧扩展阵容权重15%</x:v>
      </x:c>
      <x:c r="D15" s="643" t="str">
        <x:v>RETIRED_WEIGHT</x:v>
      </x:c>
    </x:row>
    <x:row r="16" ht="48" customHeight="1">
      <x:c r="A16" s="19" t="str">
        <x:v>Pro−N70 Max均值｜存在</x:v>
      </x:c>
      <x:c r="B16" s="460" t="n">
        <x:f>SUM(AA31:AA570)/B15</x:f>
        <x:v>32709.99999999998</x:v>
      </x:c>
      <x:c r="C16" s="19" t="str">
        <x:v>旧扩展情景约3.27万元</x:v>
      </x:c>
      <x:c r="D16" s="19" t="str">
        <x:v>CENTRAL</x:v>
      </x:c>
    </x:row>
    <x:row r="17" ht="48" customHeight="1">
      <x:c r="A17" s="643" t="str">
        <x:v>Pro−N70 Max最小值｜存在</x:v>
      </x:c>
      <x:c r="B17" s="647" t="n">
        <x:f>MIN(AE31:AE570)</x:f>
        <x:v>20000</x:v>
      </x:c>
      <x:c r="C17" s="643" t="str">
        <x:v>完全秩耦合的构造结果</x:v>
      </x:c>
      <x:c r="D17" s="643" t="str">
        <x:v>CENTRAL_ASSUMPTION</x:v>
      </x:c>
    </x:row>
    <x:row r="20" ht="70" customHeight="1">
      <x:c r="A20" s="19" t="str">
        <x:v>怎样读</x:v>
      </x:c>
      <x:c r="B20" s="19" t="str">
        <x:v>本表只说明在“两个车系降价强度高度正相关”的中心假设下如何配对，不证明现实一定不倒挂。较弱相关压力测试显示：N90 Max与N70 Max价差不足3万元约12.1%，Standard情景同价或倒挂约12.0%；这些状态需要联动调价、改配置或取消低位版本。</x:v>
      </x:c>
      <x:c r="C20" s="19" t="str"/>
      <x:c r="D20" s="19" t="str"/>
      <x:c r="E20" s="19" t="str"/>
      <x:c r="F20" s="19" t="str"/>
      <x:c r="G20" s="19" t="str"/>
      <x:c r="H20" s="19" t="str"/>
      <x:c r="I20" s="19" t="str"/>
      <x:c r="J20" s="19" t="str"/>
      <x:c r="K20" s="19" t="str"/>
      <x:c r="L20" s="19" t="str"/>
    </x:row>
    <x:row r="29" ht="24" customHeight="1">
      <x:c r="A29" s="646" t="str">
        <x:v>540格审计底表：3个供应情景 × 5个N90阵容叶 × 6个N70价位 × 6个N90价格核</x:v>
      </x:c>
      <x:c r="B29" s="646"/>
      <x:c r="C29" s="646"/>
      <x:c r="D29" s="646"/>
      <x:c r="E29" s="646"/>
      <x:c r="F29" s="646"/>
      <x:c r="G29" s="646"/>
      <x:c r="H29" s="646"/>
      <x:c r="I29" s="646"/>
      <x:c r="J29" s="646"/>
      <x:c r="K29" s="646"/>
      <x:c r="L29" s="646"/>
      <x:c r="M29" s="646"/>
      <x:c r="N29" s="646"/>
      <x:c r="O29" s="646"/>
      <x:c r="P29" s="646"/>
      <x:c r="Q29" s="646"/>
      <x:c r="R29" s="646"/>
      <x:c r="S29" s="646"/>
      <x:c r="T29" s="646"/>
      <x:c r="U29" s="646"/>
      <x:c r="V29" s="646"/>
      <x:c r="W29" s="646"/>
      <x:c r="X29" s="646"/>
      <x:c r="Y29" s="646"/>
      <x:c r="Z29" s="646"/>
      <x:c r="AA29" s="646"/>
      <x:c r="AB29" s="646"/>
      <x:c r="AC29" s="646"/>
      <x:c r="AD29" s="646"/>
      <x:c r="AE29" s="646"/>
      <x:c r="AF29" s="646"/>
      <x:c r="AG29" s="646"/>
      <x:c r="AH29" s="646"/>
      <x:c r="AI29" s="646"/>
      <x:c r="AJ29" s="646"/>
      <x:c r="AK29" s="646"/>
    </x:row>
    <x:row r="30" ht="58" customHeight="1">
      <x:c r="A30" s="642" t="str">
        <x:v>供应情景</x:v>
      </x:c>
      <x:c r="B30" s="642" t="str">
        <x:v>情景权重</x:v>
      </x:c>
      <x:c r="C30" s="642" t="str">
        <x:v>阵容叶</x:v>
      </x:c>
      <x:c r="D30" s="642" t="str">
        <x:v>叶权重</x:v>
      </x:c>
      <x:c r="E30" s="642" t="str">
        <x:v>N70 Max价</x:v>
      </x:c>
      <x:c r="F30" s="642" t="str">
        <x:v>N70情景权重</x:v>
      </x:c>
      <x:c r="G30" s="642" t="str">
        <x:v>N70 U下沿</x:v>
      </x:c>
      <x:c r="H30" s="642" t="str">
        <x:v>N70 U上沿</x:v>
      </x:c>
      <x:c r="I30" s="642" t="str">
        <x:v>N90核价X</x:v>
      </x:c>
      <x:c r="J30" s="642" t="str">
        <x:v>N90情景权重</x:v>
      </x:c>
      <x:c r="K30" s="642" t="str">
        <x:v>N90 U下沿</x:v>
      </x:c>
      <x:c r="L30" s="642" t="str">
        <x:v>N90 U上沿</x:v>
      </x:c>
      <x:c r="M30" s="642" t="str">
        <x:v>U交集</x:v>
      </x:c>
      <x:c r="N30" s="642" t="str">
        <x:v>秩耦合权重</x:v>
      </x:c>
      <x:c r="O30" s="642" t="str">
        <x:v>N90 Max价</x:v>
      </x:c>
      <x:c r="P30" s="642" t="str">
        <x:v>Standard价</x:v>
      </x:c>
      <x:c r="Q30" s="642" t="str">
        <x:v>Pro价</x:v>
      </x:c>
      <x:c r="R30" s="642" t="str">
        <x:v>Max−N70</x:v>
      </x:c>
      <x:c r="S30" s="642" t="str">
        <x:v>Std−N70</x:v>
      </x:c>
      <x:c r="T30" s="642" t="str">
        <x:v>Pro−N70</x:v>
      </x:c>
      <x:c r="U30" s="642" t="str">
        <x:v>Max差&lt;3万权重</x:v>
      </x:c>
      <x:c r="V30" s="642" t="str">
        <x:v>Std存在权重</x:v>
      </x:c>
      <x:c r="W30" s="642" t="str">
        <x:v>Std倒挂权重</x:v>
      </x:c>
      <x:c r="X30" s="642" t="str">
        <x:v>Std同价权重</x:v>
      </x:c>
      <x:c r="Y30" s="642" t="str">
        <x:v>Pro存在权重</x:v>
      </x:c>
      <x:c r="Z30" s="642" t="str">
        <x:v>Std加权价差</x:v>
      </x:c>
      <x:c r="AA30" s="642" t="str">
        <x:v>Pro加权价差</x:v>
      </x:c>
      <x:c r="AB30" s="642" t="str">
        <x:v>Max加权价差</x:v>
      </x:c>
      <x:c r="AC30" s="642" t="str">
        <x:v>Max最小候选</x:v>
      </x:c>
      <x:c r="AD30" s="642" t="str">
        <x:v>Std最小候选</x:v>
      </x:c>
      <x:c r="AE30" s="642" t="str">
        <x:v>Pro最小候选</x:v>
      </x:c>
      <x:c r="AF30" s="642" t="str">
        <x:v>同情景独立权重</x:v>
      </x:c>
      <x:c r="AG30" s="642" t="str">
        <x:v>独立Std存在</x:v>
      </x:c>
      <x:c r="AH30" s="642" t="str">
        <x:v>独立Std倒挂</x:v>
      </x:c>
      <x:c r="AI30" s="642" t="str">
        <x:v>独立Std同价</x:v>
      </x:c>
      <x:c r="AJ30" s="642" t="str">
        <x:v>独立Max差&lt;3万</x:v>
      </x:c>
      <x:c r="AK30" s="642" t="str">
        <x:v>独立Std加权价差</x:v>
      </x:c>
    </x:row>
    <x:row r="31" ht="22" customHeight="1">
      <x:c r="A31" s="19" t="str">
        <x:v>保守</x:v>
      </x:c>
      <x:c r="B31" s="23" t="n">
        <x:f>'114_降本系数'!B26</x:f>
        <x:v>0.35</x:v>
      </x:c>
      <x:c r="C31" s="19" t="str">
        <x:v>L0</x:v>
      </x:c>
      <x:c r="D31" s="23" t="n">
        <x:f>'130_联合算法'!C16</x:f>
        <x:v>0.6</x:v>
      </x:c>
      <x:c r="E31" s="460" t="n">
        <x:f>'117_价格概率传导'!A6</x:f>
        <x:v>259900</x:v>
      </x:c>
      <x:c r="F31" s="23" t="n">
        <x:f>'117_价格概率传导'!C6</x:f>
        <x:v>0.06</x:v>
      </x:c>
      <x:c r="G31" s="23" t="n">
        <x:f>0</x:f>
        <x:v>0</x:v>
      </x:c>
      <x:c r="H31" s="23" t="n">
        <x:f>SUM('117_价格概率传导'!$C$6:$C$6)</x:f>
        <x:v>0.06</x:v>
      </x:c>
      <x:c r="I31" s="460" t="n">
        <x:f>'117_价格概率传导'!A16</x:f>
        <x:v>299900</x:v>
      </x:c>
      <x:c r="J31" s="23" t="n">
        <x:f>'117_价格概率传导'!C16</x:f>
        <x:v>0.05</x:v>
      </x:c>
      <x:c r="K31" s="23" t="n">
        <x:f>0</x:f>
        <x:v>0</x:v>
      </x:c>
      <x:c r="L31" s="23" t="n">
        <x:f>SUM('117_价格概率传导'!$C$16:$C$16)</x:f>
        <x:v>0.05</x:v>
      </x:c>
      <x:c r="M31" s="23" t="n">
        <x:f>MAX(0,MIN(H31,L31)-MAX(G31,K31))</x:f>
        <x:v>0.05</x:v>
      </x:c>
      <x:c r="N31" s="23" t="n">
        <x:f>B31*D31*M31</x:f>
        <x:v>0.0105</x:v>
      </x:c>
      <x:c r="O31" s="460" t="n">
        <x:f>I31</x:f>
        <x:v>299900</x:v>
      </x:c>
      <x:c r="P31" s="460" t="str">
        <x:f>""</x:f>
      </x:c>
      <x:c r="Q31" s="460" t="str">
        <x:f>""</x:f>
      </x:c>
      <x:c r="R31" s="460" t="n">
        <x:f>O31-E31</x:f>
        <x:v>40000</x:v>
      </x:c>
      <x:c r="S31" s="460" t="str">
        <x:f>IF(P31&gt;0,P31-E31,"")</x:f>
      </x:c>
      <x:c r="T31" s="460" t="str">
        <x:f>IF(Q31&gt;0,Q31-E31,"")</x:f>
      </x:c>
      <x:c r="U31" s="23" t="n">
        <x:f>IF(R31&lt;30000,N31,0)</x:f>
        <x:v>0</x:v>
      </x:c>
      <x:c r="V31" s="23" t="n">
        <x:f>IF(P31&gt;0,N31,0)</x:f>
        <x:v>0</x:v>
      </x:c>
      <x:c r="W31" s="23" t="n">
        <x:f>IF(AND(P31&gt;0,S31&lt;0),N31,0)</x:f>
        <x:v>0</x:v>
      </x:c>
      <x:c r="X31" s="23" t="n">
        <x:f>IF(AND(P31&gt;0,S31=0),N31,0)</x:f>
        <x:v>0</x:v>
      </x:c>
      <x:c r="Y31" s="23" t="n">
        <x:f>IF(Q31&gt;0,N31,0)</x:f>
        <x:v>0</x:v>
      </x:c>
      <x:c r="Z31" s="460" t="n">
        <x:f>IF(P31&gt;0,N31*S31,0)</x:f>
        <x:v>0</x:v>
      </x:c>
      <x:c r="AA31" s="460" t="n">
        <x:f>IF(Q31&gt;0,N31*T31,0)</x:f>
        <x:v>0</x:v>
      </x:c>
      <x:c r="AB31" s="460" t="n">
        <x:f>N31*R31</x:f>
        <x:v>420</x:v>
      </x:c>
      <x:c r="AC31" s="460" t="n">
        <x:f>IF(N31&gt;0,R31,999999)</x:f>
        <x:v>40000</x:v>
      </x:c>
      <x:c r="AD31" s="460" t="n">
        <x:f>IF(AND(N31&gt;0,P31&gt;0),S31,999999)</x:f>
        <x:v>999999</x:v>
      </x:c>
      <x:c r="AE31" s="460" t="n">
        <x:f>IF(AND(N31&gt;0,Q31&gt;0),T31,999999)</x:f>
        <x:v>999999</x:v>
      </x:c>
      <x:c r="AF31" s="23" t="n">
        <x:f>B31*D31*F31*J31</x:f>
        <x:v>0.0006299999999999999</x:v>
      </x:c>
      <x:c r="AG31" s="23" t="n">
        <x:f>IF(P31&gt;0,AF31,0)</x:f>
        <x:v>0</x:v>
      </x:c>
      <x:c r="AH31" s="23" t="n">
        <x:f>IF(AND(P31&gt;0,S31&lt;0),AF31,0)</x:f>
        <x:v>0</x:v>
      </x:c>
      <x:c r="AI31" s="23" t="n">
        <x:f>IF(AND(P31&gt;0,S31=0),AF31,0)</x:f>
        <x:v>0</x:v>
      </x:c>
      <x:c r="AJ31" s="23" t="n">
        <x:f>IF(R31&lt;30000,AF31,0)</x:f>
        <x:v>0</x:v>
      </x:c>
      <x:c r="AK31" s="460" t="n">
        <x:f>IF(P31&gt;0,AF31*S31,0)</x:f>
        <x:v>0</x:v>
      </x:c>
    </x:row>
    <x:row r="32" ht="22" customHeight="1">
      <x:c r="A32" s="643" t="str">
        <x:v>保守</x:v>
      </x:c>
      <x:c r="B32" s="648" t="n">
        <x:f>'114_降本系数'!B26</x:f>
        <x:v>0.35</x:v>
      </x:c>
      <x:c r="C32" s="643" t="str">
        <x:v>L0</x:v>
      </x:c>
      <x:c r="D32" s="648" t="n">
        <x:f>'130_联合算法'!C16</x:f>
        <x:v>0.6</x:v>
      </x:c>
      <x:c r="E32" s="647" t="n">
        <x:f>'117_价格概率传导'!A6</x:f>
        <x:v>259900</x:v>
      </x:c>
      <x:c r="F32" s="648" t="n">
        <x:f>'117_价格概率传导'!C6</x:f>
        <x:v>0.06</x:v>
      </x:c>
      <x:c r="G32" s="648" t="n">
        <x:f>0</x:f>
        <x:v>0</x:v>
      </x:c>
      <x:c r="H32" s="648" t="n">
        <x:f>SUM('117_价格概率传导'!$C$6:$C$6)</x:f>
        <x:v>0.06</x:v>
      </x:c>
      <x:c r="I32" s="647" t="n">
        <x:f>'117_价格概率传导'!A17</x:f>
        <x:v>293900</x:v>
      </x:c>
      <x:c r="J32" s="648" t="n">
        <x:f>'117_价格概率传导'!C17</x:f>
        <x:v>0.06</x:v>
      </x:c>
      <x:c r="K32" s="648" t="n">
        <x:f>SUM('117_价格概率传导'!$C$16:$C$16)</x:f>
        <x:v>0.05</x:v>
      </x:c>
      <x:c r="L32" s="648" t="n">
        <x:f>SUM('117_价格概率传导'!$C$16:$C$17)</x:f>
        <x:v>0.11</x:v>
      </x:c>
      <x:c r="M32" s="648" t="n">
        <x:f>MAX(0,MIN(H32,L32)-MAX(G32,K32))</x:f>
        <x:v>0.009999999999999995</x:v>
      </x:c>
      <x:c r="N32" s="648" t="n">
        <x:f>B32*D32*M32</x:f>
        <x:v>0.002099999999999999</x:v>
      </x:c>
      <x:c r="O32" s="647" t="n">
        <x:f>I32</x:f>
        <x:v>293900</x:v>
      </x:c>
      <x:c r="P32" s="647" t="str">
        <x:f>""</x:f>
      </x:c>
      <x:c r="Q32" s="647" t="str">
        <x:f>""</x:f>
      </x:c>
      <x:c r="R32" s="647" t="n">
        <x:f>O32-E32</x:f>
        <x:v>34000</x:v>
      </x:c>
      <x:c r="S32" s="647" t="str">
        <x:f>IF(P32&gt;0,P32-E32,"")</x:f>
      </x:c>
      <x:c r="T32" s="647" t="str">
        <x:f>IF(Q32&gt;0,Q32-E32,"")</x:f>
      </x:c>
      <x:c r="U32" s="648" t="n">
        <x:f>IF(R32&lt;30000,N32,0)</x:f>
        <x:v>0</x:v>
      </x:c>
      <x:c r="V32" s="648" t="n">
        <x:f>IF(P32&gt;0,N32,0)</x:f>
        <x:v>0</x:v>
      </x:c>
      <x:c r="W32" s="648" t="n">
        <x:f>IF(AND(P32&gt;0,S32&lt;0),N32,0)</x:f>
        <x:v>0</x:v>
      </x:c>
      <x:c r="X32" s="648" t="n">
        <x:f>IF(AND(P32&gt;0,S32=0),N32,0)</x:f>
        <x:v>0</x:v>
      </x:c>
      <x:c r="Y32" s="648" t="n">
        <x:f>IF(Q32&gt;0,N32,0)</x:f>
        <x:v>0</x:v>
      </x:c>
      <x:c r="Z32" s="647" t="n">
        <x:f>IF(P32&gt;0,N32*S32,0)</x:f>
        <x:v>0</x:v>
      </x:c>
      <x:c r="AA32" s="647" t="n">
        <x:f>IF(Q32&gt;0,N32*T32,0)</x:f>
        <x:v>0</x:v>
      </x:c>
      <x:c r="AB32" s="647" t="n">
        <x:f>N32*R32</x:f>
        <x:v>71.39999999999996</x:v>
      </x:c>
      <x:c r="AC32" s="647" t="n">
        <x:f>IF(N32&gt;0,R32,999999)</x:f>
        <x:v>34000</x:v>
      </x:c>
      <x:c r="AD32" s="647" t="n">
        <x:f>IF(AND(N32&gt;0,P32&gt;0),S32,999999)</x:f>
        <x:v>999999</x:v>
      </x:c>
      <x:c r="AE32" s="647" t="n">
        <x:f>IF(AND(N32&gt;0,Q32&gt;0),T32,999999)</x:f>
        <x:v>999999</x:v>
      </x:c>
      <x:c r="AF32" s="648" t="n">
        <x:f>B32*D32*F32*J32</x:f>
        <x:v>0.0007559999999999998</x:v>
      </x:c>
      <x:c r="AG32" s="648" t="n">
        <x:f>IF(P32&gt;0,AF32,0)</x:f>
        <x:v>0</x:v>
      </x:c>
      <x:c r="AH32" s="648" t="n">
        <x:f>IF(AND(P32&gt;0,S32&lt;0),AF32,0)</x:f>
        <x:v>0</x:v>
      </x:c>
      <x:c r="AI32" s="648" t="n">
        <x:f>IF(AND(P32&gt;0,S32=0),AF32,0)</x:f>
        <x:v>0</x:v>
      </x:c>
      <x:c r="AJ32" s="648" t="n">
        <x:f>IF(R32&lt;30000,AF32,0)</x:f>
        <x:v>0</x:v>
      </x:c>
      <x:c r="AK32" s="647" t="n">
        <x:f>IF(P32&gt;0,AF32*S32,0)</x:f>
        <x:v>0</x:v>
      </x:c>
    </x:row>
    <x:row r="33" ht="22" customHeight="1">
      <x:c r="A33" s="19" t="str">
        <x:v>保守</x:v>
      </x:c>
      <x:c r="B33" s="23" t="n">
        <x:f>'114_降本系数'!B26</x:f>
        <x:v>0.35</x:v>
      </x:c>
      <x:c r="C33" s="19" t="str">
        <x:v>L0</x:v>
      </x:c>
      <x:c r="D33" s="23" t="n">
        <x:f>'130_联合算法'!C16</x:f>
        <x:v>0.6</x:v>
      </x:c>
      <x:c r="E33" s="460" t="n">
        <x:f>'117_价格概率传导'!A6</x:f>
        <x:v>259900</x:v>
      </x:c>
      <x:c r="F33" s="23" t="n">
        <x:f>'117_价格概率传导'!C6</x:f>
        <x:v>0.06</x:v>
      </x:c>
      <x:c r="G33" s="23" t="n">
        <x:f>0</x:f>
        <x:v>0</x:v>
      </x:c>
      <x:c r="H33" s="23" t="n">
        <x:f>SUM('117_价格概率传导'!$C$6:$C$6)</x:f>
        <x:v>0.06</x:v>
      </x:c>
      <x:c r="I33" s="460" t="n">
        <x:f>'117_价格概率传导'!A18</x:f>
        <x:v>289900</x:v>
      </x:c>
      <x:c r="J33" s="23" t="n">
        <x:f>'117_价格概率传导'!C18</x:f>
        <x:v>0.34</x:v>
      </x:c>
      <x:c r="K33" s="23" t="n">
        <x:f>SUM('117_价格概率传导'!$C$16:$C$17)</x:f>
        <x:v>0.11</x:v>
      </x:c>
      <x:c r="L33" s="23" t="n">
        <x:f>SUM('117_价格概率传导'!$C$16:$C$18)</x:f>
        <x:v>0.45</x:v>
      </x:c>
      <x:c r="M33" s="23" t="n">
        <x:f>MAX(0,MIN(H33,L33)-MAX(G33,K33))</x:f>
        <x:v>0</x:v>
      </x:c>
      <x:c r="N33" s="23" t="n">
        <x:f>B33*D33*M33</x:f>
        <x:v>0</x:v>
      </x:c>
      <x:c r="O33" s="460" t="n">
        <x:f>I33</x:f>
        <x:v>289900</x:v>
      </x:c>
      <x:c r="P33" s="460" t="str">
        <x:f>""</x:f>
      </x:c>
      <x:c r="Q33" s="460" t="str">
        <x:f>""</x:f>
      </x:c>
      <x:c r="R33" s="460" t="n">
        <x:f>O33-E33</x:f>
        <x:v>30000</x:v>
      </x:c>
      <x:c r="S33" s="460" t="str">
        <x:f>IF(P33&gt;0,P33-E33,"")</x:f>
      </x:c>
      <x:c r="T33" s="460" t="str">
        <x:f>IF(Q33&gt;0,Q33-E33,"")</x:f>
      </x:c>
      <x:c r="U33" s="23" t="n">
        <x:f>IF(R33&lt;30000,N33,0)</x:f>
        <x:v>0</x:v>
      </x:c>
      <x:c r="V33" s="23" t="n">
        <x:f>IF(P33&gt;0,N33,0)</x:f>
        <x:v>0</x:v>
      </x:c>
      <x:c r="W33" s="23" t="n">
        <x:f>IF(AND(P33&gt;0,S33&lt;0),N33,0)</x:f>
        <x:v>0</x:v>
      </x:c>
      <x:c r="X33" s="23" t="n">
        <x:f>IF(AND(P33&gt;0,S33=0),N33,0)</x:f>
        <x:v>0</x:v>
      </x:c>
      <x:c r="Y33" s="23" t="n">
        <x:f>IF(Q33&gt;0,N33,0)</x:f>
        <x:v>0</x:v>
      </x:c>
      <x:c r="Z33" s="460" t="n">
        <x:f>IF(P33&gt;0,N33*S33,0)</x:f>
        <x:v>0</x:v>
      </x:c>
      <x:c r="AA33" s="460" t="n">
        <x:f>IF(Q33&gt;0,N33*T33,0)</x:f>
        <x:v>0</x:v>
      </x:c>
      <x:c r="AB33" s="460" t="n">
        <x:f>N33*R33</x:f>
        <x:v>0</x:v>
      </x:c>
      <x:c r="AC33" s="460" t="n">
        <x:f>IF(N33&gt;0,R33,999999)</x:f>
        <x:v>999999</x:v>
      </x:c>
      <x:c r="AD33" s="460" t="n">
        <x:f>IF(AND(N33&gt;0,P33&gt;0),S33,999999)</x:f>
        <x:v>999999</x:v>
      </x:c>
      <x:c r="AE33" s="460" t="n">
        <x:f>IF(AND(N33&gt;0,Q33&gt;0),T33,999999)</x:f>
        <x:v>999999</x:v>
      </x:c>
      <x:c r="AF33" s="23" t="n">
        <x:f>B33*D33*F33*J33</x:f>
        <x:v>0.004284</x:v>
      </x:c>
      <x:c r="AG33" s="23" t="n">
        <x:f>IF(P33&gt;0,AF33,0)</x:f>
        <x:v>0</x:v>
      </x:c>
      <x:c r="AH33" s="23" t="n">
        <x:f>IF(AND(P33&gt;0,S33&lt;0),AF33,0)</x:f>
        <x:v>0</x:v>
      </x:c>
      <x:c r="AI33" s="23" t="n">
        <x:f>IF(AND(P33&gt;0,S33=0),AF33,0)</x:f>
        <x:v>0</x:v>
      </x:c>
      <x:c r="AJ33" s="23" t="n">
        <x:f>IF(R33&lt;30000,AF33,0)</x:f>
        <x:v>0</x:v>
      </x:c>
      <x:c r="AK33" s="460" t="n">
        <x:f>IF(P33&gt;0,AF33*S33,0)</x:f>
        <x:v>0</x:v>
      </x:c>
    </x:row>
    <x:row r="34" ht="22" customHeight="1">
      <x:c r="A34" s="643" t="str">
        <x:v>保守</x:v>
      </x:c>
      <x:c r="B34" s="648" t="n">
        <x:f>'114_降本系数'!B26</x:f>
        <x:v>0.35</x:v>
      </x:c>
      <x:c r="C34" s="643" t="str">
        <x:v>L0</x:v>
      </x:c>
      <x:c r="D34" s="648" t="n">
        <x:f>'130_联合算法'!C16</x:f>
        <x:v>0.6</x:v>
      </x:c>
      <x:c r="E34" s="647" t="n">
        <x:f>'117_价格概率传导'!A6</x:f>
        <x:v>259900</x:v>
      </x:c>
      <x:c r="F34" s="648" t="n">
        <x:f>'117_价格概率传导'!C6</x:f>
        <x:v>0.06</x:v>
      </x:c>
      <x:c r="G34" s="648" t="n">
        <x:f>0</x:f>
        <x:v>0</x:v>
      </x:c>
      <x:c r="H34" s="648" t="n">
        <x:f>SUM('117_价格概率传导'!$C$6:$C$6)</x:f>
        <x:v>0.06</x:v>
      </x:c>
      <x:c r="I34" s="647" t="n">
        <x:f>'117_价格概率传导'!A19</x:f>
        <x:v>279900</x:v>
      </x:c>
      <x:c r="J34" s="648" t="n">
        <x:f>'117_价格概率传导'!C19</x:f>
        <x:v>0.39</x:v>
      </x:c>
      <x:c r="K34" s="648" t="n">
        <x:f>SUM('117_价格概率传导'!$C$16:$C$18)</x:f>
        <x:v>0.45</x:v>
      </x:c>
      <x:c r="L34" s="648" t="n">
        <x:f>SUM('117_价格概率传导'!$C$16:$C$19)</x:f>
        <x:v>0.8400000000000001</x:v>
      </x:c>
      <x:c r="M34" s="648" t="n">
        <x:f>MAX(0,MIN(H34,L34)-MAX(G34,K34))</x:f>
        <x:v>0</x:v>
      </x:c>
      <x:c r="N34" s="648" t="n">
        <x:f>B34*D34*M34</x:f>
        <x:v>0</x:v>
      </x:c>
      <x:c r="O34" s="647" t="n">
        <x:f>I34</x:f>
        <x:v>279900</x:v>
      </x:c>
      <x:c r="P34" s="647" t="str">
        <x:f>""</x:f>
      </x:c>
      <x:c r="Q34" s="647" t="str">
        <x:f>""</x:f>
      </x:c>
      <x:c r="R34" s="647" t="n">
        <x:f>O34-E34</x:f>
        <x:v>20000</x:v>
      </x:c>
      <x:c r="S34" s="647" t="str">
        <x:f>IF(P34&gt;0,P34-E34,"")</x:f>
      </x:c>
      <x:c r="T34" s="647" t="str">
        <x:f>IF(Q34&gt;0,Q34-E34,"")</x:f>
      </x:c>
      <x:c r="U34" s="648" t="n">
        <x:f>IF(R34&lt;30000,N34,0)</x:f>
        <x:v>0</x:v>
      </x:c>
      <x:c r="V34" s="648" t="n">
        <x:f>IF(P34&gt;0,N34,0)</x:f>
        <x:v>0</x:v>
      </x:c>
      <x:c r="W34" s="648" t="n">
        <x:f>IF(AND(P34&gt;0,S34&lt;0),N34,0)</x:f>
        <x:v>0</x:v>
      </x:c>
      <x:c r="X34" s="648" t="n">
        <x:f>IF(AND(P34&gt;0,S34=0),N34,0)</x:f>
        <x:v>0</x:v>
      </x:c>
      <x:c r="Y34" s="648" t="n">
        <x:f>IF(Q34&gt;0,N34,0)</x:f>
        <x:v>0</x:v>
      </x:c>
      <x:c r="Z34" s="647" t="n">
        <x:f>IF(P34&gt;0,N34*S34,0)</x:f>
        <x:v>0</x:v>
      </x:c>
      <x:c r="AA34" s="647" t="n">
        <x:f>IF(Q34&gt;0,N34*T34,0)</x:f>
        <x:v>0</x:v>
      </x:c>
      <x:c r="AB34" s="647" t="n">
        <x:f>N34*R34</x:f>
        <x:v>0</x:v>
      </x:c>
      <x:c r="AC34" s="647" t="n">
        <x:f>IF(N34&gt;0,R34,999999)</x:f>
        <x:v>999999</x:v>
      </x:c>
      <x:c r="AD34" s="647" t="n">
        <x:f>IF(AND(N34&gt;0,P34&gt;0),S34,999999)</x:f>
        <x:v>999999</x:v>
      </x:c>
      <x:c r="AE34" s="647" t="n">
        <x:f>IF(AND(N34&gt;0,Q34&gt;0),T34,999999)</x:f>
        <x:v>999999</x:v>
      </x:c>
      <x:c r="AF34" s="648" t="n">
        <x:f>B34*D34*F34*J34</x:f>
        <x:v>0.004913999999999999</x:v>
      </x:c>
      <x:c r="AG34" s="648" t="n">
        <x:f>IF(P34&gt;0,AF34,0)</x:f>
        <x:v>0</x:v>
      </x:c>
      <x:c r="AH34" s="648" t="n">
        <x:f>IF(AND(P34&gt;0,S34&lt;0),AF34,0)</x:f>
        <x:v>0</x:v>
      </x:c>
      <x:c r="AI34" s="648" t="n">
        <x:f>IF(AND(P34&gt;0,S34=0),AF34,0)</x:f>
        <x:v>0</x:v>
      </x:c>
      <x:c r="AJ34" s="648" t="n">
        <x:f>IF(R34&lt;30000,AF34,0)</x:f>
        <x:v>0.004913999999999999</x:v>
      </x:c>
      <x:c r="AK34" s="647" t="n">
        <x:f>IF(P34&gt;0,AF34*S34,0)</x:f>
        <x:v>0</x:v>
      </x:c>
    </x:row>
    <x:row r="35" ht="22" customHeight="1">
      <x:c r="A35" s="19" t="str">
        <x:v>保守</x:v>
      </x:c>
      <x:c r="B35" s="23" t="n">
        <x:f>'114_降本系数'!B26</x:f>
        <x:v>0.35</x:v>
      </x:c>
      <x:c r="C35" s="19" t="str">
        <x:v>L0</x:v>
      </x:c>
      <x:c r="D35" s="23" t="n">
        <x:f>'130_联合算法'!C16</x:f>
        <x:v>0.6</x:v>
      </x:c>
      <x:c r="E35" s="460" t="n">
        <x:f>'117_价格概率传导'!A6</x:f>
        <x:v>259900</x:v>
      </x:c>
      <x:c r="F35" s="23" t="n">
        <x:f>'117_价格概率传导'!C6</x:f>
        <x:v>0.06</x:v>
      </x:c>
      <x:c r="G35" s="23" t="n">
        <x:f>0</x:f>
        <x:v>0</x:v>
      </x:c>
      <x:c r="H35" s="23" t="n">
        <x:f>SUM('117_价格概率传导'!$C$6:$C$6)</x:f>
        <x:v>0.06</x:v>
      </x:c>
      <x:c r="I35" s="460" t="n">
        <x:f>'117_价格概率传导'!A20</x:f>
        <x:v>269900</x:v>
      </x:c>
      <x:c r="J35" s="23" t="n">
        <x:f>'117_价格概率传导'!C20</x:f>
        <x:v>0.13</x:v>
      </x:c>
      <x:c r="K35" s="23" t="n">
        <x:f>SUM('117_价格概率传导'!$C$16:$C$19)</x:f>
        <x:v>0.8400000000000001</x:v>
      </x:c>
      <x:c r="L35" s="23" t="n">
        <x:f>SUM('117_价格概率传导'!$C$16:$C$20)</x:f>
        <x:v>0.9700000000000001</x:v>
      </x:c>
      <x:c r="M35" s="23" t="n">
        <x:f>MAX(0,MIN(H35,L35)-MAX(G35,K35))</x:f>
        <x:v>0</x:v>
      </x:c>
      <x:c r="N35" s="23" t="n">
        <x:f>B35*D35*M35</x:f>
        <x:v>0</x:v>
      </x:c>
      <x:c r="O35" s="460" t="n">
        <x:f>I35</x:f>
        <x:v>269900</x:v>
      </x:c>
      <x:c r="P35" s="460" t="str">
        <x:f>""</x:f>
      </x:c>
      <x:c r="Q35" s="460" t="str">
        <x:f>""</x:f>
      </x:c>
      <x:c r="R35" s="460" t="n">
        <x:f>O35-E35</x:f>
        <x:v>10000</x:v>
      </x:c>
      <x:c r="S35" s="460" t="str">
        <x:f>IF(P35&gt;0,P35-E35,"")</x:f>
      </x:c>
      <x:c r="T35" s="460" t="str">
        <x:f>IF(Q35&gt;0,Q35-E35,"")</x:f>
      </x:c>
      <x:c r="U35" s="23" t="n">
        <x:f>IF(R35&lt;30000,N35,0)</x:f>
        <x:v>0</x:v>
      </x:c>
      <x:c r="V35" s="23" t="n">
        <x:f>IF(P35&gt;0,N35,0)</x:f>
        <x:v>0</x:v>
      </x:c>
      <x:c r="W35" s="23" t="n">
        <x:f>IF(AND(P35&gt;0,S35&lt;0),N35,0)</x:f>
        <x:v>0</x:v>
      </x:c>
      <x:c r="X35" s="23" t="n">
        <x:f>IF(AND(P35&gt;0,S35=0),N35,0)</x:f>
        <x:v>0</x:v>
      </x:c>
      <x:c r="Y35" s="23" t="n">
        <x:f>IF(Q35&gt;0,N35,0)</x:f>
        <x:v>0</x:v>
      </x:c>
      <x:c r="Z35" s="460" t="n">
        <x:f>IF(P35&gt;0,N35*S35,0)</x:f>
        <x:v>0</x:v>
      </x:c>
      <x:c r="AA35" s="460" t="n">
        <x:f>IF(Q35&gt;0,N35*T35,0)</x:f>
        <x:v>0</x:v>
      </x:c>
      <x:c r="AB35" s="460" t="n">
        <x:f>N35*R35</x:f>
        <x:v>0</x:v>
      </x:c>
      <x:c r="AC35" s="460" t="n">
        <x:f>IF(N35&gt;0,R35,999999)</x:f>
        <x:v>999999</x:v>
      </x:c>
      <x:c r="AD35" s="460" t="n">
        <x:f>IF(AND(N35&gt;0,P35&gt;0),S35,999999)</x:f>
        <x:v>999999</x:v>
      </x:c>
      <x:c r="AE35" s="460" t="n">
        <x:f>IF(AND(N35&gt;0,Q35&gt;0),T35,999999)</x:f>
        <x:v>999999</x:v>
      </x:c>
      <x:c r="AF35" s="23" t="n">
        <x:f>B35*D35*F35*J35</x:f>
        <x:v>0.001638</x:v>
      </x:c>
      <x:c r="AG35" s="23" t="n">
        <x:f>IF(P35&gt;0,AF35,0)</x:f>
        <x:v>0</x:v>
      </x:c>
      <x:c r="AH35" s="23" t="n">
        <x:f>IF(AND(P35&gt;0,S35&lt;0),AF35,0)</x:f>
        <x:v>0</x:v>
      </x:c>
      <x:c r="AI35" s="23" t="n">
        <x:f>IF(AND(P35&gt;0,S35=0),AF35,0)</x:f>
        <x:v>0</x:v>
      </x:c>
      <x:c r="AJ35" s="23" t="n">
        <x:f>IF(R35&lt;30000,AF35,0)</x:f>
        <x:v>0.001638</x:v>
      </x:c>
      <x:c r="AK35" s="460" t="n">
        <x:f>IF(P35&gt;0,AF35*S35,0)</x:f>
        <x:v>0</x:v>
      </x:c>
    </x:row>
    <x:row r="36" ht="22" customHeight="1">
      <x:c r="A36" s="643" t="str">
        <x:v>保守</x:v>
      </x:c>
      <x:c r="B36" s="648" t="n">
        <x:f>'114_降本系数'!B26</x:f>
        <x:v>0.35</x:v>
      </x:c>
      <x:c r="C36" s="643" t="str">
        <x:v>L0</x:v>
      </x:c>
      <x:c r="D36" s="648" t="n">
        <x:f>'130_联合算法'!C16</x:f>
        <x:v>0.6</x:v>
      </x:c>
      <x:c r="E36" s="647" t="n">
        <x:f>'117_价格概率传导'!A6</x:f>
        <x:v>259900</x:v>
      </x:c>
      <x:c r="F36" s="648" t="n">
        <x:f>'117_价格概率传导'!C6</x:f>
        <x:v>0.06</x:v>
      </x:c>
      <x:c r="G36" s="648" t="n">
        <x:f>0</x:f>
        <x:v>0</x:v>
      </x:c>
      <x:c r="H36" s="648" t="n">
        <x:f>SUM('117_价格概率传导'!$C$6:$C$6)</x:f>
        <x:v>0.06</x:v>
      </x:c>
      <x:c r="I36" s="647" t="n">
        <x:f>'117_价格概率传导'!A21</x:f>
        <x:v>259900</x:v>
      </x:c>
      <x:c r="J36" s="648" t="n">
        <x:f>'117_价格概率传导'!C21</x:f>
        <x:v>0.03</x:v>
      </x:c>
      <x:c r="K36" s="648" t="n">
        <x:f>SUM('117_价格概率传导'!$C$16:$C$20)</x:f>
        <x:v>0.9700000000000001</x:v>
      </x:c>
      <x:c r="L36" s="648" t="n">
        <x:f>SUM('117_价格概率传导'!$C$16:$C$21)</x:f>
        <x:v>1</x:v>
      </x:c>
      <x:c r="M36" s="648" t="n">
        <x:f>MAX(0,MIN(H36,L36)-MAX(G36,K36))</x:f>
        <x:v>0</x:v>
      </x:c>
      <x:c r="N36" s="648" t="n">
        <x:f>B36*D36*M36</x:f>
        <x:v>0</x:v>
      </x:c>
      <x:c r="O36" s="647" t="n">
        <x:f>I36</x:f>
        <x:v>259900</x:v>
      </x:c>
      <x:c r="P36" s="647" t="str">
        <x:f>""</x:f>
      </x:c>
      <x:c r="Q36" s="647" t="str">
        <x:f>""</x:f>
      </x:c>
      <x:c r="R36" s="647" t="n">
        <x:f>O36-E36</x:f>
        <x:v>0</x:v>
      </x:c>
      <x:c r="S36" s="647" t="str">
        <x:f>IF(P36&gt;0,P36-E36,"")</x:f>
      </x:c>
      <x:c r="T36" s="647" t="str">
        <x:f>IF(Q36&gt;0,Q36-E36,"")</x:f>
      </x:c>
      <x:c r="U36" s="648" t="n">
        <x:f>IF(R36&lt;30000,N36,0)</x:f>
        <x:v>0</x:v>
      </x:c>
      <x:c r="V36" s="648" t="n">
        <x:f>IF(P36&gt;0,N36,0)</x:f>
        <x:v>0</x:v>
      </x:c>
      <x:c r="W36" s="648" t="n">
        <x:f>IF(AND(P36&gt;0,S36&lt;0),N36,0)</x:f>
        <x:v>0</x:v>
      </x:c>
      <x:c r="X36" s="648" t="n">
        <x:f>IF(AND(P36&gt;0,S36=0),N36,0)</x:f>
        <x:v>0</x:v>
      </x:c>
      <x:c r="Y36" s="648" t="n">
        <x:f>IF(Q36&gt;0,N36,0)</x:f>
        <x:v>0</x:v>
      </x:c>
      <x:c r="Z36" s="647" t="n">
        <x:f>IF(P36&gt;0,N36*S36,0)</x:f>
        <x:v>0</x:v>
      </x:c>
      <x:c r="AA36" s="647" t="n">
        <x:f>IF(Q36&gt;0,N36*T36,0)</x:f>
        <x:v>0</x:v>
      </x:c>
      <x:c r="AB36" s="647" t="n">
        <x:f>N36*R36</x:f>
        <x:v>0</x:v>
      </x:c>
      <x:c r="AC36" s="647" t="n">
        <x:f>IF(N36&gt;0,R36,999999)</x:f>
        <x:v>999999</x:v>
      </x:c>
      <x:c r="AD36" s="647" t="n">
        <x:f>IF(AND(N36&gt;0,P36&gt;0),S36,999999)</x:f>
        <x:v>999999</x:v>
      </x:c>
      <x:c r="AE36" s="647" t="n">
        <x:f>IF(AND(N36&gt;0,Q36&gt;0),T36,999999)</x:f>
        <x:v>999999</x:v>
      </x:c>
      <x:c r="AF36" s="648" t="n">
        <x:f>B36*D36*F36*J36</x:f>
        <x:v>0.0003779999999999999</x:v>
      </x:c>
      <x:c r="AG36" s="648" t="n">
        <x:f>IF(P36&gt;0,AF36,0)</x:f>
        <x:v>0</x:v>
      </x:c>
      <x:c r="AH36" s="648" t="n">
        <x:f>IF(AND(P36&gt;0,S36&lt;0),AF36,0)</x:f>
        <x:v>0</x:v>
      </x:c>
      <x:c r="AI36" s="648" t="n">
        <x:f>IF(AND(P36&gt;0,S36=0),AF36,0)</x:f>
        <x:v>0</x:v>
      </x:c>
      <x:c r="AJ36" s="648" t="n">
        <x:f>IF(R36&lt;30000,AF36,0)</x:f>
        <x:v>0.0003779999999999999</x:v>
      </x:c>
      <x:c r="AK36" s="647" t="n">
        <x:f>IF(P36&gt;0,AF36*S36,0)</x:f>
        <x:v>0</x:v>
      </x:c>
    </x:row>
    <x:row r="37" ht="22" customHeight="1">
      <x:c r="A37" s="19" t="str">
        <x:v>保守</x:v>
      </x:c>
      <x:c r="B37" s="23" t="n">
        <x:f>'114_降本系数'!B26</x:f>
        <x:v>0.35</x:v>
      </x:c>
      <x:c r="C37" s="19" t="str">
        <x:v>L0</x:v>
      </x:c>
      <x:c r="D37" s="23" t="n">
        <x:f>'130_联合算法'!C16</x:f>
        <x:v>0.6</x:v>
      </x:c>
      <x:c r="E37" s="460" t="n">
        <x:f>'117_价格概率传导'!A7</x:f>
        <x:v>253900</x:v>
      </x:c>
      <x:c r="F37" s="23" t="n">
        <x:f>'117_价格概率传导'!C7</x:f>
        <x:v>0.07</x:v>
      </x:c>
      <x:c r="G37" s="23" t="n">
        <x:f>SUM('117_价格概率传导'!$C$6:$C$6)</x:f>
        <x:v>0.06</x:v>
      </x:c>
      <x:c r="H37" s="23" t="n">
        <x:f>SUM('117_价格概率传导'!$C$6:$C$7)</x:f>
        <x:v>0.13</x:v>
      </x:c>
      <x:c r="I37" s="460" t="n">
        <x:f>'117_价格概率传导'!A16</x:f>
        <x:v>299900</x:v>
      </x:c>
      <x:c r="J37" s="23" t="n">
        <x:f>'117_价格概率传导'!C16</x:f>
        <x:v>0.05</x:v>
      </x:c>
      <x:c r="K37" s="23" t="n">
        <x:f>0</x:f>
        <x:v>0</x:v>
      </x:c>
      <x:c r="L37" s="23" t="n">
        <x:f>SUM('117_价格概率传导'!$C$16:$C$16)</x:f>
        <x:v>0.05</x:v>
      </x:c>
      <x:c r="M37" s="23" t="n">
        <x:f>MAX(0,MIN(H37,L37)-MAX(G37,K37))</x:f>
        <x:v>0</x:v>
      </x:c>
      <x:c r="N37" s="23" t="n">
        <x:f>B37*D37*M37</x:f>
        <x:v>0</x:v>
      </x:c>
      <x:c r="O37" s="460" t="n">
        <x:f>I37</x:f>
        <x:v>299900</x:v>
      </x:c>
      <x:c r="P37" s="460" t="str">
        <x:f>""</x:f>
      </x:c>
      <x:c r="Q37" s="460" t="str">
        <x:f>""</x:f>
      </x:c>
      <x:c r="R37" s="460" t="n">
        <x:f>O37-E37</x:f>
        <x:v>46000</x:v>
      </x:c>
      <x:c r="S37" s="460" t="str">
        <x:f>IF(P37&gt;0,P37-E37,"")</x:f>
      </x:c>
      <x:c r="T37" s="460" t="str">
        <x:f>IF(Q37&gt;0,Q37-E37,"")</x:f>
      </x:c>
      <x:c r="U37" s="23" t="n">
        <x:f>IF(R37&lt;30000,N37,0)</x:f>
        <x:v>0</x:v>
      </x:c>
      <x:c r="V37" s="23" t="n">
        <x:f>IF(P37&gt;0,N37,0)</x:f>
        <x:v>0</x:v>
      </x:c>
      <x:c r="W37" s="23" t="n">
        <x:f>IF(AND(P37&gt;0,S37&lt;0),N37,0)</x:f>
        <x:v>0</x:v>
      </x:c>
      <x:c r="X37" s="23" t="n">
        <x:f>IF(AND(P37&gt;0,S37=0),N37,0)</x:f>
        <x:v>0</x:v>
      </x:c>
      <x:c r="Y37" s="23" t="n">
        <x:f>IF(Q37&gt;0,N37,0)</x:f>
        <x:v>0</x:v>
      </x:c>
      <x:c r="Z37" s="460" t="n">
        <x:f>IF(P37&gt;0,N37*S37,0)</x:f>
        <x:v>0</x:v>
      </x:c>
      <x:c r="AA37" s="460" t="n">
        <x:f>IF(Q37&gt;0,N37*T37,0)</x:f>
        <x:v>0</x:v>
      </x:c>
      <x:c r="AB37" s="460" t="n">
        <x:f>N37*R37</x:f>
        <x:v>0</x:v>
      </x:c>
      <x:c r="AC37" s="460" t="n">
        <x:f>IF(N37&gt;0,R37,999999)</x:f>
        <x:v>999999</x:v>
      </x:c>
      <x:c r="AD37" s="460" t="n">
        <x:f>IF(AND(N37&gt;0,P37&gt;0),S37,999999)</x:f>
        <x:v>999999</x:v>
      </x:c>
      <x:c r="AE37" s="460" t="n">
        <x:f>IF(AND(N37&gt;0,Q37&gt;0),T37,999999)</x:f>
        <x:v>999999</x:v>
      </x:c>
      <x:c r="AF37" s="23" t="n">
        <x:f>B37*D37*F37*J37</x:f>
        <x:v>0.0007350000000000001</x:v>
      </x:c>
      <x:c r="AG37" s="23" t="n">
        <x:f>IF(P37&gt;0,AF37,0)</x:f>
        <x:v>0</x:v>
      </x:c>
      <x:c r="AH37" s="23" t="n">
        <x:f>IF(AND(P37&gt;0,S37&lt;0),AF37,0)</x:f>
        <x:v>0</x:v>
      </x:c>
      <x:c r="AI37" s="23" t="n">
        <x:f>IF(AND(P37&gt;0,S37=0),AF37,0)</x:f>
        <x:v>0</x:v>
      </x:c>
      <x:c r="AJ37" s="23" t="n">
        <x:f>IF(R37&lt;30000,AF37,0)</x:f>
        <x:v>0</x:v>
      </x:c>
      <x:c r="AK37" s="460" t="n">
        <x:f>IF(P37&gt;0,AF37*S37,0)</x:f>
        <x:v>0</x:v>
      </x:c>
    </x:row>
    <x:row r="38" ht="22" customHeight="1">
      <x:c r="A38" s="643" t="str">
        <x:v>保守</x:v>
      </x:c>
      <x:c r="B38" s="648" t="n">
        <x:f>'114_降本系数'!B26</x:f>
        <x:v>0.35</x:v>
      </x:c>
      <x:c r="C38" s="643" t="str">
        <x:v>L0</x:v>
      </x:c>
      <x:c r="D38" s="648" t="n">
        <x:f>'130_联合算法'!C16</x:f>
        <x:v>0.6</x:v>
      </x:c>
      <x:c r="E38" s="647" t="n">
        <x:f>'117_价格概率传导'!A7</x:f>
        <x:v>253900</x:v>
      </x:c>
      <x:c r="F38" s="648" t="n">
        <x:f>'117_价格概率传导'!C7</x:f>
        <x:v>0.07</x:v>
      </x:c>
      <x:c r="G38" s="648" t="n">
        <x:f>SUM('117_价格概率传导'!$C$6:$C$6)</x:f>
        <x:v>0.06</x:v>
      </x:c>
      <x:c r="H38" s="648" t="n">
        <x:f>SUM('117_价格概率传导'!$C$6:$C$7)</x:f>
        <x:v>0.13</x:v>
      </x:c>
      <x:c r="I38" s="647" t="n">
        <x:f>'117_价格概率传导'!A17</x:f>
        <x:v>293900</x:v>
      </x:c>
      <x:c r="J38" s="648" t="n">
        <x:f>'117_价格概率传导'!C17</x:f>
        <x:v>0.06</x:v>
      </x:c>
      <x:c r="K38" s="648" t="n">
        <x:f>SUM('117_价格概率传导'!$C$16:$C$16)</x:f>
        <x:v>0.05</x:v>
      </x:c>
      <x:c r="L38" s="648" t="n">
        <x:f>SUM('117_价格概率传导'!$C$16:$C$17)</x:f>
        <x:v>0.11</x:v>
      </x:c>
      <x:c r="M38" s="648" t="n">
        <x:f>MAX(0,MIN(H38,L38)-MAX(G38,K38))</x:f>
        <x:v>0.05</x:v>
      </x:c>
      <x:c r="N38" s="648" t="n">
        <x:f>B38*D38*M38</x:f>
        <x:v>0.0105</x:v>
      </x:c>
      <x:c r="O38" s="647" t="n">
        <x:f>I38</x:f>
        <x:v>293900</x:v>
      </x:c>
      <x:c r="P38" s="647" t="str">
        <x:f>""</x:f>
      </x:c>
      <x:c r="Q38" s="647" t="str">
        <x:f>""</x:f>
      </x:c>
      <x:c r="R38" s="647" t="n">
        <x:f>O38-E38</x:f>
        <x:v>40000</x:v>
      </x:c>
      <x:c r="S38" s="647" t="str">
        <x:f>IF(P38&gt;0,P38-E38,"")</x:f>
      </x:c>
      <x:c r="T38" s="647" t="str">
        <x:f>IF(Q38&gt;0,Q38-E38,"")</x:f>
      </x:c>
      <x:c r="U38" s="648" t="n">
        <x:f>IF(R38&lt;30000,N38,0)</x:f>
        <x:v>0</x:v>
      </x:c>
      <x:c r="V38" s="648" t="n">
        <x:f>IF(P38&gt;0,N38,0)</x:f>
        <x:v>0</x:v>
      </x:c>
      <x:c r="W38" s="648" t="n">
        <x:f>IF(AND(P38&gt;0,S38&lt;0),N38,0)</x:f>
        <x:v>0</x:v>
      </x:c>
      <x:c r="X38" s="648" t="n">
        <x:f>IF(AND(P38&gt;0,S38=0),N38,0)</x:f>
        <x:v>0</x:v>
      </x:c>
      <x:c r="Y38" s="648" t="n">
        <x:f>IF(Q38&gt;0,N38,0)</x:f>
        <x:v>0</x:v>
      </x:c>
      <x:c r="Z38" s="647" t="n">
        <x:f>IF(P38&gt;0,N38*S38,0)</x:f>
        <x:v>0</x:v>
      </x:c>
      <x:c r="AA38" s="647" t="n">
        <x:f>IF(Q38&gt;0,N38*T38,0)</x:f>
        <x:v>0</x:v>
      </x:c>
      <x:c r="AB38" s="647" t="n">
        <x:f>N38*R38</x:f>
        <x:v>420</x:v>
      </x:c>
      <x:c r="AC38" s="647" t="n">
        <x:f>IF(N38&gt;0,R38,999999)</x:f>
        <x:v>40000</x:v>
      </x:c>
      <x:c r="AD38" s="647" t="n">
        <x:f>IF(AND(N38&gt;0,P38&gt;0),S38,999999)</x:f>
        <x:v>999999</x:v>
      </x:c>
      <x:c r="AE38" s="647" t="n">
        <x:f>IF(AND(N38&gt;0,Q38&gt;0),T38,999999)</x:f>
        <x:v>999999</x:v>
      </x:c>
      <x:c r="AF38" s="648" t="n">
        <x:f>B38*D38*F38*J38</x:f>
        <x:v>0.0008820000000000001</x:v>
      </x:c>
      <x:c r="AG38" s="648" t="n">
        <x:f>IF(P38&gt;0,AF38,0)</x:f>
        <x:v>0</x:v>
      </x:c>
      <x:c r="AH38" s="648" t="n">
        <x:f>IF(AND(P38&gt;0,S38&lt;0),AF38,0)</x:f>
        <x:v>0</x:v>
      </x:c>
      <x:c r="AI38" s="648" t="n">
        <x:f>IF(AND(P38&gt;0,S38=0),AF38,0)</x:f>
        <x:v>0</x:v>
      </x:c>
      <x:c r="AJ38" s="648" t="n">
        <x:f>IF(R38&lt;30000,AF38,0)</x:f>
        <x:v>0</x:v>
      </x:c>
      <x:c r="AK38" s="647" t="n">
        <x:f>IF(P38&gt;0,AF38*S38,0)</x:f>
        <x:v>0</x:v>
      </x:c>
    </x:row>
    <x:row r="39" ht="22" customHeight="1">
      <x:c r="A39" s="19" t="str">
        <x:v>保守</x:v>
      </x:c>
      <x:c r="B39" s="23" t="n">
        <x:f>'114_降本系数'!B26</x:f>
        <x:v>0.35</x:v>
      </x:c>
      <x:c r="C39" s="19" t="str">
        <x:v>L0</x:v>
      </x:c>
      <x:c r="D39" s="23" t="n">
        <x:f>'130_联合算法'!C16</x:f>
        <x:v>0.6</x:v>
      </x:c>
      <x:c r="E39" s="460" t="n">
        <x:f>'117_价格概率传导'!A7</x:f>
        <x:v>253900</x:v>
      </x:c>
      <x:c r="F39" s="23" t="n">
        <x:f>'117_价格概率传导'!C7</x:f>
        <x:v>0.07</x:v>
      </x:c>
      <x:c r="G39" s="23" t="n">
        <x:f>SUM('117_价格概率传导'!$C$6:$C$6)</x:f>
        <x:v>0.06</x:v>
      </x:c>
      <x:c r="H39" s="23" t="n">
        <x:f>SUM('117_价格概率传导'!$C$6:$C$7)</x:f>
        <x:v>0.13</x:v>
      </x:c>
      <x:c r="I39" s="460" t="n">
        <x:f>'117_价格概率传导'!A18</x:f>
        <x:v>289900</x:v>
      </x:c>
      <x:c r="J39" s="23" t="n">
        <x:f>'117_价格概率传导'!C18</x:f>
        <x:v>0.34</x:v>
      </x:c>
      <x:c r="K39" s="23" t="n">
        <x:f>SUM('117_价格概率传导'!$C$16:$C$17)</x:f>
        <x:v>0.11</x:v>
      </x:c>
      <x:c r="L39" s="23" t="n">
        <x:f>SUM('117_价格概率传导'!$C$16:$C$18)</x:f>
        <x:v>0.45</x:v>
      </x:c>
      <x:c r="M39" s="23" t="n">
        <x:f>MAX(0,MIN(H39,L39)-MAX(G39,K39))</x:f>
        <x:v>0.020000000000000004</x:v>
      </x:c>
      <x:c r="N39" s="23" t="n">
        <x:f>B39*D39*M39</x:f>
        <x:v>0.004200000000000001</x:v>
      </x:c>
      <x:c r="O39" s="460" t="n">
        <x:f>I39</x:f>
        <x:v>289900</x:v>
      </x:c>
      <x:c r="P39" s="460" t="str">
        <x:f>""</x:f>
      </x:c>
      <x:c r="Q39" s="460" t="str">
        <x:f>""</x:f>
      </x:c>
      <x:c r="R39" s="460" t="n">
        <x:f>O39-E39</x:f>
        <x:v>36000</x:v>
      </x:c>
      <x:c r="S39" s="460" t="str">
        <x:f>IF(P39&gt;0,P39-E39,"")</x:f>
      </x:c>
      <x:c r="T39" s="460" t="str">
        <x:f>IF(Q39&gt;0,Q39-E39,"")</x:f>
      </x:c>
      <x:c r="U39" s="23" t="n">
        <x:f>IF(R39&lt;30000,N39,0)</x:f>
        <x:v>0</x:v>
      </x:c>
      <x:c r="V39" s="23" t="n">
        <x:f>IF(P39&gt;0,N39,0)</x:f>
        <x:v>0</x:v>
      </x:c>
      <x:c r="W39" s="23" t="n">
        <x:f>IF(AND(P39&gt;0,S39&lt;0),N39,0)</x:f>
        <x:v>0</x:v>
      </x:c>
      <x:c r="X39" s="23" t="n">
        <x:f>IF(AND(P39&gt;0,S39=0),N39,0)</x:f>
        <x:v>0</x:v>
      </x:c>
      <x:c r="Y39" s="23" t="n">
        <x:f>IF(Q39&gt;0,N39,0)</x:f>
        <x:v>0</x:v>
      </x:c>
      <x:c r="Z39" s="460" t="n">
        <x:f>IF(P39&gt;0,N39*S39,0)</x:f>
        <x:v>0</x:v>
      </x:c>
      <x:c r="AA39" s="460" t="n">
        <x:f>IF(Q39&gt;0,N39*T39,0)</x:f>
        <x:v>0</x:v>
      </x:c>
      <x:c r="AB39" s="460" t="n">
        <x:f>N39*R39</x:f>
        <x:v>151.20000000000002</x:v>
      </x:c>
      <x:c r="AC39" s="460" t="n">
        <x:f>IF(N39&gt;0,R39,999999)</x:f>
        <x:v>36000</x:v>
      </x:c>
      <x:c r="AD39" s="460" t="n">
        <x:f>IF(AND(N39&gt;0,P39&gt;0),S39,999999)</x:f>
        <x:v>999999</x:v>
      </x:c>
      <x:c r="AE39" s="460" t="n">
        <x:f>IF(AND(N39&gt;0,Q39&gt;0),T39,999999)</x:f>
        <x:v>999999</x:v>
      </x:c>
      <x:c r="AF39" s="23" t="n">
        <x:f>B39*D39*F39*J39</x:f>
        <x:v>0.004998000000000001</x:v>
      </x:c>
      <x:c r="AG39" s="23" t="n">
        <x:f>IF(P39&gt;0,AF39,0)</x:f>
        <x:v>0</x:v>
      </x:c>
      <x:c r="AH39" s="23" t="n">
        <x:f>IF(AND(P39&gt;0,S39&lt;0),AF39,0)</x:f>
        <x:v>0</x:v>
      </x:c>
      <x:c r="AI39" s="23" t="n">
        <x:f>IF(AND(P39&gt;0,S39=0),AF39,0)</x:f>
        <x:v>0</x:v>
      </x:c>
      <x:c r="AJ39" s="23" t="n">
        <x:f>IF(R39&lt;30000,AF39,0)</x:f>
        <x:v>0</x:v>
      </x:c>
      <x:c r="AK39" s="460" t="n">
        <x:f>IF(P39&gt;0,AF39*S39,0)</x:f>
        <x:v>0</x:v>
      </x:c>
    </x:row>
    <x:row r="40" ht="22" customHeight="1">
      <x:c r="A40" s="643" t="str">
        <x:v>保守</x:v>
      </x:c>
      <x:c r="B40" s="648" t="n">
        <x:f>'114_降本系数'!B26</x:f>
        <x:v>0.35</x:v>
      </x:c>
      <x:c r="C40" s="643" t="str">
        <x:v>L0</x:v>
      </x:c>
      <x:c r="D40" s="648" t="n">
        <x:f>'130_联合算法'!C16</x:f>
        <x:v>0.6</x:v>
      </x:c>
      <x:c r="E40" s="647" t="n">
        <x:f>'117_价格概率传导'!A7</x:f>
        <x:v>253900</x:v>
      </x:c>
      <x:c r="F40" s="648" t="n">
        <x:f>'117_价格概率传导'!C7</x:f>
        <x:v>0.07</x:v>
      </x:c>
      <x:c r="G40" s="648" t="n">
        <x:f>SUM('117_价格概率传导'!$C$6:$C$6)</x:f>
        <x:v>0.06</x:v>
      </x:c>
      <x:c r="H40" s="648" t="n">
        <x:f>SUM('117_价格概率传导'!$C$6:$C$7)</x:f>
        <x:v>0.13</x:v>
      </x:c>
      <x:c r="I40" s="647" t="n">
        <x:f>'117_价格概率传导'!A19</x:f>
        <x:v>279900</x:v>
      </x:c>
      <x:c r="J40" s="648" t="n">
        <x:f>'117_价格概率传导'!C19</x:f>
        <x:v>0.39</x:v>
      </x:c>
      <x:c r="K40" s="648" t="n">
        <x:f>SUM('117_价格概率传导'!$C$16:$C$18)</x:f>
        <x:v>0.45</x:v>
      </x:c>
      <x:c r="L40" s="648" t="n">
        <x:f>SUM('117_价格概率传导'!$C$16:$C$19)</x:f>
        <x:v>0.8400000000000001</x:v>
      </x:c>
      <x:c r="M40" s="648" t="n">
        <x:f>MAX(0,MIN(H40,L40)-MAX(G40,K40))</x:f>
        <x:v>0</x:v>
      </x:c>
      <x:c r="N40" s="648" t="n">
        <x:f>B40*D40*M40</x:f>
        <x:v>0</x:v>
      </x:c>
      <x:c r="O40" s="647" t="n">
        <x:f>I40</x:f>
        <x:v>279900</x:v>
      </x:c>
      <x:c r="P40" s="647" t="str">
        <x:f>""</x:f>
      </x:c>
      <x:c r="Q40" s="647" t="str">
        <x:f>""</x:f>
      </x:c>
      <x:c r="R40" s="647" t="n">
        <x:f>O40-E40</x:f>
        <x:v>26000</x:v>
      </x:c>
      <x:c r="S40" s="647" t="str">
        <x:f>IF(P40&gt;0,P40-E40,"")</x:f>
      </x:c>
      <x:c r="T40" s="647" t="str">
        <x:f>IF(Q40&gt;0,Q40-E40,"")</x:f>
      </x:c>
      <x:c r="U40" s="648" t="n">
        <x:f>IF(R40&lt;30000,N40,0)</x:f>
        <x:v>0</x:v>
      </x:c>
      <x:c r="V40" s="648" t="n">
        <x:f>IF(P40&gt;0,N40,0)</x:f>
        <x:v>0</x:v>
      </x:c>
      <x:c r="W40" s="648" t="n">
        <x:f>IF(AND(P40&gt;0,S40&lt;0),N40,0)</x:f>
        <x:v>0</x:v>
      </x:c>
      <x:c r="X40" s="648" t="n">
        <x:f>IF(AND(P40&gt;0,S40=0),N40,0)</x:f>
        <x:v>0</x:v>
      </x:c>
      <x:c r="Y40" s="648" t="n">
        <x:f>IF(Q40&gt;0,N40,0)</x:f>
        <x:v>0</x:v>
      </x:c>
      <x:c r="Z40" s="647" t="n">
        <x:f>IF(P40&gt;0,N40*S40,0)</x:f>
        <x:v>0</x:v>
      </x:c>
      <x:c r="AA40" s="647" t="n">
        <x:f>IF(Q40&gt;0,N40*T40,0)</x:f>
        <x:v>0</x:v>
      </x:c>
      <x:c r="AB40" s="647" t="n">
        <x:f>N40*R40</x:f>
        <x:v>0</x:v>
      </x:c>
      <x:c r="AC40" s="647" t="n">
        <x:f>IF(N40&gt;0,R40,999999)</x:f>
        <x:v>999999</x:v>
      </x:c>
      <x:c r="AD40" s="647" t="n">
        <x:f>IF(AND(N40&gt;0,P40&gt;0),S40,999999)</x:f>
        <x:v>999999</x:v>
      </x:c>
      <x:c r="AE40" s="647" t="n">
        <x:f>IF(AND(N40&gt;0,Q40&gt;0),T40,999999)</x:f>
        <x:v>999999</x:v>
      </x:c>
      <x:c r="AF40" s="648" t="n">
        <x:f>B40*D40*F40*J40</x:f>
        <x:v>0.005733000000000001</x:v>
      </x:c>
      <x:c r="AG40" s="648" t="n">
        <x:f>IF(P40&gt;0,AF40,0)</x:f>
        <x:v>0</x:v>
      </x:c>
      <x:c r="AH40" s="648" t="n">
        <x:f>IF(AND(P40&gt;0,S40&lt;0),AF40,0)</x:f>
        <x:v>0</x:v>
      </x:c>
      <x:c r="AI40" s="648" t="n">
        <x:f>IF(AND(P40&gt;0,S40=0),AF40,0)</x:f>
        <x:v>0</x:v>
      </x:c>
      <x:c r="AJ40" s="648" t="n">
        <x:f>IF(R40&lt;30000,AF40,0)</x:f>
        <x:v>0.005733000000000001</x:v>
      </x:c>
      <x:c r="AK40" s="647" t="n">
        <x:f>IF(P40&gt;0,AF40*S40,0)</x:f>
        <x:v>0</x:v>
      </x:c>
    </x:row>
    <x:row r="41" ht="22" customHeight="1">
      <x:c r="A41" s="19" t="str">
        <x:v>保守</x:v>
      </x:c>
      <x:c r="B41" s="23" t="n">
        <x:f>'114_降本系数'!B26</x:f>
        <x:v>0.35</x:v>
      </x:c>
      <x:c r="C41" s="19" t="str">
        <x:v>L0</x:v>
      </x:c>
      <x:c r="D41" s="23" t="n">
        <x:f>'130_联合算法'!C16</x:f>
        <x:v>0.6</x:v>
      </x:c>
      <x:c r="E41" s="460" t="n">
        <x:f>'117_价格概率传导'!A7</x:f>
        <x:v>253900</x:v>
      </x:c>
      <x:c r="F41" s="23" t="n">
        <x:f>'117_价格概率传导'!C7</x:f>
        <x:v>0.07</x:v>
      </x:c>
      <x:c r="G41" s="23" t="n">
        <x:f>SUM('117_价格概率传导'!$C$6:$C$6)</x:f>
        <x:v>0.06</x:v>
      </x:c>
      <x:c r="H41" s="23" t="n">
        <x:f>SUM('117_价格概率传导'!$C$6:$C$7)</x:f>
        <x:v>0.13</x:v>
      </x:c>
      <x:c r="I41" s="460" t="n">
        <x:f>'117_价格概率传导'!A20</x:f>
        <x:v>269900</x:v>
      </x:c>
      <x:c r="J41" s="23" t="n">
        <x:f>'117_价格概率传导'!C20</x:f>
        <x:v>0.13</x:v>
      </x:c>
      <x:c r="K41" s="23" t="n">
        <x:f>SUM('117_价格概率传导'!$C$16:$C$19)</x:f>
        <x:v>0.8400000000000001</x:v>
      </x:c>
      <x:c r="L41" s="23" t="n">
        <x:f>SUM('117_价格概率传导'!$C$16:$C$20)</x:f>
        <x:v>0.9700000000000001</x:v>
      </x:c>
      <x:c r="M41" s="23" t="n">
        <x:f>MAX(0,MIN(H41,L41)-MAX(G41,K41))</x:f>
        <x:v>0</x:v>
      </x:c>
      <x:c r="N41" s="23" t="n">
        <x:f>B41*D41*M41</x:f>
        <x:v>0</x:v>
      </x:c>
      <x:c r="O41" s="460" t="n">
        <x:f>I41</x:f>
        <x:v>269900</x:v>
      </x:c>
      <x:c r="P41" s="460" t="str">
        <x:f>""</x:f>
      </x:c>
      <x:c r="Q41" s="460" t="str">
        <x:f>""</x:f>
      </x:c>
      <x:c r="R41" s="460" t="n">
        <x:f>O41-E41</x:f>
        <x:v>16000</x:v>
      </x:c>
      <x:c r="S41" s="460" t="str">
        <x:f>IF(P41&gt;0,P41-E41,"")</x:f>
      </x:c>
      <x:c r="T41" s="460" t="str">
        <x:f>IF(Q41&gt;0,Q41-E41,"")</x:f>
      </x:c>
      <x:c r="U41" s="23" t="n">
        <x:f>IF(R41&lt;30000,N41,0)</x:f>
        <x:v>0</x:v>
      </x:c>
      <x:c r="V41" s="23" t="n">
        <x:f>IF(P41&gt;0,N41,0)</x:f>
        <x:v>0</x:v>
      </x:c>
      <x:c r="W41" s="23" t="n">
        <x:f>IF(AND(P41&gt;0,S41&lt;0),N41,0)</x:f>
        <x:v>0</x:v>
      </x:c>
      <x:c r="X41" s="23" t="n">
        <x:f>IF(AND(P41&gt;0,S41=0),N41,0)</x:f>
        <x:v>0</x:v>
      </x:c>
      <x:c r="Y41" s="23" t="n">
        <x:f>IF(Q41&gt;0,N41,0)</x:f>
        <x:v>0</x:v>
      </x:c>
      <x:c r="Z41" s="460" t="n">
        <x:f>IF(P41&gt;0,N41*S41,0)</x:f>
        <x:v>0</x:v>
      </x:c>
      <x:c r="AA41" s="460" t="n">
        <x:f>IF(Q41&gt;0,N41*T41,0)</x:f>
        <x:v>0</x:v>
      </x:c>
      <x:c r="AB41" s="460" t="n">
        <x:f>N41*R41</x:f>
        <x:v>0</x:v>
      </x:c>
      <x:c r="AC41" s="460" t="n">
        <x:f>IF(N41&gt;0,R41,999999)</x:f>
        <x:v>999999</x:v>
      </x:c>
      <x:c r="AD41" s="460" t="n">
        <x:f>IF(AND(N41&gt;0,P41&gt;0),S41,999999)</x:f>
        <x:v>999999</x:v>
      </x:c>
      <x:c r="AE41" s="460" t="n">
        <x:f>IF(AND(N41&gt;0,Q41&gt;0),T41,999999)</x:f>
        <x:v>999999</x:v>
      </x:c>
      <x:c r="AF41" s="23" t="n">
        <x:f>B41*D41*F41*J41</x:f>
        <x:v>0.0019110000000000002</x:v>
      </x:c>
      <x:c r="AG41" s="23" t="n">
        <x:f>IF(P41&gt;0,AF41,0)</x:f>
        <x:v>0</x:v>
      </x:c>
      <x:c r="AH41" s="23" t="n">
        <x:f>IF(AND(P41&gt;0,S41&lt;0),AF41,0)</x:f>
        <x:v>0</x:v>
      </x:c>
      <x:c r="AI41" s="23" t="n">
        <x:f>IF(AND(P41&gt;0,S41=0),AF41,0)</x:f>
        <x:v>0</x:v>
      </x:c>
      <x:c r="AJ41" s="23" t="n">
        <x:f>IF(R41&lt;30000,AF41,0)</x:f>
        <x:v>0.0019110000000000002</x:v>
      </x:c>
      <x:c r="AK41" s="460" t="n">
        <x:f>IF(P41&gt;0,AF41*S41,0)</x:f>
        <x:v>0</x:v>
      </x:c>
    </x:row>
    <x:row r="42" ht="22" customHeight="1">
      <x:c r="A42" s="643" t="str">
        <x:v>保守</x:v>
      </x:c>
      <x:c r="B42" s="648" t="n">
        <x:f>'114_降本系数'!B26</x:f>
        <x:v>0.35</x:v>
      </x:c>
      <x:c r="C42" s="643" t="str">
        <x:v>L0</x:v>
      </x:c>
      <x:c r="D42" s="648" t="n">
        <x:f>'130_联合算法'!C16</x:f>
        <x:v>0.6</x:v>
      </x:c>
      <x:c r="E42" s="647" t="n">
        <x:f>'117_价格概率传导'!A7</x:f>
        <x:v>253900</x:v>
      </x:c>
      <x:c r="F42" s="648" t="n">
        <x:f>'117_价格概率传导'!C7</x:f>
        <x:v>0.07</x:v>
      </x:c>
      <x:c r="G42" s="648" t="n">
        <x:f>SUM('117_价格概率传导'!$C$6:$C$6)</x:f>
        <x:v>0.06</x:v>
      </x:c>
      <x:c r="H42" s="648" t="n">
        <x:f>SUM('117_价格概率传导'!$C$6:$C$7)</x:f>
        <x:v>0.13</x:v>
      </x:c>
      <x:c r="I42" s="647" t="n">
        <x:f>'117_价格概率传导'!A21</x:f>
        <x:v>259900</x:v>
      </x:c>
      <x:c r="J42" s="648" t="n">
        <x:f>'117_价格概率传导'!C21</x:f>
        <x:v>0.03</x:v>
      </x:c>
      <x:c r="K42" s="648" t="n">
        <x:f>SUM('117_价格概率传导'!$C$16:$C$20)</x:f>
        <x:v>0.9700000000000001</x:v>
      </x:c>
      <x:c r="L42" s="648" t="n">
        <x:f>SUM('117_价格概率传导'!$C$16:$C$21)</x:f>
        <x:v>1</x:v>
      </x:c>
      <x:c r="M42" s="648" t="n">
        <x:f>MAX(0,MIN(H42,L42)-MAX(G42,K42))</x:f>
        <x:v>0</x:v>
      </x:c>
      <x:c r="N42" s="648" t="n">
        <x:f>B42*D42*M42</x:f>
        <x:v>0</x:v>
      </x:c>
      <x:c r="O42" s="647" t="n">
        <x:f>I42</x:f>
        <x:v>259900</x:v>
      </x:c>
      <x:c r="P42" s="647" t="str">
        <x:f>""</x:f>
      </x:c>
      <x:c r="Q42" s="647" t="str">
        <x:f>""</x:f>
      </x:c>
      <x:c r="R42" s="647" t="n">
        <x:f>O42-E42</x:f>
        <x:v>6000</x:v>
      </x:c>
      <x:c r="S42" s="647" t="str">
        <x:f>IF(P42&gt;0,P42-E42,"")</x:f>
      </x:c>
      <x:c r="T42" s="647" t="str">
        <x:f>IF(Q42&gt;0,Q42-E42,"")</x:f>
      </x:c>
      <x:c r="U42" s="648" t="n">
        <x:f>IF(R42&lt;30000,N42,0)</x:f>
        <x:v>0</x:v>
      </x:c>
      <x:c r="V42" s="648" t="n">
        <x:f>IF(P42&gt;0,N42,0)</x:f>
        <x:v>0</x:v>
      </x:c>
      <x:c r="W42" s="648" t="n">
        <x:f>IF(AND(P42&gt;0,S42&lt;0),N42,0)</x:f>
        <x:v>0</x:v>
      </x:c>
      <x:c r="X42" s="648" t="n">
        <x:f>IF(AND(P42&gt;0,S42=0),N42,0)</x:f>
        <x:v>0</x:v>
      </x:c>
      <x:c r="Y42" s="648" t="n">
        <x:f>IF(Q42&gt;0,N42,0)</x:f>
        <x:v>0</x:v>
      </x:c>
      <x:c r="Z42" s="647" t="n">
        <x:f>IF(P42&gt;0,N42*S42,0)</x:f>
        <x:v>0</x:v>
      </x:c>
      <x:c r="AA42" s="647" t="n">
        <x:f>IF(Q42&gt;0,N42*T42,0)</x:f>
        <x:v>0</x:v>
      </x:c>
      <x:c r="AB42" s="647" t="n">
        <x:f>N42*R42</x:f>
        <x:v>0</x:v>
      </x:c>
      <x:c r="AC42" s="647" t="n">
        <x:f>IF(N42&gt;0,R42,999999)</x:f>
        <x:v>999999</x:v>
      </x:c>
      <x:c r="AD42" s="647" t="n">
        <x:f>IF(AND(N42&gt;0,P42&gt;0),S42,999999)</x:f>
        <x:v>999999</x:v>
      </x:c>
      <x:c r="AE42" s="647" t="n">
        <x:f>IF(AND(N42&gt;0,Q42&gt;0),T42,999999)</x:f>
        <x:v>999999</x:v>
      </x:c>
      <x:c r="AF42" s="648" t="n">
        <x:f>B42*D42*F42*J42</x:f>
        <x:v>0.00044100000000000004</x:v>
      </x:c>
      <x:c r="AG42" s="648" t="n">
        <x:f>IF(P42&gt;0,AF42,0)</x:f>
        <x:v>0</x:v>
      </x:c>
      <x:c r="AH42" s="648" t="n">
        <x:f>IF(AND(P42&gt;0,S42&lt;0),AF42,0)</x:f>
        <x:v>0</x:v>
      </x:c>
      <x:c r="AI42" s="648" t="n">
        <x:f>IF(AND(P42&gt;0,S42=0),AF42,0)</x:f>
        <x:v>0</x:v>
      </x:c>
      <x:c r="AJ42" s="648" t="n">
        <x:f>IF(R42&lt;30000,AF42,0)</x:f>
        <x:v>0.00044100000000000004</x:v>
      </x:c>
      <x:c r="AK42" s="647" t="n">
        <x:f>IF(P42&gt;0,AF42*S42,0)</x:f>
        <x:v>0</x:v>
      </x:c>
    </x:row>
    <x:row r="43" ht="22" customHeight="1">
      <x:c r="A43" s="19" t="str">
        <x:v>保守</x:v>
      </x:c>
      <x:c r="B43" s="23" t="n">
        <x:f>'114_降本系数'!B26</x:f>
        <x:v>0.35</x:v>
      </x:c>
      <x:c r="C43" s="19" t="str">
        <x:v>L0</x:v>
      </x:c>
      <x:c r="D43" s="23" t="n">
        <x:f>'130_联合算法'!C16</x:f>
        <x:v>0.6</x:v>
      </x:c>
      <x:c r="E43" s="460" t="n">
        <x:f>'117_价格概率传导'!A8</x:f>
        <x:v>249900</x:v>
      </x:c>
      <x:c r="F43" s="23" t="n">
        <x:f>'117_价格概率传导'!C8</x:f>
        <x:v>0.54</x:v>
      </x:c>
      <x:c r="G43" s="23" t="n">
        <x:f>SUM('117_价格概率传导'!$C$6:$C$7)</x:f>
        <x:v>0.13</x:v>
      </x:c>
      <x:c r="H43" s="23" t="n">
        <x:f>SUM('117_价格概率传导'!$C$6:$C$8)</x:f>
        <x:v>0.67</x:v>
      </x:c>
      <x:c r="I43" s="460" t="n">
        <x:f>'117_价格概率传导'!A16</x:f>
        <x:v>299900</x:v>
      </x:c>
      <x:c r="J43" s="23" t="n">
        <x:f>'117_价格概率传导'!C16</x:f>
        <x:v>0.05</x:v>
      </x:c>
      <x:c r="K43" s="23" t="n">
        <x:f>0</x:f>
        <x:v>0</x:v>
      </x:c>
      <x:c r="L43" s="23" t="n">
        <x:f>SUM('117_价格概率传导'!$C$16:$C$16)</x:f>
        <x:v>0.05</x:v>
      </x:c>
      <x:c r="M43" s="23" t="n">
        <x:f>MAX(0,MIN(H43,L43)-MAX(G43,K43))</x:f>
        <x:v>0</x:v>
      </x:c>
      <x:c r="N43" s="23" t="n">
        <x:f>B43*D43*M43</x:f>
        <x:v>0</x:v>
      </x:c>
      <x:c r="O43" s="460" t="n">
        <x:f>I43</x:f>
        <x:v>299900</x:v>
      </x:c>
      <x:c r="P43" s="460" t="str">
        <x:f>""</x:f>
      </x:c>
      <x:c r="Q43" s="460" t="str">
        <x:f>""</x:f>
      </x:c>
      <x:c r="R43" s="460" t="n">
        <x:f>O43-E43</x:f>
        <x:v>50000</x:v>
      </x:c>
      <x:c r="S43" s="460" t="str">
        <x:f>IF(P43&gt;0,P43-E43,"")</x:f>
      </x:c>
      <x:c r="T43" s="460" t="str">
        <x:f>IF(Q43&gt;0,Q43-E43,"")</x:f>
      </x:c>
      <x:c r="U43" s="23" t="n">
        <x:f>IF(R43&lt;30000,N43,0)</x:f>
        <x:v>0</x:v>
      </x:c>
      <x:c r="V43" s="23" t="n">
        <x:f>IF(P43&gt;0,N43,0)</x:f>
        <x:v>0</x:v>
      </x:c>
      <x:c r="W43" s="23" t="n">
        <x:f>IF(AND(P43&gt;0,S43&lt;0),N43,0)</x:f>
        <x:v>0</x:v>
      </x:c>
      <x:c r="X43" s="23" t="n">
        <x:f>IF(AND(P43&gt;0,S43=0),N43,0)</x:f>
        <x:v>0</x:v>
      </x:c>
      <x:c r="Y43" s="23" t="n">
        <x:f>IF(Q43&gt;0,N43,0)</x:f>
        <x:v>0</x:v>
      </x:c>
      <x:c r="Z43" s="460" t="n">
        <x:f>IF(P43&gt;0,N43*S43,0)</x:f>
        <x:v>0</x:v>
      </x:c>
      <x:c r="AA43" s="460" t="n">
        <x:f>IF(Q43&gt;0,N43*T43,0)</x:f>
        <x:v>0</x:v>
      </x:c>
      <x:c r="AB43" s="460" t="n">
        <x:f>N43*R43</x:f>
        <x:v>0</x:v>
      </x:c>
      <x:c r="AC43" s="460" t="n">
        <x:f>IF(N43&gt;0,R43,999999)</x:f>
        <x:v>999999</x:v>
      </x:c>
      <x:c r="AD43" s="460" t="n">
        <x:f>IF(AND(N43&gt;0,P43&gt;0),S43,999999)</x:f>
        <x:v>999999</x:v>
      </x:c>
      <x:c r="AE43" s="460" t="n">
        <x:f>IF(AND(N43&gt;0,Q43&gt;0),T43,999999)</x:f>
        <x:v>999999</x:v>
      </x:c>
      <x:c r="AF43" s="23" t="n">
        <x:f>B43*D43*F43*J43</x:f>
        <x:v>0.0056700000000000006</x:v>
      </x:c>
      <x:c r="AG43" s="23" t="n">
        <x:f>IF(P43&gt;0,AF43,0)</x:f>
        <x:v>0</x:v>
      </x:c>
      <x:c r="AH43" s="23" t="n">
        <x:f>IF(AND(P43&gt;0,S43&lt;0),AF43,0)</x:f>
        <x:v>0</x:v>
      </x:c>
      <x:c r="AI43" s="23" t="n">
        <x:f>IF(AND(P43&gt;0,S43=0),AF43,0)</x:f>
        <x:v>0</x:v>
      </x:c>
      <x:c r="AJ43" s="23" t="n">
        <x:f>IF(R43&lt;30000,AF43,0)</x:f>
        <x:v>0</x:v>
      </x:c>
      <x:c r="AK43" s="460" t="n">
        <x:f>IF(P43&gt;0,AF43*S43,0)</x:f>
        <x:v>0</x:v>
      </x:c>
    </x:row>
    <x:row r="44" ht="22" customHeight="1">
      <x:c r="A44" s="643" t="str">
        <x:v>保守</x:v>
      </x:c>
      <x:c r="B44" s="648" t="n">
        <x:f>'114_降本系数'!B26</x:f>
        <x:v>0.35</x:v>
      </x:c>
      <x:c r="C44" s="643" t="str">
        <x:v>L0</x:v>
      </x:c>
      <x:c r="D44" s="648" t="n">
        <x:f>'130_联合算法'!C16</x:f>
        <x:v>0.6</x:v>
      </x:c>
      <x:c r="E44" s="647" t="n">
        <x:f>'117_价格概率传导'!A8</x:f>
        <x:v>249900</x:v>
      </x:c>
      <x:c r="F44" s="648" t="n">
        <x:f>'117_价格概率传导'!C8</x:f>
        <x:v>0.54</x:v>
      </x:c>
      <x:c r="G44" s="648" t="n">
        <x:f>SUM('117_价格概率传导'!$C$6:$C$7)</x:f>
        <x:v>0.13</x:v>
      </x:c>
      <x:c r="H44" s="648" t="n">
        <x:f>SUM('117_价格概率传导'!$C$6:$C$8)</x:f>
        <x:v>0.67</x:v>
      </x:c>
      <x:c r="I44" s="647" t="n">
        <x:f>'117_价格概率传导'!A17</x:f>
        <x:v>293900</x:v>
      </x:c>
      <x:c r="J44" s="648" t="n">
        <x:f>'117_价格概率传导'!C17</x:f>
        <x:v>0.06</x:v>
      </x:c>
      <x:c r="K44" s="648" t="n">
        <x:f>SUM('117_价格概率传导'!$C$16:$C$16)</x:f>
        <x:v>0.05</x:v>
      </x:c>
      <x:c r="L44" s="648" t="n">
        <x:f>SUM('117_价格概率传导'!$C$16:$C$17)</x:f>
        <x:v>0.11</x:v>
      </x:c>
      <x:c r="M44" s="648" t="n">
        <x:f>MAX(0,MIN(H44,L44)-MAX(G44,K44))</x:f>
        <x:v>0</x:v>
      </x:c>
      <x:c r="N44" s="648" t="n">
        <x:f>B44*D44*M44</x:f>
        <x:v>0</x:v>
      </x:c>
      <x:c r="O44" s="647" t="n">
        <x:f>I44</x:f>
        <x:v>293900</x:v>
      </x:c>
      <x:c r="P44" s="647" t="str">
        <x:f>""</x:f>
      </x:c>
      <x:c r="Q44" s="647" t="str">
        <x:f>""</x:f>
      </x:c>
      <x:c r="R44" s="647" t="n">
        <x:f>O44-E44</x:f>
        <x:v>44000</x:v>
      </x:c>
      <x:c r="S44" s="647" t="str">
        <x:f>IF(P44&gt;0,P44-E44,"")</x:f>
      </x:c>
      <x:c r="T44" s="647" t="str">
        <x:f>IF(Q44&gt;0,Q44-E44,"")</x:f>
      </x:c>
      <x:c r="U44" s="648" t="n">
        <x:f>IF(R44&lt;30000,N44,0)</x:f>
        <x:v>0</x:v>
      </x:c>
      <x:c r="V44" s="648" t="n">
        <x:f>IF(P44&gt;0,N44,0)</x:f>
        <x:v>0</x:v>
      </x:c>
      <x:c r="W44" s="648" t="n">
        <x:f>IF(AND(P44&gt;0,S44&lt;0),N44,0)</x:f>
        <x:v>0</x:v>
      </x:c>
      <x:c r="X44" s="648" t="n">
        <x:f>IF(AND(P44&gt;0,S44=0),N44,0)</x:f>
        <x:v>0</x:v>
      </x:c>
      <x:c r="Y44" s="648" t="n">
        <x:f>IF(Q44&gt;0,N44,0)</x:f>
        <x:v>0</x:v>
      </x:c>
      <x:c r="Z44" s="647" t="n">
        <x:f>IF(P44&gt;0,N44*S44,0)</x:f>
        <x:v>0</x:v>
      </x:c>
      <x:c r="AA44" s="647" t="n">
        <x:f>IF(Q44&gt;0,N44*T44,0)</x:f>
        <x:v>0</x:v>
      </x:c>
      <x:c r="AB44" s="647" t="n">
        <x:f>N44*R44</x:f>
        <x:v>0</x:v>
      </x:c>
      <x:c r="AC44" s="647" t="n">
        <x:f>IF(N44&gt;0,R44,999999)</x:f>
        <x:v>999999</x:v>
      </x:c>
      <x:c r="AD44" s="647" t="n">
        <x:f>IF(AND(N44&gt;0,P44&gt;0),S44,999999)</x:f>
        <x:v>999999</x:v>
      </x:c>
      <x:c r="AE44" s="647" t="n">
        <x:f>IF(AND(N44&gt;0,Q44&gt;0),T44,999999)</x:f>
        <x:v>999999</x:v>
      </x:c>
      <x:c r="AF44" s="648" t="n">
        <x:f>B44*D44*F44*J44</x:f>
        <x:v>0.006804</x:v>
      </x:c>
      <x:c r="AG44" s="648" t="n">
        <x:f>IF(P44&gt;0,AF44,0)</x:f>
        <x:v>0</x:v>
      </x:c>
      <x:c r="AH44" s="648" t="n">
        <x:f>IF(AND(P44&gt;0,S44&lt;0),AF44,0)</x:f>
        <x:v>0</x:v>
      </x:c>
      <x:c r="AI44" s="648" t="n">
        <x:f>IF(AND(P44&gt;0,S44=0),AF44,0)</x:f>
        <x:v>0</x:v>
      </x:c>
      <x:c r="AJ44" s="648" t="n">
        <x:f>IF(R44&lt;30000,AF44,0)</x:f>
        <x:v>0</x:v>
      </x:c>
      <x:c r="AK44" s="647" t="n">
        <x:f>IF(P44&gt;0,AF44*S44,0)</x:f>
        <x:v>0</x:v>
      </x:c>
    </x:row>
    <x:row r="45" ht="22" customHeight="1">
      <x:c r="A45" s="19" t="str">
        <x:v>保守</x:v>
      </x:c>
      <x:c r="B45" s="23" t="n">
        <x:f>'114_降本系数'!B26</x:f>
        <x:v>0.35</x:v>
      </x:c>
      <x:c r="C45" s="19" t="str">
        <x:v>L0</x:v>
      </x:c>
      <x:c r="D45" s="23" t="n">
        <x:f>'130_联合算法'!C16</x:f>
        <x:v>0.6</x:v>
      </x:c>
      <x:c r="E45" s="460" t="n">
        <x:f>'117_价格概率传导'!A8</x:f>
        <x:v>249900</x:v>
      </x:c>
      <x:c r="F45" s="23" t="n">
        <x:f>'117_价格概率传导'!C8</x:f>
        <x:v>0.54</x:v>
      </x:c>
      <x:c r="G45" s="23" t="n">
        <x:f>SUM('117_价格概率传导'!$C$6:$C$7)</x:f>
        <x:v>0.13</x:v>
      </x:c>
      <x:c r="H45" s="23" t="n">
        <x:f>SUM('117_价格概率传导'!$C$6:$C$8)</x:f>
        <x:v>0.67</x:v>
      </x:c>
      <x:c r="I45" s="460" t="n">
        <x:f>'117_价格概率传导'!A18</x:f>
        <x:v>289900</x:v>
      </x:c>
      <x:c r="J45" s="23" t="n">
        <x:f>'117_价格概率传导'!C18</x:f>
        <x:v>0.34</x:v>
      </x:c>
      <x:c r="K45" s="23" t="n">
        <x:f>SUM('117_价格概率传导'!$C$16:$C$17)</x:f>
        <x:v>0.11</x:v>
      </x:c>
      <x:c r="L45" s="23" t="n">
        <x:f>SUM('117_价格概率传导'!$C$16:$C$18)</x:f>
        <x:v>0.45</x:v>
      </x:c>
      <x:c r="M45" s="23" t="n">
        <x:f>MAX(0,MIN(H45,L45)-MAX(G45,K45))</x:f>
        <x:v>0.32</x:v>
      </x:c>
      <x:c r="N45" s="23" t="n">
        <x:f>B45*D45*M45</x:f>
        <x:v>0.0672</x:v>
      </x:c>
      <x:c r="O45" s="460" t="n">
        <x:f>I45</x:f>
        <x:v>289900</x:v>
      </x:c>
      <x:c r="P45" s="460" t="str">
        <x:f>""</x:f>
      </x:c>
      <x:c r="Q45" s="460" t="str">
        <x:f>""</x:f>
      </x:c>
      <x:c r="R45" s="460" t="n">
        <x:f>O45-E45</x:f>
        <x:v>40000</x:v>
      </x:c>
      <x:c r="S45" s="460" t="str">
        <x:f>IF(P45&gt;0,P45-E45,"")</x:f>
      </x:c>
      <x:c r="T45" s="460" t="str">
        <x:f>IF(Q45&gt;0,Q45-E45,"")</x:f>
      </x:c>
      <x:c r="U45" s="23" t="n">
        <x:f>IF(R45&lt;30000,N45,0)</x:f>
        <x:v>0</x:v>
      </x:c>
      <x:c r="V45" s="23" t="n">
        <x:f>IF(P45&gt;0,N45,0)</x:f>
        <x:v>0</x:v>
      </x:c>
      <x:c r="W45" s="23" t="n">
        <x:f>IF(AND(P45&gt;0,S45&lt;0),N45,0)</x:f>
        <x:v>0</x:v>
      </x:c>
      <x:c r="X45" s="23" t="n">
        <x:f>IF(AND(P45&gt;0,S45=0),N45,0)</x:f>
        <x:v>0</x:v>
      </x:c>
      <x:c r="Y45" s="23" t="n">
        <x:f>IF(Q45&gt;0,N45,0)</x:f>
        <x:v>0</x:v>
      </x:c>
      <x:c r="Z45" s="460" t="n">
        <x:f>IF(P45&gt;0,N45*S45,0)</x:f>
        <x:v>0</x:v>
      </x:c>
      <x:c r="AA45" s="460" t="n">
        <x:f>IF(Q45&gt;0,N45*T45,0)</x:f>
        <x:v>0</x:v>
      </x:c>
      <x:c r="AB45" s="460" t="n">
        <x:f>N45*R45</x:f>
        <x:v>2688</x:v>
      </x:c>
      <x:c r="AC45" s="460" t="n">
        <x:f>IF(N45&gt;0,R45,999999)</x:f>
        <x:v>40000</x:v>
      </x:c>
      <x:c r="AD45" s="460" t="n">
        <x:f>IF(AND(N45&gt;0,P45&gt;0),S45,999999)</x:f>
        <x:v>999999</x:v>
      </x:c>
      <x:c r="AE45" s="460" t="n">
        <x:f>IF(AND(N45&gt;0,Q45&gt;0),T45,999999)</x:f>
        <x:v>999999</x:v>
      </x:c>
      <x:c r="AF45" s="23" t="n">
        <x:f>B45*D45*F45*J45</x:f>
        <x:v>0.038556</x:v>
      </x:c>
      <x:c r="AG45" s="23" t="n">
        <x:f>IF(P45&gt;0,AF45,0)</x:f>
        <x:v>0</x:v>
      </x:c>
      <x:c r="AH45" s="23" t="n">
        <x:f>IF(AND(P45&gt;0,S45&lt;0),AF45,0)</x:f>
        <x:v>0</x:v>
      </x:c>
      <x:c r="AI45" s="23" t="n">
        <x:f>IF(AND(P45&gt;0,S45=0),AF45,0)</x:f>
        <x:v>0</x:v>
      </x:c>
      <x:c r="AJ45" s="23" t="n">
        <x:f>IF(R45&lt;30000,AF45,0)</x:f>
        <x:v>0</x:v>
      </x:c>
      <x:c r="AK45" s="460" t="n">
        <x:f>IF(P45&gt;0,AF45*S45,0)</x:f>
        <x:v>0</x:v>
      </x:c>
    </x:row>
    <x:row r="46" ht="22" customHeight="1">
      <x:c r="A46" s="643" t="str">
        <x:v>保守</x:v>
      </x:c>
      <x:c r="B46" s="648" t="n">
        <x:f>'114_降本系数'!B26</x:f>
        <x:v>0.35</x:v>
      </x:c>
      <x:c r="C46" s="643" t="str">
        <x:v>L0</x:v>
      </x:c>
      <x:c r="D46" s="648" t="n">
        <x:f>'130_联合算法'!C16</x:f>
        <x:v>0.6</x:v>
      </x:c>
      <x:c r="E46" s="647" t="n">
        <x:f>'117_价格概率传导'!A8</x:f>
        <x:v>249900</x:v>
      </x:c>
      <x:c r="F46" s="648" t="n">
        <x:f>'117_价格概率传导'!C8</x:f>
        <x:v>0.54</x:v>
      </x:c>
      <x:c r="G46" s="648" t="n">
        <x:f>SUM('117_价格概率传导'!$C$6:$C$7)</x:f>
        <x:v>0.13</x:v>
      </x:c>
      <x:c r="H46" s="648" t="n">
        <x:f>SUM('117_价格概率传导'!$C$6:$C$8)</x:f>
        <x:v>0.67</x:v>
      </x:c>
      <x:c r="I46" s="647" t="n">
        <x:f>'117_价格概率传导'!A19</x:f>
        <x:v>279900</x:v>
      </x:c>
      <x:c r="J46" s="648" t="n">
        <x:f>'117_价格概率传导'!C19</x:f>
        <x:v>0.39</x:v>
      </x:c>
      <x:c r="K46" s="648" t="n">
        <x:f>SUM('117_价格概率传导'!$C$16:$C$18)</x:f>
        <x:v>0.45</x:v>
      </x:c>
      <x:c r="L46" s="648" t="n">
        <x:f>SUM('117_价格概率传导'!$C$16:$C$19)</x:f>
        <x:v>0.8400000000000001</x:v>
      </x:c>
      <x:c r="M46" s="648" t="n">
        <x:f>MAX(0,MIN(H46,L46)-MAX(G46,K46))</x:f>
        <x:v>0.22000000000000003</x:v>
      </x:c>
      <x:c r="N46" s="648" t="n">
        <x:f>B46*D46*M46</x:f>
        <x:v>0.046200000000000005</x:v>
      </x:c>
      <x:c r="O46" s="647" t="n">
        <x:f>I46</x:f>
        <x:v>279900</x:v>
      </x:c>
      <x:c r="P46" s="647" t="str">
        <x:f>""</x:f>
      </x:c>
      <x:c r="Q46" s="647" t="str">
        <x:f>""</x:f>
      </x:c>
      <x:c r="R46" s="647" t="n">
        <x:f>O46-E46</x:f>
        <x:v>30000</x:v>
      </x:c>
      <x:c r="S46" s="647" t="str">
        <x:f>IF(P46&gt;0,P46-E46,"")</x:f>
      </x:c>
      <x:c r="T46" s="647" t="str">
        <x:f>IF(Q46&gt;0,Q46-E46,"")</x:f>
      </x:c>
      <x:c r="U46" s="648" t="n">
        <x:f>IF(R46&lt;30000,N46,0)</x:f>
        <x:v>0</x:v>
      </x:c>
      <x:c r="V46" s="648" t="n">
        <x:f>IF(P46&gt;0,N46,0)</x:f>
        <x:v>0</x:v>
      </x:c>
      <x:c r="W46" s="648" t="n">
        <x:f>IF(AND(P46&gt;0,S46&lt;0),N46,0)</x:f>
        <x:v>0</x:v>
      </x:c>
      <x:c r="X46" s="648" t="n">
        <x:f>IF(AND(P46&gt;0,S46=0),N46,0)</x:f>
        <x:v>0</x:v>
      </x:c>
      <x:c r="Y46" s="648" t="n">
        <x:f>IF(Q46&gt;0,N46,0)</x:f>
        <x:v>0</x:v>
      </x:c>
      <x:c r="Z46" s="647" t="n">
        <x:f>IF(P46&gt;0,N46*S46,0)</x:f>
        <x:v>0</x:v>
      </x:c>
      <x:c r="AA46" s="647" t="n">
        <x:f>IF(Q46&gt;0,N46*T46,0)</x:f>
        <x:v>0</x:v>
      </x:c>
      <x:c r="AB46" s="647" t="n">
        <x:f>N46*R46</x:f>
        <x:v>1386.0000000000002</x:v>
      </x:c>
      <x:c r="AC46" s="647" t="n">
        <x:f>IF(N46&gt;0,R46,999999)</x:f>
        <x:v>30000</x:v>
      </x:c>
      <x:c r="AD46" s="647" t="n">
        <x:f>IF(AND(N46&gt;0,P46&gt;0),S46,999999)</x:f>
        <x:v>999999</x:v>
      </x:c>
      <x:c r="AE46" s="647" t="n">
        <x:f>IF(AND(N46&gt;0,Q46&gt;0),T46,999999)</x:f>
        <x:v>999999</x:v>
      </x:c>
      <x:c r="AF46" s="648" t="n">
        <x:f>B46*D46*F46*J46</x:f>
        <x:v>0.044226</x:v>
      </x:c>
      <x:c r="AG46" s="648" t="n">
        <x:f>IF(P46&gt;0,AF46,0)</x:f>
        <x:v>0</x:v>
      </x:c>
      <x:c r="AH46" s="648" t="n">
        <x:f>IF(AND(P46&gt;0,S46&lt;0),AF46,0)</x:f>
        <x:v>0</x:v>
      </x:c>
      <x:c r="AI46" s="648" t="n">
        <x:f>IF(AND(P46&gt;0,S46=0),AF46,0)</x:f>
        <x:v>0</x:v>
      </x:c>
      <x:c r="AJ46" s="648" t="n">
        <x:f>IF(R46&lt;30000,AF46,0)</x:f>
        <x:v>0</x:v>
      </x:c>
      <x:c r="AK46" s="647" t="n">
        <x:f>IF(P46&gt;0,AF46*S46,0)</x:f>
        <x:v>0</x:v>
      </x:c>
    </x:row>
    <x:row r="47" ht="22" customHeight="1">
      <x:c r="A47" s="19" t="str">
        <x:v>保守</x:v>
      </x:c>
      <x:c r="B47" s="23" t="n">
        <x:f>'114_降本系数'!B26</x:f>
        <x:v>0.35</x:v>
      </x:c>
      <x:c r="C47" s="19" t="str">
        <x:v>L0</x:v>
      </x:c>
      <x:c r="D47" s="23" t="n">
        <x:f>'130_联合算法'!C16</x:f>
        <x:v>0.6</x:v>
      </x:c>
      <x:c r="E47" s="460" t="n">
        <x:f>'117_价格概率传导'!A8</x:f>
        <x:v>249900</x:v>
      </x:c>
      <x:c r="F47" s="23" t="n">
        <x:f>'117_价格概率传导'!C8</x:f>
        <x:v>0.54</x:v>
      </x:c>
      <x:c r="G47" s="23" t="n">
        <x:f>SUM('117_价格概率传导'!$C$6:$C$7)</x:f>
        <x:v>0.13</x:v>
      </x:c>
      <x:c r="H47" s="23" t="n">
        <x:f>SUM('117_价格概率传导'!$C$6:$C$8)</x:f>
        <x:v>0.67</x:v>
      </x:c>
      <x:c r="I47" s="460" t="n">
        <x:f>'117_价格概率传导'!A20</x:f>
        <x:v>269900</x:v>
      </x:c>
      <x:c r="J47" s="23" t="n">
        <x:f>'117_价格概率传导'!C20</x:f>
        <x:v>0.13</x:v>
      </x:c>
      <x:c r="K47" s="23" t="n">
        <x:f>SUM('117_价格概率传导'!$C$16:$C$19)</x:f>
        <x:v>0.8400000000000001</x:v>
      </x:c>
      <x:c r="L47" s="23" t="n">
        <x:f>SUM('117_价格概率传导'!$C$16:$C$20)</x:f>
        <x:v>0.9700000000000001</x:v>
      </x:c>
      <x:c r="M47" s="23" t="n">
        <x:f>MAX(0,MIN(H47,L47)-MAX(G47,K47))</x:f>
        <x:v>0</x:v>
      </x:c>
      <x:c r="N47" s="23" t="n">
        <x:f>B47*D47*M47</x:f>
        <x:v>0</x:v>
      </x:c>
      <x:c r="O47" s="460" t="n">
        <x:f>I47</x:f>
        <x:v>269900</x:v>
      </x:c>
      <x:c r="P47" s="460" t="str">
        <x:f>""</x:f>
      </x:c>
      <x:c r="Q47" s="460" t="str">
        <x:f>""</x:f>
      </x:c>
      <x:c r="R47" s="460" t="n">
        <x:f>O47-E47</x:f>
        <x:v>20000</x:v>
      </x:c>
      <x:c r="S47" s="460" t="str">
        <x:f>IF(P47&gt;0,P47-E47,"")</x:f>
      </x:c>
      <x:c r="T47" s="460" t="str">
        <x:f>IF(Q47&gt;0,Q47-E47,"")</x:f>
      </x:c>
      <x:c r="U47" s="23" t="n">
        <x:f>IF(R47&lt;30000,N47,0)</x:f>
        <x:v>0</x:v>
      </x:c>
      <x:c r="V47" s="23" t="n">
        <x:f>IF(P47&gt;0,N47,0)</x:f>
        <x:v>0</x:v>
      </x:c>
      <x:c r="W47" s="23" t="n">
        <x:f>IF(AND(P47&gt;0,S47&lt;0),N47,0)</x:f>
        <x:v>0</x:v>
      </x:c>
      <x:c r="X47" s="23" t="n">
        <x:f>IF(AND(P47&gt;0,S47=0),N47,0)</x:f>
        <x:v>0</x:v>
      </x:c>
      <x:c r="Y47" s="23" t="n">
        <x:f>IF(Q47&gt;0,N47,0)</x:f>
        <x:v>0</x:v>
      </x:c>
      <x:c r="Z47" s="460" t="n">
        <x:f>IF(P47&gt;0,N47*S47,0)</x:f>
        <x:v>0</x:v>
      </x:c>
      <x:c r="AA47" s="460" t="n">
        <x:f>IF(Q47&gt;0,N47*T47,0)</x:f>
        <x:v>0</x:v>
      </x:c>
      <x:c r="AB47" s="460" t="n">
        <x:f>N47*R47</x:f>
        <x:v>0</x:v>
      </x:c>
      <x:c r="AC47" s="460" t="n">
        <x:f>IF(N47&gt;0,R47,999999)</x:f>
        <x:v>999999</x:v>
      </x:c>
      <x:c r="AD47" s="460" t="n">
        <x:f>IF(AND(N47&gt;0,P47&gt;0),S47,999999)</x:f>
        <x:v>999999</x:v>
      </x:c>
      <x:c r="AE47" s="460" t="n">
        <x:f>IF(AND(N47&gt;0,Q47&gt;0),T47,999999)</x:f>
        <x:v>999999</x:v>
      </x:c>
      <x:c r="AF47" s="23" t="n">
        <x:f>B47*D47*F47*J47</x:f>
        <x:v>0.014742</x:v>
      </x:c>
      <x:c r="AG47" s="23" t="n">
        <x:f>IF(P47&gt;0,AF47,0)</x:f>
        <x:v>0</x:v>
      </x:c>
      <x:c r="AH47" s="23" t="n">
        <x:f>IF(AND(P47&gt;0,S47&lt;0),AF47,0)</x:f>
        <x:v>0</x:v>
      </x:c>
      <x:c r="AI47" s="23" t="n">
        <x:f>IF(AND(P47&gt;0,S47=0),AF47,0)</x:f>
        <x:v>0</x:v>
      </x:c>
      <x:c r="AJ47" s="23" t="n">
        <x:f>IF(R47&lt;30000,AF47,0)</x:f>
        <x:v>0.014742</x:v>
      </x:c>
      <x:c r="AK47" s="460" t="n">
        <x:f>IF(P47&gt;0,AF47*S47,0)</x:f>
        <x:v>0</x:v>
      </x:c>
    </x:row>
    <x:row r="48" ht="22" customHeight="1">
      <x:c r="A48" s="643" t="str">
        <x:v>保守</x:v>
      </x:c>
      <x:c r="B48" s="648" t="n">
        <x:f>'114_降本系数'!B26</x:f>
        <x:v>0.35</x:v>
      </x:c>
      <x:c r="C48" s="643" t="str">
        <x:v>L0</x:v>
      </x:c>
      <x:c r="D48" s="648" t="n">
        <x:f>'130_联合算法'!C16</x:f>
        <x:v>0.6</x:v>
      </x:c>
      <x:c r="E48" s="647" t="n">
        <x:f>'117_价格概率传导'!A8</x:f>
        <x:v>249900</x:v>
      </x:c>
      <x:c r="F48" s="648" t="n">
        <x:f>'117_价格概率传导'!C8</x:f>
        <x:v>0.54</x:v>
      </x:c>
      <x:c r="G48" s="648" t="n">
        <x:f>SUM('117_价格概率传导'!$C$6:$C$7)</x:f>
        <x:v>0.13</x:v>
      </x:c>
      <x:c r="H48" s="648" t="n">
        <x:f>SUM('117_价格概率传导'!$C$6:$C$8)</x:f>
        <x:v>0.67</x:v>
      </x:c>
      <x:c r="I48" s="647" t="n">
        <x:f>'117_价格概率传导'!A21</x:f>
        <x:v>259900</x:v>
      </x:c>
      <x:c r="J48" s="648" t="n">
        <x:f>'117_价格概率传导'!C21</x:f>
        <x:v>0.03</x:v>
      </x:c>
      <x:c r="K48" s="648" t="n">
        <x:f>SUM('117_价格概率传导'!$C$16:$C$20)</x:f>
        <x:v>0.9700000000000001</x:v>
      </x:c>
      <x:c r="L48" s="648" t="n">
        <x:f>SUM('117_价格概率传导'!$C$16:$C$21)</x:f>
        <x:v>1</x:v>
      </x:c>
      <x:c r="M48" s="648" t="n">
        <x:f>MAX(0,MIN(H48,L48)-MAX(G48,K48))</x:f>
        <x:v>0</x:v>
      </x:c>
      <x:c r="N48" s="648" t="n">
        <x:f>B48*D48*M48</x:f>
        <x:v>0</x:v>
      </x:c>
      <x:c r="O48" s="647" t="n">
        <x:f>I48</x:f>
        <x:v>259900</x:v>
      </x:c>
      <x:c r="P48" s="647" t="str">
        <x:f>""</x:f>
      </x:c>
      <x:c r="Q48" s="647" t="str">
        <x:f>""</x:f>
      </x:c>
      <x:c r="R48" s="647" t="n">
        <x:f>O48-E48</x:f>
        <x:v>10000</x:v>
      </x:c>
      <x:c r="S48" s="647" t="str">
        <x:f>IF(P48&gt;0,P48-E48,"")</x:f>
      </x:c>
      <x:c r="T48" s="647" t="str">
        <x:f>IF(Q48&gt;0,Q48-E48,"")</x:f>
      </x:c>
      <x:c r="U48" s="648" t="n">
        <x:f>IF(R48&lt;30000,N48,0)</x:f>
        <x:v>0</x:v>
      </x:c>
      <x:c r="V48" s="648" t="n">
        <x:f>IF(P48&gt;0,N48,0)</x:f>
        <x:v>0</x:v>
      </x:c>
      <x:c r="W48" s="648" t="n">
        <x:f>IF(AND(P48&gt;0,S48&lt;0),N48,0)</x:f>
        <x:v>0</x:v>
      </x:c>
      <x:c r="X48" s="648" t="n">
        <x:f>IF(AND(P48&gt;0,S48=0),N48,0)</x:f>
        <x:v>0</x:v>
      </x:c>
      <x:c r="Y48" s="648" t="n">
        <x:f>IF(Q48&gt;0,N48,0)</x:f>
        <x:v>0</x:v>
      </x:c>
      <x:c r="Z48" s="647" t="n">
        <x:f>IF(P48&gt;0,N48*S48,0)</x:f>
        <x:v>0</x:v>
      </x:c>
      <x:c r="AA48" s="647" t="n">
        <x:f>IF(Q48&gt;0,N48*T48,0)</x:f>
        <x:v>0</x:v>
      </x:c>
      <x:c r="AB48" s="647" t="n">
        <x:f>N48*R48</x:f>
        <x:v>0</x:v>
      </x:c>
      <x:c r="AC48" s="647" t="n">
        <x:f>IF(N48&gt;0,R48,999999)</x:f>
        <x:v>999999</x:v>
      </x:c>
      <x:c r="AD48" s="647" t="n">
        <x:f>IF(AND(N48&gt;0,P48&gt;0),S48,999999)</x:f>
        <x:v>999999</x:v>
      </x:c>
      <x:c r="AE48" s="647" t="n">
        <x:f>IF(AND(N48&gt;0,Q48&gt;0),T48,999999)</x:f>
        <x:v>999999</x:v>
      </x:c>
      <x:c r="AF48" s="648" t="n">
        <x:f>B48*D48*F48*J48</x:f>
        <x:v>0.003402</x:v>
      </x:c>
      <x:c r="AG48" s="648" t="n">
        <x:f>IF(P48&gt;0,AF48,0)</x:f>
        <x:v>0</x:v>
      </x:c>
      <x:c r="AH48" s="648" t="n">
        <x:f>IF(AND(P48&gt;0,S48&lt;0),AF48,0)</x:f>
        <x:v>0</x:v>
      </x:c>
      <x:c r="AI48" s="648" t="n">
        <x:f>IF(AND(P48&gt;0,S48=0),AF48,0)</x:f>
        <x:v>0</x:v>
      </x:c>
      <x:c r="AJ48" s="648" t="n">
        <x:f>IF(R48&lt;30000,AF48,0)</x:f>
        <x:v>0.003402</x:v>
      </x:c>
      <x:c r="AK48" s="647" t="n">
        <x:f>IF(P48&gt;0,AF48*S48,0)</x:f>
        <x:v>0</x:v>
      </x:c>
    </x:row>
    <x:row r="49" ht="22" customHeight="1">
      <x:c r="A49" s="19" t="str">
        <x:v>保守</x:v>
      </x:c>
      <x:c r="B49" s="23" t="n">
        <x:f>'114_降本系数'!B26</x:f>
        <x:v>0.35</x:v>
      </x:c>
      <x:c r="C49" s="19" t="str">
        <x:v>L0</x:v>
      </x:c>
      <x:c r="D49" s="23" t="n">
        <x:f>'130_联合算法'!C16</x:f>
        <x:v>0.6</x:v>
      </x:c>
      <x:c r="E49" s="460" t="n">
        <x:f>'117_价格概率传导'!A9</x:f>
        <x:v>239900</x:v>
      </x:c>
      <x:c r="F49" s="23" t="n">
        <x:f>'117_价格概率传导'!C9</x:f>
        <x:v>0.26</x:v>
      </x:c>
      <x:c r="G49" s="23" t="n">
        <x:f>SUM('117_价格概率传导'!$C$6:$C$8)</x:f>
        <x:v>0.67</x:v>
      </x:c>
      <x:c r="H49" s="23" t="n">
        <x:f>SUM('117_价格概率传导'!$C$6:$C$9)</x:f>
        <x:v>0.93</x:v>
      </x:c>
      <x:c r="I49" s="460" t="n">
        <x:f>'117_价格概率传导'!A16</x:f>
        <x:v>299900</x:v>
      </x:c>
      <x:c r="J49" s="23" t="n">
        <x:f>'117_价格概率传导'!C16</x:f>
        <x:v>0.05</x:v>
      </x:c>
      <x:c r="K49" s="23" t="n">
        <x:f>0</x:f>
        <x:v>0</x:v>
      </x:c>
      <x:c r="L49" s="23" t="n">
        <x:f>SUM('117_价格概率传导'!$C$16:$C$16)</x:f>
        <x:v>0.05</x:v>
      </x:c>
      <x:c r="M49" s="23" t="n">
        <x:f>MAX(0,MIN(H49,L49)-MAX(G49,K49))</x:f>
        <x:v>0</x:v>
      </x:c>
      <x:c r="N49" s="23" t="n">
        <x:f>B49*D49*M49</x:f>
        <x:v>0</x:v>
      </x:c>
      <x:c r="O49" s="460" t="n">
        <x:f>I49</x:f>
        <x:v>299900</x:v>
      </x:c>
      <x:c r="P49" s="460" t="str">
        <x:f>""</x:f>
      </x:c>
      <x:c r="Q49" s="460" t="str">
        <x:f>""</x:f>
      </x:c>
      <x:c r="R49" s="460" t="n">
        <x:f>O49-E49</x:f>
        <x:v>60000</x:v>
      </x:c>
      <x:c r="S49" s="460" t="str">
        <x:f>IF(P49&gt;0,P49-E49,"")</x:f>
      </x:c>
      <x:c r="T49" s="460" t="str">
        <x:f>IF(Q49&gt;0,Q49-E49,"")</x:f>
      </x:c>
      <x:c r="U49" s="23" t="n">
        <x:f>IF(R49&lt;30000,N49,0)</x:f>
        <x:v>0</x:v>
      </x:c>
      <x:c r="V49" s="23" t="n">
        <x:f>IF(P49&gt;0,N49,0)</x:f>
        <x:v>0</x:v>
      </x:c>
      <x:c r="W49" s="23" t="n">
        <x:f>IF(AND(P49&gt;0,S49&lt;0),N49,0)</x:f>
        <x:v>0</x:v>
      </x:c>
      <x:c r="X49" s="23" t="n">
        <x:f>IF(AND(P49&gt;0,S49=0),N49,0)</x:f>
        <x:v>0</x:v>
      </x:c>
      <x:c r="Y49" s="23" t="n">
        <x:f>IF(Q49&gt;0,N49,0)</x:f>
        <x:v>0</x:v>
      </x:c>
      <x:c r="Z49" s="460" t="n">
        <x:f>IF(P49&gt;0,N49*S49,0)</x:f>
        <x:v>0</x:v>
      </x:c>
      <x:c r="AA49" s="460" t="n">
        <x:f>IF(Q49&gt;0,N49*T49,0)</x:f>
        <x:v>0</x:v>
      </x:c>
      <x:c r="AB49" s="460" t="n">
        <x:f>N49*R49</x:f>
        <x:v>0</x:v>
      </x:c>
      <x:c r="AC49" s="460" t="n">
        <x:f>IF(N49&gt;0,R49,999999)</x:f>
        <x:v>999999</x:v>
      </x:c>
      <x:c r="AD49" s="460" t="n">
        <x:f>IF(AND(N49&gt;0,P49&gt;0),S49,999999)</x:f>
        <x:v>999999</x:v>
      </x:c>
      <x:c r="AE49" s="460" t="n">
        <x:f>IF(AND(N49&gt;0,Q49&gt;0),T49,999999)</x:f>
        <x:v>999999</x:v>
      </x:c>
      <x:c r="AF49" s="23" t="n">
        <x:f>B49*D49*F49*J49</x:f>
        <x:v>0.0027300000000000002</x:v>
      </x:c>
      <x:c r="AG49" s="23" t="n">
        <x:f>IF(P49&gt;0,AF49,0)</x:f>
        <x:v>0</x:v>
      </x:c>
      <x:c r="AH49" s="23" t="n">
        <x:f>IF(AND(P49&gt;0,S49&lt;0),AF49,0)</x:f>
        <x:v>0</x:v>
      </x:c>
      <x:c r="AI49" s="23" t="n">
        <x:f>IF(AND(P49&gt;0,S49=0),AF49,0)</x:f>
        <x:v>0</x:v>
      </x:c>
      <x:c r="AJ49" s="23" t="n">
        <x:f>IF(R49&lt;30000,AF49,0)</x:f>
        <x:v>0</x:v>
      </x:c>
      <x:c r="AK49" s="460" t="n">
        <x:f>IF(P49&gt;0,AF49*S49,0)</x:f>
        <x:v>0</x:v>
      </x:c>
    </x:row>
    <x:row r="50" ht="22" customHeight="1">
      <x:c r="A50" s="643" t="str">
        <x:v>保守</x:v>
      </x:c>
      <x:c r="B50" s="648" t="n">
        <x:f>'114_降本系数'!B26</x:f>
        <x:v>0.35</x:v>
      </x:c>
      <x:c r="C50" s="643" t="str">
        <x:v>L0</x:v>
      </x:c>
      <x:c r="D50" s="648" t="n">
        <x:f>'130_联合算法'!C16</x:f>
        <x:v>0.6</x:v>
      </x:c>
      <x:c r="E50" s="647" t="n">
        <x:f>'117_价格概率传导'!A9</x:f>
        <x:v>239900</x:v>
      </x:c>
      <x:c r="F50" s="648" t="n">
        <x:f>'117_价格概率传导'!C9</x:f>
        <x:v>0.26</x:v>
      </x:c>
      <x:c r="G50" s="648" t="n">
        <x:f>SUM('117_价格概率传导'!$C$6:$C$8)</x:f>
        <x:v>0.67</x:v>
      </x:c>
      <x:c r="H50" s="648" t="n">
        <x:f>SUM('117_价格概率传导'!$C$6:$C$9)</x:f>
        <x:v>0.93</x:v>
      </x:c>
      <x:c r="I50" s="647" t="n">
        <x:f>'117_价格概率传导'!A17</x:f>
        <x:v>293900</x:v>
      </x:c>
      <x:c r="J50" s="648" t="n">
        <x:f>'117_价格概率传导'!C17</x:f>
        <x:v>0.06</x:v>
      </x:c>
      <x:c r="K50" s="648" t="n">
        <x:f>SUM('117_价格概率传导'!$C$16:$C$16)</x:f>
        <x:v>0.05</x:v>
      </x:c>
      <x:c r="L50" s="648" t="n">
        <x:f>SUM('117_价格概率传导'!$C$16:$C$17)</x:f>
        <x:v>0.11</x:v>
      </x:c>
      <x:c r="M50" s="648" t="n">
        <x:f>MAX(0,MIN(H50,L50)-MAX(G50,K50))</x:f>
        <x:v>0</x:v>
      </x:c>
      <x:c r="N50" s="648" t="n">
        <x:f>B50*D50*M50</x:f>
        <x:v>0</x:v>
      </x:c>
      <x:c r="O50" s="647" t="n">
        <x:f>I50</x:f>
        <x:v>293900</x:v>
      </x:c>
      <x:c r="P50" s="647" t="str">
        <x:f>""</x:f>
      </x:c>
      <x:c r="Q50" s="647" t="str">
        <x:f>""</x:f>
      </x:c>
      <x:c r="R50" s="647" t="n">
        <x:f>O50-E50</x:f>
        <x:v>54000</x:v>
      </x:c>
      <x:c r="S50" s="647" t="str">
        <x:f>IF(P50&gt;0,P50-E50,"")</x:f>
      </x:c>
      <x:c r="T50" s="647" t="str">
        <x:f>IF(Q50&gt;0,Q50-E50,"")</x:f>
      </x:c>
      <x:c r="U50" s="648" t="n">
        <x:f>IF(R50&lt;30000,N50,0)</x:f>
        <x:v>0</x:v>
      </x:c>
      <x:c r="V50" s="648" t="n">
        <x:f>IF(P50&gt;0,N50,0)</x:f>
        <x:v>0</x:v>
      </x:c>
      <x:c r="W50" s="648" t="n">
        <x:f>IF(AND(P50&gt;0,S50&lt;0),N50,0)</x:f>
        <x:v>0</x:v>
      </x:c>
      <x:c r="X50" s="648" t="n">
        <x:f>IF(AND(P50&gt;0,S50=0),N50,0)</x:f>
        <x:v>0</x:v>
      </x:c>
      <x:c r="Y50" s="648" t="n">
        <x:f>IF(Q50&gt;0,N50,0)</x:f>
        <x:v>0</x:v>
      </x:c>
      <x:c r="Z50" s="647" t="n">
        <x:f>IF(P50&gt;0,N50*S50,0)</x:f>
        <x:v>0</x:v>
      </x:c>
      <x:c r="AA50" s="647" t="n">
        <x:f>IF(Q50&gt;0,N50*T50,0)</x:f>
        <x:v>0</x:v>
      </x:c>
      <x:c r="AB50" s="647" t="n">
        <x:f>N50*R50</x:f>
        <x:v>0</x:v>
      </x:c>
      <x:c r="AC50" s="647" t="n">
        <x:f>IF(N50&gt;0,R50,999999)</x:f>
        <x:v>999999</x:v>
      </x:c>
      <x:c r="AD50" s="647" t="n">
        <x:f>IF(AND(N50&gt;0,P50&gt;0),S50,999999)</x:f>
        <x:v>999999</x:v>
      </x:c>
      <x:c r="AE50" s="647" t="n">
        <x:f>IF(AND(N50&gt;0,Q50&gt;0),T50,999999)</x:f>
        <x:v>999999</x:v>
      </x:c>
      <x:c r="AF50" s="648" t="n">
        <x:f>B50*D50*F50*J50</x:f>
        <x:v>0.003276</x:v>
      </x:c>
      <x:c r="AG50" s="648" t="n">
        <x:f>IF(P50&gt;0,AF50,0)</x:f>
        <x:v>0</x:v>
      </x:c>
      <x:c r="AH50" s="648" t="n">
        <x:f>IF(AND(P50&gt;0,S50&lt;0),AF50,0)</x:f>
        <x:v>0</x:v>
      </x:c>
      <x:c r="AI50" s="648" t="n">
        <x:f>IF(AND(P50&gt;0,S50=0),AF50,0)</x:f>
        <x:v>0</x:v>
      </x:c>
      <x:c r="AJ50" s="648" t="n">
        <x:f>IF(R50&lt;30000,AF50,0)</x:f>
        <x:v>0</x:v>
      </x:c>
      <x:c r="AK50" s="647" t="n">
        <x:f>IF(P50&gt;0,AF50*S50,0)</x:f>
        <x:v>0</x:v>
      </x:c>
    </x:row>
    <x:row r="51" ht="22" customHeight="1">
      <x:c r="A51" s="19" t="str">
        <x:v>保守</x:v>
      </x:c>
      <x:c r="B51" s="23" t="n">
        <x:f>'114_降本系数'!B26</x:f>
        <x:v>0.35</x:v>
      </x:c>
      <x:c r="C51" s="19" t="str">
        <x:v>L0</x:v>
      </x:c>
      <x:c r="D51" s="23" t="n">
        <x:f>'130_联合算法'!C16</x:f>
        <x:v>0.6</x:v>
      </x:c>
      <x:c r="E51" s="460" t="n">
        <x:f>'117_价格概率传导'!A9</x:f>
        <x:v>239900</x:v>
      </x:c>
      <x:c r="F51" s="23" t="n">
        <x:f>'117_价格概率传导'!C9</x:f>
        <x:v>0.26</x:v>
      </x:c>
      <x:c r="G51" s="23" t="n">
        <x:f>SUM('117_价格概率传导'!$C$6:$C$8)</x:f>
        <x:v>0.67</x:v>
      </x:c>
      <x:c r="H51" s="23" t="n">
        <x:f>SUM('117_价格概率传导'!$C$6:$C$9)</x:f>
        <x:v>0.93</x:v>
      </x:c>
      <x:c r="I51" s="460" t="n">
        <x:f>'117_价格概率传导'!A18</x:f>
        <x:v>289900</x:v>
      </x:c>
      <x:c r="J51" s="23" t="n">
        <x:f>'117_价格概率传导'!C18</x:f>
        <x:v>0.34</x:v>
      </x:c>
      <x:c r="K51" s="23" t="n">
        <x:f>SUM('117_价格概率传导'!$C$16:$C$17)</x:f>
        <x:v>0.11</x:v>
      </x:c>
      <x:c r="L51" s="23" t="n">
        <x:f>SUM('117_价格概率传导'!$C$16:$C$18)</x:f>
        <x:v>0.45</x:v>
      </x:c>
      <x:c r="M51" s="23" t="n">
        <x:f>MAX(0,MIN(H51,L51)-MAX(G51,K51))</x:f>
        <x:v>0</x:v>
      </x:c>
      <x:c r="N51" s="23" t="n">
        <x:f>B51*D51*M51</x:f>
        <x:v>0</x:v>
      </x:c>
      <x:c r="O51" s="460" t="n">
        <x:f>I51</x:f>
        <x:v>289900</x:v>
      </x:c>
      <x:c r="P51" s="460" t="str">
        <x:f>""</x:f>
      </x:c>
      <x:c r="Q51" s="460" t="str">
        <x:f>""</x:f>
      </x:c>
      <x:c r="R51" s="460" t="n">
        <x:f>O51-E51</x:f>
        <x:v>50000</x:v>
      </x:c>
      <x:c r="S51" s="460" t="str">
        <x:f>IF(P51&gt;0,P51-E51,"")</x:f>
      </x:c>
      <x:c r="T51" s="460" t="str">
        <x:f>IF(Q51&gt;0,Q51-E51,"")</x:f>
      </x:c>
      <x:c r="U51" s="23" t="n">
        <x:f>IF(R51&lt;30000,N51,0)</x:f>
        <x:v>0</x:v>
      </x:c>
      <x:c r="V51" s="23" t="n">
        <x:f>IF(P51&gt;0,N51,0)</x:f>
        <x:v>0</x:v>
      </x:c>
      <x:c r="W51" s="23" t="n">
        <x:f>IF(AND(P51&gt;0,S51&lt;0),N51,0)</x:f>
        <x:v>0</x:v>
      </x:c>
      <x:c r="X51" s="23" t="n">
        <x:f>IF(AND(P51&gt;0,S51=0),N51,0)</x:f>
        <x:v>0</x:v>
      </x:c>
      <x:c r="Y51" s="23" t="n">
        <x:f>IF(Q51&gt;0,N51,0)</x:f>
        <x:v>0</x:v>
      </x:c>
      <x:c r="Z51" s="460" t="n">
        <x:f>IF(P51&gt;0,N51*S51,0)</x:f>
        <x:v>0</x:v>
      </x:c>
      <x:c r="AA51" s="460" t="n">
        <x:f>IF(Q51&gt;0,N51*T51,0)</x:f>
        <x:v>0</x:v>
      </x:c>
      <x:c r="AB51" s="460" t="n">
        <x:f>N51*R51</x:f>
        <x:v>0</x:v>
      </x:c>
      <x:c r="AC51" s="460" t="n">
        <x:f>IF(N51&gt;0,R51,999999)</x:f>
        <x:v>999999</x:v>
      </x:c>
      <x:c r="AD51" s="460" t="n">
        <x:f>IF(AND(N51&gt;0,P51&gt;0),S51,999999)</x:f>
        <x:v>999999</x:v>
      </x:c>
      <x:c r="AE51" s="460" t="n">
        <x:f>IF(AND(N51&gt;0,Q51&gt;0),T51,999999)</x:f>
        <x:v>999999</x:v>
      </x:c>
      <x:c r="AF51" s="23" t="n">
        <x:f>B51*D51*F51*J51</x:f>
        <x:v>0.018564</x:v>
      </x:c>
      <x:c r="AG51" s="23" t="n">
        <x:f>IF(P51&gt;0,AF51,0)</x:f>
        <x:v>0</x:v>
      </x:c>
      <x:c r="AH51" s="23" t="n">
        <x:f>IF(AND(P51&gt;0,S51&lt;0),AF51,0)</x:f>
        <x:v>0</x:v>
      </x:c>
      <x:c r="AI51" s="23" t="n">
        <x:f>IF(AND(P51&gt;0,S51=0),AF51,0)</x:f>
        <x:v>0</x:v>
      </x:c>
      <x:c r="AJ51" s="23" t="n">
        <x:f>IF(R51&lt;30000,AF51,0)</x:f>
        <x:v>0</x:v>
      </x:c>
      <x:c r="AK51" s="460" t="n">
        <x:f>IF(P51&gt;0,AF51*S51,0)</x:f>
        <x:v>0</x:v>
      </x:c>
    </x:row>
    <x:row r="52" ht="22" customHeight="1">
      <x:c r="A52" s="643" t="str">
        <x:v>保守</x:v>
      </x:c>
      <x:c r="B52" s="648" t="n">
        <x:f>'114_降本系数'!B26</x:f>
        <x:v>0.35</x:v>
      </x:c>
      <x:c r="C52" s="643" t="str">
        <x:v>L0</x:v>
      </x:c>
      <x:c r="D52" s="648" t="n">
        <x:f>'130_联合算法'!C16</x:f>
        <x:v>0.6</x:v>
      </x:c>
      <x:c r="E52" s="647" t="n">
        <x:f>'117_价格概率传导'!A9</x:f>
        <x:v>239900</x:v>
      </x:c>
      <x:c r="F52" s="648" t="n">
        <x:f>'117_价格概率传导'!C9</x:f>
        <x:v>0.26</x:v>
      </x:c>
      <x:c r="G52" s="648" t="n">
        <x:f>SUM('117_价格概率传导'!$C$6:$C$8)</x:f>
        <x:v>0.67</x:v>
      </x:c>
      <x:c r="H52" s="648" t="n">
        <x:f>SUM('117_价格概率传导'!$C$6:$C$9)</x:f>
        <x:v>0.93</x:v>
      </x:c>
      <x:c r="I52" s="647" t="n">
        <x:f>'117_价格概率传导'!A19</x:f>
        <x:v>279900</x:v>
      </x:c>
      <x:c r="J52" s="648" t="n">
        <x:f>'117_价格概率传导'!C19</x:f>
        <x:v>0.39</x:v>
      </x:c>
      <x:c r="K52" s="648" t="n">
        <x:f>SUM('117_价格概率传导'!$C$16:$C$18)</x:f>
        <x:v>0.45</x:v>
      </x:c>
      <x:c r="L52" s="648" t="n">
        <x:f>SUM('117_价格概率传导'!$C$16:$C$19)</x:f>
        <x:v>0.8400000000000001</x:v>
      </x:c>
      <x:c r="M52" s="648" t="n">
        <x:f>MAX(0,MIN(H52,L52)-MAX(G52,K52))</x:f>
        <x:v>0.17000000000000004</x:v>
      </x:c>
      <x:c r="N52" s="648" t="n">
        <x:f>B52*D52*M52</x:f>
        <x:v>0.03570000000000001</x:v>
      </x:c>
      <x:c r="O52" s="647" t="n">
        <x:f>I52</x:f>
        <x:v>279900</x:v>
      </x:c>
      <x:c r="P52" s="647" t="str">
        <x:f>""</x:f>
      </x:c>
      <x:c r="Q52" s="647" t="str">
        <x:f>""</x:f>
      </x:c>
      <x:c r="R52" s="647" t="n">
        <x:f>O52-E52</x:f>
        <x:v>40000</x:v>
      </x:c>
      <x:c r="S52" s="647" t="str">
        <x:f>IF(P52&gt;0,P52-E52,"")</x:f>
      </x:c>
      <x:c r="T52" s="647" t="str">
        <x:f>IF(Q52&gt;0,Q52-E52,"")</x:f>
      </x:c>
      <x:c r="U52" s="648" t="n">
        <x:f>IF(R52&lt;30000,N52,0)</x:f>
        <x:v>0</x:v>
      </x:c>
      <x:c r="V52" s="648" t="n">
        <x:f>IF(P52&gt;0,N52,0)</x:f>
        <x:v>0</x:v>
      </x:c>
      <x:c r="W52" s="648" t="n">
        <x:f>IF(AND(P52&gt;0,S52&lt;0),N52,0)</x:f>
        <x:v>0</x:v>
      </x:c>
      <x:c r="X52" s="648" t="n">
        <x:f>IF(AND(P52&gt;0,S52=0),N52,0)</x:f>
        <x:v>0</x:v>
      </x:c>
      <x:c r="Y52" s="648" t="n">
        <x:f>IF(Q52&gt;0,N52,0)</x:f>
        <x:v>0</x:v>
      </x:c>
      <x:c r="Z52" s="647" t="n">
        <x:f>IF(P52&gt;0,N52*S52,0)</x:f>
        <x:v>0</x:v>
      </x:c>
      <x:c r="AA52" s="647" t="n">
        <x:f>IF(Q52&gt;0,N52*T52,0)</x:f>
        <x:v>0</x:v>
      </x:c>
      <x:c r="AB52" s="647" t="n">
        <x:f>N52*R52</x:f>
        <x:v>1428.0000000000005</x:v>
      </x:c>
      <x:c r="AC52" s="647" t="n">
        <x:f>IF(N52&gt;0,R52,999999)</x:f>
        <x:v>40000</x:v>
      </x:c>
      <x:c r="AD52" s="647" t="n">
        <x:f>IF(AND(N52&gt;0,P52&gt;0),S52,999999)</x:f>
        <x:v>999999</x:v>
      </x:c>
      <x:c r="AE52" s="647" t="n">
        <x:f>IF(AND(N52&gt;0,Q52&gt;0),T52,999999)</x:f>
        <x:v>999999</x:v>
      </x:c>
      <x:c r="AF52" s="648" t="n">
        <x:f>B52*D52*F52*J52</x:f>
        <x:v>0.021294</x:v>
      </x:c>
      <x:c r="AG52" s="648" t="n">
        <x:f>IF(P52&gt;0,AF52,0)</x:f>
        <x:v>0</x:v>
      </x:c>
      <x:c r="AH52" s="648" t="n">
        <x:f>IF(AND(P52&gt;0,S52&lt;0),AF52,0)</x:f>
        <x:v>0</x:v>
      </x:c>
      <x:c r="AI52" s="648" t="n">
        <x:f>IF(AND(P52&gt;0,S52=0),AF52,0)</x:f>
        <x:v>0</x:v>
      </x:c>
      <x:c r="AJ52" s="648" t="n">
        <x:f>IF(R52&lt;30000,AF52,0)</x:f>
        <x:v>0</x:v>
      </x:c>
      <x:c r="AK52" s="647" t="n">
        <x:f>IF(P52&gt;0,AF52*S52,0)</x:f>
        <x:v>0</x:v>
      </x:c>
    </x:row>
    <x:row r="53" ht="22" customHeight="1">
      <x:c r="A53" s="19" t="str">
        <x:v>保守</x:v>
      </x:c>
      <x:c r="B53" s="23" t="n">
        <x:f>'114_降本系数'!B26</x:f>
        <x:v>0.35</x:v>
      </x:c>
      <x:c r="C53" s="19" t="str">
        <x:v>L0</x:v>
      </x:c>
      <x:c r="D53" s="23" t="n">
        <x:f>'130_联合算法'!C16</x:f>
        <x:v>0.6</x:v>
      </x:c>
      <x:c r="E53" s="460" t="n">
        <x:f>'117_价格概率传导'!A9</x:f>
        <x:v>239900</x:v>
      </x:c>
      <x:c r="F53" s="23" t="n">
        <x:f>'117_价格概率传导'!C9</x:f>
        <x:v>0.26</x:v>
      </x:c>
      <x:c r="G53" s="23" t="n">
        <x:f>SUM('117_价格概率传导'!$C$6:$C$8)</x:f>
        <x:v>0.67</x:v>
      </x:c>
      <x:c r="H53" s="23" t="n">
        <x:f>SUM('117_价格概率传导'!$C$6:$C$9)</x:f>
        <x:v>0.93</x:v>
      </x:c>
      <x:c r="I53" s="460" t="n">
        <x:f>'117_价格概率传导'!A20</x:f>
        <x:v>269900</x:v>
      </x:c>
      <x:c r="J53" s="23" t="n">
        <x:f>'117_价格概率传导'!C20</x:f>
        <x:v>0.13</x:v>
      </x:c>
      <x:c r="K53" s="23" t="n">
        <x:f>SUM('117_价格概率传导'!$C$16:$C$19)</x:f>
        <x:v>0.8400000000000001</x:v>
      </x:c>
      <x:c r="L53" s="23" t="n">
        <x:f>SUM('117_价格概率传导'!$C$16:$C$20)</x:f>
        <x:v>0.9700000000000001</x:v>
      </x:c>
      <x:c r="M53" s="23" t="n">
        <x:f>MAX(0,MIN(H53,L53)-MAX(G53,K53))</x:f>
        <x:v>0.08999999999999997</x:v>
      </x:c>
      <x:c r="N53" s="23" t="n">
        <x:f>B53*D53*M53</x:f>
        <x:v>0.018899999999999993</x:v>
      </x:c>
      <x:c r="O53" s="460" t="n">
        <x:f>I53</x:f>
        <x:v>269900</x:v>
      </x:c>
      <x:c r="P53" s="460" t="str">
        <x:f>""</x:f>
      </x:c>
      <x:c r="Q53" s="460" t="str">
        <x:f>""</x:f>
      </x:c>
      <x:c r="R53" s="460" t="n">
        <x:f>O53-E53</x:f>
        <x:v>30000</x:v>
      </x:c>
      <x:c r="S53" s="460" t="str">
        <x:f>IF(P53&gt;0,P53-E53,"")</x:f>
      </x:c>
      <x:c r="T53" s="460" t="str">
        <x:f>IF(Q53&gt;0,Q53-E53,"")</x:f>
      </x:c>
      <x:c r="U53" s="23" t="n">
        <x:f>IF(R53&lt;30000,N53,0)</x:f>
        <x:v>0</x:v>
      </x:c>
      <x:c r="V53" s="23" t="n">
        <x:f>IF(P53&gt;0,N53,0)</x:f>
        <x:v>0</x:v>
      </x:c>
      <x:c r="W53" s="23" t="n">
        <x:f>IF(AND(P53&gt;0,S53&lt;0),N53,0)</x:f>
        <x:v>0</x:v>
      </x:c>
      <x:c r="X53" s="23" t="n">
        <x:f>IF(AND(P53&gt;0,S53=0),N53,0)</x:f>
        <x:v>0</x:v>
      </x:c>
      <x:c r="Y53" s="23" t="n">
        <x:f>IF(Q53&gt;0,N53,0)</x:f>
        <x:v>0</x:v>
      </x:c>
      <x:c r="Z53" s="460" t="n">
        <x:f>IF(P53&gt;0,N53*S53,0)</x:f>
        <x:v>0</x:v>
      </x:c>
      <x:c r="AA53" s="460" t="n">
        <x:f>IF(Q53&gt;0,N53*T53,0)</x:f>
        <x:v>0</x:v>
      </x:c>
      <x:c r="AB53" s="460" t="n">
        <x:f>N53*R53</x:f>
        <x:v>566.9999999999998</x:v>
      </x:c>
      <x:c r="AC53" s="460" t="n">
        <x:f>IF(N53&gt;0,R53,999999)</x:f>
        <x:v>30000</x:v>
      </x:c>
      <x:c r="AD53" s="460" t="n">
        <x:f>IF(AND(N53&gt;0,P53&gt;0),S53,999999)</x:f>
        <x:v>999999</x:v>
      </x:c>
      <x:c r="AE53" s="460" t="n">
        <x:f>IF(AND(N53&gt;0,Q53&gt;0),T53,999999)</x:f>
        <x:v>999999</x:v>
      </x:c>
      <x:c r="AF53" s="23" t="n">
        <x:f>B53*D53*F53*J53</x:f>
        <x:v>0.007098000000000001</x:v>
      </x:c>
      <x:c r="AG53" s="23" t="n">
        <x:f>IF(P53&gt;0,AF53,0)</x:f>
        <x:v>0</x:v>
      </x:c>
      <x:c r="AH53" s="23" t="n">
        <x:f>IF(AND(P53&gt;0,S53&lt;0),AF53,0)</x:f>
        <x:v>0</x:v>
      </x:c>
      <x:c r="AI53" s="23" t="n">
        <x:f>IF(AND(P53&gt;0,S53=0),AF53,0)</x:f>
        <x:v>0</x:v>
      </x:c>
      <x:c r="AJ53" s="23" t="n">
        <x:f>IF(R53&lt;30000,AF53,0)</x:f>
        <x:v>0</x:v>
      </x:c>
      <x:c r="AK53" s="460" t="n">
        <x:f>IF(P53&gt;0,AF53*S53,0)</x:f>
        <x:v>0</x:v>
      </x:c>
    </x:row>
    <x:row r="54" ht="22" customHeight="1">
      <x:c r="A54" s="643" t="str">
        <x:v>保守</x:v>
      </x:c>
      <x:c r="B54" s="648" t="n">
        <x:f>'114_降本系数'!B26</x:f>
        <x:v>0.35</x:v>
      </x:c>
      <x:c r="C54" s="643" t="str">
        <x:v>L0</x:v>
      </x:c>
      <x:c r="D54" s="648" t="n">
        <x:f>'130_联合算法'!C16</x:f>
        <x:v>0.6</x:v>
      </x:c>
      <x:c r="E54" s="647" t="n">
        <x:f>'117_价格概率传导'!A9</x:f>
        <x:v>239900</x:v>
      </x:c>
      <x:c r="F54" s="648" t="n">
        <x:f>'117_价格概率传导'!C9</x:f>
        <x:v>0.26</x:v>
      </x:c>
      <x:c r="G54" s="648" t="n">
        <x:f>SUM('117_价格概率传导'!$C$6:$C$8)</x:f>
        <x:v>0.67</x:v>
      </x:c>
      <x:c r="H54" s="648" t="n">
        <x:f>SUM('117_价格概率传导'!$C$6:$C$9)</x:f>
        <x:v>0.93</x:v>
      </x:c>
      <x:c r="I54" s="647" t="n">
        <x:f>'117_价格概率传导'!A21</x:f>
        <x:v>259900</x:v>
      </x:c>
      <x:c r="J54" s="648" t="n">
        <x:f>'117_价格概率传导'!C21</x:f>
        <x:v>0.03</x:v>
      </x:c>
      <x:c r="K54" s="648" t="n">
        <x:f>SUM('117_价格概率传导'!$C$16:$C$20)</x:f>
        <x:v>0.9700000000000001</x:v>
      </x:c>
      <x:c r="L54" s="648" t="n">
        <x:f>SUM('117_价格概率传导'!$C$16:$C$21)</x:f>
        <x:v>1</x:v>
      </x:c>
      <x:c r="M54" s="648" t="n">
        <x:f>MAX(0,MIN(H54,L54)-MAX(G54,K54))</x:f>
        <x:v>0</x:v>
      </x:c>
      <x:c r="N54" s="648" t="n">
        <x:f>B54*D54*M54</x:f>
        <x:v>0</x:v>
      </x:c>
      <x:c r="O54" s="647" t="n">
        <x:f>I54</x:f>
        <x:v>259900</x:v>
      </x:c>
      <x:c r="P54" s="647" t="str">
        <x:f>""</x:f>
      </x:c>
      <x:c r="Q54" s="647" t="str">
        <x:f>""</x:f>
      </x:c>
      <x:c r="R54" s="647" t="n">
        <x:f>O54-E54</x:f>
        <x:v>20000</x:v>
      </x:c>
      <x:c r="S54" s="647" t="str">
        <x:f>IF(P54&gt;0,P54-E54,"")</x:f>
      </x:c>
      <x:c r="T54" s="647" t="str">
        <x:f>IF(Q54&gt;0,Q54-E54,"")</x:f>
      </x:c>
      <x:c r="U54" s="648" t="n">
        <x:f>IF(R54&lt;30000,N54,0)</x:f>
        <x:v>0</x:v>
      </x:c>
      <x:c r="V54" s="648" t="n">
        <x:f>IF(P54&gt;0,N54,0)</x:f>
        <x:v>0</x:v>
      </x:c>
      <x:c r="W54" s="648" t="n">
        <x:f>IF(AND(P54&gt;0,S54&lt;0),N54,0)</x:f>
        <x:v>0</x:v>
      </x:c>
      <x:c r="X54" s="648" t="n">
        <x:f>IF(AND(P54&gt;0,S54=0),N54,0)</x:f>
        <x:v>0</x:v>
      </x:c>
      <x:c r="Y54" s="648" t="n">
        <x:f>IF(Q54&gt;0,N54,0)</x:f>
        <x:v>0</x:v>
      </x:c>
      <x:c r="Z54" s="647" t="n">
        <x:f>IF(P54&gt;0,N54*S54,0)</x:f>
        <x:v>0</x:v>
      </x:c>
      <x:c r="AA54" s="647" t="n">
        <x:f>IF(Q54&gt;0,N54*T54,0)</x:f>
        <x:v>0</x:v>
      </x:c>
      <x:c r="AB54" s="647" t="n">
        <x:f>N54*R54</x:f>
        <x:v>0</x:v>
      </x:c>
      <x:c r="AC54" s="647" t="n">
        <x:f>IF(N54&gt;0,R54,999999)</x:f>
        <x:v>999999</x:v>
      </x:c>
      <x:c r="AD54" s="647" t="n">
        <x:f>IF(AND(N54&gt;0,P54&gt;0),S54,999999)</x:f>
        <x:v>999999</x:v>
      </x:c>
      <x:c r="AE54" s="647" t="n">
        <x:f>IF(AND(N54&gt;0,Q54&gt;0),T54,999999)</x:f>
        <x:v>999999</x:v>
      </x:c>
      <x:c r="AF54" s="648" t="n">
        <x:f>B54*D54*F54*J54</x:f>
        <x:v>0.001638</x:v>
      </x:c>
      <x:c r="AG54" s="648" t="n">
        <x:f>IF(P54&gt;0,AF54,0)</x:f>
        <x:v>0</x:v>
      </x:c>
      <x:c r="AH54" s="648" t="n">
        <x:f>IF(AND(P54&gt;0,S54&lt;0),AF54,0)</x:f>
        <x:v>0</x:v>
      </x:c>
      <x:c r="AI54" s="648" t="n">
        <x:f>IF(AND(P54&gt;0,S54=0),AF54,0)</x:f>
        <x:v>0</x:v>
      </x:c>
      <x:c r="AJ54" s="648" t="n">
        <x:f>IF(R54&lt;30000,AF54,0)</x:f>
        <x:v>0.001638</x:v>
      </x:c>
      <x:c r="AK54" s="647" t="n">
        <x:f>IF(P54&gt;0,AF54*S54,0)</x:f>
        <x:v>0</x:v>
      </x:c>
    </x:row>
    <x:row r="55" ht="22" customHeight="1">
      <x:c r="A55" s="19" t="str">
        <x:v>保守</x:v>
      </x:c>
      <x:c r="B55" s="23" t="n">
        <x:f>'114_降本系数'!B26</x:f>
        <x:v>0.35</x:v>
      </x:c>
      <x:c r="C55" s="19" t="str">
        <x:v>L0</x:v>
      </x:c>
      <x:c r="D55" s="23" t="n">
        <x:f>'130_联合算法'!C16</x:f>
        <x:v>0.6</x:v>
      </x:c>
      <x:c r="E55" s="460" t="n">
        <x:f>'117_价格概率传导'!A10</x:f>
        <x:v>229900</x:v>
      </x:c>
      <x:c r="F55" s="23" t="n">
        <x:f>'117_价格概率传导'!C10</x:f>
        <x:v>0.06</x:v>
      </x:c>
      <x:c r="G55" s="23" t="n">
        <x:f>SUM('117_价格概率传导'!$C$6:$C$9)</x:f>
        <x:v>0.93</x:v>
      </x:c>
      <x:c r="H55" s="23" t="n">
        <x:f>SUM('117_价格概率传导'!$C$6:$C$10)</x:f>
        <x:v>0.99</x:v>
      </x:c>
      <x:c r="I55" s="460" t="n">
        <x:f>'117_价格概率传导'!A16</x:f>
        <x:v>299900</x:v>
      </x:c>
      <x:c r="J55" s="23" t="n">
        <x:f>'117_价格概率传导'!C16</x:f>
        <x:v>0.05</x:v>
      </x:c>
      <x:c r="K55" s="23" t="n">
        <x:f>0</x:f>
        <x:v>0</x:v>
      </x:c>
      <x:c r="L55" s="23" t="n">
        <x:f>SUM('117_价格概率传导'!$C$16:$C$16)</x:f>
        <x:v>0.05</x:v>
      </x:c>
      <x:c r="M55" s="23" t="n">
        <x:f>MAX(0,MIN(H55,L55)-MAX(G55,K55))</x:f>
        <x:v>0</x:v>
      </x:c>
      <x:c r="N55" s="23" t="n">
        <x:f>B55*D55*M55</x:f>
        <x:v>0</x:v>
      </x:c>
      <x:c r="O55" s="460" t="n">
        <x:f>I55</x:f>
        <x:v>299900</x:v>
      </x:c>
      <x:c r="P55" s="460" t="str">
        <x:f>""</x:f>
      </x:c>
      <x:c r="Q55" s="460" t="str">
        <x:f>""</x:f>
      </x:c>
      <x:c r="R55" s="460" t="n">
        <x:f>O55-E55</x:f>
        <x:v>70000</x:v>
      </x:c>
      <x:c r="S55" s="460" t="str">
        <x:f>IF(P55&gt;0,P55-E55,"")</x:f>
      </x:c>
      <x:c r="T55" s="460" t="str">
        <x:f>IF(Q55&gt;0,Q55-E55,"")</x:f>
      </x:c>
      <x:c r="U55" s="23" t="n">
        <x:f>IF(R55&lt;30000,N55,0)</x:f>
        <x:v>0</x:v>
      </x:c>
      <x:c r="V55" s="23" t="n">
        <x:f>IF(P55&gt;0,N55,0)</x:f>
        <x:v>0</x:v>
      </x:c>
      <x:c r="W55" s="23" t="n">
        <x:f>IF(AND(P55&gt;0,S55&lt;0),N55,0)</x:f>
        <x:v>0</x:v>
      </x:c>
      <x:c r="X55" s="23" t="n">
        <x:f>IF(AND(P55&gt;0,S55=0),N55,0)</x:f>
        <x:v>0</x:v>
      </x:c>
      <x:c r="Y55" s="23" t="n">
        <x:f>IF(Q55&gt;0,N55,0)</x:f>
        <x:v>0</x:v>
      </x:c>
      <x:c r="Z55" s="460" t="n">
        <x:f>IF(P55&gt;0,N55*S55,0)</x:f>
        <x:v>0</x:v>
      </x:c>
      <x:c r="AA55" s="460" t="n">
        <x:f>IF(Q55&gt;0,N55*T55,0)</x:f>
        <x:v>0</x:v>
      </x:c>
      <x:c r="AB55" s="460" t="n">
        <x:f>N55*R55</x:f>
        <x:v>0</x:v>
      </x:c>
      <x:c r="AC55" s="460" t="n">
        <x:f>IF(N55&gt;0,R55,999999)</x:f>
        <x:v>999999</x:v>
      </x:c>
      <x:c r="AD55" s="460" t="n">
        <x:f>IF(AND(N55&gt;0,P55&gt;0),S55,999999)</x:f>
        <x:v>999999</x:v>
      </x:c>
      <x:c r="AE55" s="460" t="n">
        <x:f>IF(AND(N55&gt;0,Q55&gt;0),T55,999999)</x:f>
        <x:v>999999</x:v>
      </x:c>
      <x:c r="AF55" s="23" t="n">
        <x:f>B55*D55*F55*J55</x:f>
        <x:v>0.0006299999999999999</x:v>
      </x:c>
      <x:c r="AG55" s="23" t="n">
        <x:f>IF(P55&gt;0,AF55,0)</x:f>
        <x:v>0</x:v>
      </x:c>
      <x:c r="AH55" s="23" t="n">
        <x:f>IF(AND(P55&gt;0,S55&lt;0),AF55,0)</x:f>
        <x:v>0</x:v>
      </x:c>
      <x:c r="AI55" s="23" t="n">
        <x:f>IF(AND(P55&gt;0,S55=0),AF55,0)</x:f>
        <x:v>0</x:v>
      </x:c>
      <x:c r="AJ55" s="23" t="n">
        <x:f>IF(R55&lt;30000,AF55,0)</x:f>
        <x:v>0</x:v>
      </x:c>
      <x:c r="AK55" s="460" t="n">
        <x:f>IF(P55&gt;0,AF55*S55,0)</x:f>
        <x:v>0</x:v>
      </x:c>
    </x:row>
    <x:row r="56" ht="22" customHeight="1">
      <x:c r="A56" s="643" t="str">
        <x:v>保守</x:v>
      </x:c>
      <x:c r="B56" s="648" t="n">
        <x:f>'114_降本系数'!B26</x:f>
        <x:v>0.35</x:v>
      </x:c>
      <x:c r="C56" s="643" t="str">
        <x:v>L0</x:v>
      </x:c>
      <x:c r="D56" s="648" t="n">
        <x:f>'130_联合算法'!C16</x:f>
        <x:v>0.6</x:v>
      </x:c>
      <x:c r="E56" s="647" t="n">
        <x:f>'117_价格概率传导'!A10</x:f>
        <x:v>229900</x:v>
      </x:c>
      <x:c r="F56" s="648" t="n">
        <x:f>'117_价格概率传导'!C10</x:f>
        <x:v>0.06</x:v>
      </x:c>
      <x:c r="G56" s="648" t="n">
        <x:f>SUM('117_价格概率传导'!$C$6:$C$9)</x:f>
        <x:v>0.93</x:v>
      </x:c>
      <x:c r="H56" s="648" t="n">
        <x:f>SUM('117_价格概率传导'!$C$6:$C$10)</x:f>
        <x:v>0.99</x:v>
      </x:c>
      <x:c r="I56" s="647" t="n">
        <x:f>'117_价格概率传导'!A17</x:f>
        <x:v>293900</x:v>
      </x:c>
      <x:c r="J56" s="648" t="n">
        <x:f>'117_价格概率传导'!C17</x:f>
        <x:v>0.06</x:v>
      </x:c>
      <x:c r="K56" s="648" t="n">
        <x:f>SUM('117_价格概率传导'!$C$16:$C$16)</x:f>
        <x:v>0.05</x:v>
      </x:c>
      <x:c r="L56" s="648" t="n">
        <x:f>SUM('117_价格概率传导'!$C$16:$C$17)</x:f>
        <x:v>0.11</x:v>
      </x:c>
      <x:c r="M56" s="648" t="n">
        <x:f>MAX(0,MIN(H56,L56)-MAX(G56,K56))</x:f>
        <x:v>0</x:v>
      </x:c>
      <x:c r="N56" s="648" t="n">
        <x:f>B56*D56*M56</x:f>
        <x:v>0</x:v>
      </x:c>
      <x:c r="O56" s="647" t="n">
        <x:f>I56</x:f>
        <x:v>293900</x:v>
      </x:c>
      <x:c r="P56" s="647" t="str">
        <x:f>""</x:f>
      </x:c>
      <x:c r="Q56" s="647" t="str">
        <x:f>""</x:f>
      </x:c>
      <x:c r="R56" s="647" t="n">
        <x:f>O56-E56</x:f>
        <x:v>64000</x:v>
      </x:c>
      <x:c r="S56" s="647" t="str">
        <x:f>IF(P56&gt;0,P56-E56,"")</x:f>
      </x:c>
      <x:c r="T56" s="647" t="str">
        <x:f>IF(Q56&gt;0,Q56-E56,"")</x:f>
      </x:c>
      <x:c r="U56" s="648" t="n">
        <x:f>IF(R56&lt;30000,N56,0)</x:f>
        <x:v>0</x:v>
      </x:c>
      <x:c r="V56" s="648" t="n">
        <x:f>IF(P56&gt;0,N56,0)</x:f>
        <x:v>0</x:v>
      </x:c>
      <x:c r="W56" s="648" t="n">
        <x:f>IF(AND(P56&gt;0,S56&lt;0),N56,0)</x:f>
        <x:v>0</x:v>
      </x:c>
      <x:c r="X56" s="648" t="n">
        <x:f>IF(AND(P56&gt;0,S56=0),N56,0)</x:f>
        <x:v>0</x:v>
      </x:c>
      <x:c r="Y56" s="648" t="n">
        <x:f>IF(Q56&gt;0,N56,0)</x:f>
        <x:v>0</x:v>
      </x:c>
      <x:c r="Z56" s="647" t="n">
        <x:f>IF(P56&gt;0,N56*S56,0)</x:f>
        <x:v>0</x:v>
      </x:c>
      <x:c r="AA56" s="647" t="n">
        <x:f>IF(Q56&gt;0,N56*T56,0)</x:f>
        <x:v>0</x:v>
      </x:c>
      <x:c r="AB56" s="647" t="n">
        <x:f>N56*R56</x:f>
        <x:v>0</x:v>
      </x:c>
      <x:c r="AC56" s="647" t="n">
        <x:f>IF(N56&gt;0,R56,999999)</x:f>
        <x:v>999999</x:v>
      </x:c>
      <x:c r="AD56" s="647" t="n">
        <x:f>IF(AND(N56&gt;0,P56&gt;0),S56,999999)</x:f>
        <x:v>999999</x:v>
      </x:c>
      <x:c r="AE56" s="647" t="n">
        <x:f>IF(AND(N56&gt;0,Q56&gt;0),T56,999999)</x:f>
        <x:v>999999</x:v>
      </x:c>
      <x:c r="AF56" s="648" t="n">
        <x:f>B56*D56*F56*J56</x:f>
        <x:v>0.0007559999999999998</x:v>
      </x:c>
      <x:c r="AG56" s="648" t="n">
        <x:f>IF(P56&gt;0,AF56,0)</x:f>
        <x:v>0</x:v>
      </x:c>
      <x:c r="AH56" s="648" t="n">
        <x:f>IF(AND(P56&gt;0,S56&lt;0),AF56,0)</x:f>
        <x:v>0</x:v>
      </x:c>
      <x:c r="AI56" s="648" t="n">
        <x:f>IF(AND(P56&gt;0,S56=0),AF56,0)</x:f>
        <x:v>0</x:v>
      </x:c>
      <x:c r="AJ56" s="648" t="n">
        <x:f>IF(R56&lt;30000,AF56,0)</x:f>
        <x:v>0</x:v>
      </x:c>
      <x:c r="AK56" s="647" t="n">
        <x:f>IF(P56&gt;0,AF56*S56,0)</x:f>
        <x:v>0</x:v>
      </x:c>
    </x:row>
    <x:row r="57" ht="22" customHeight="1">
      <x:c r="A57" s="19" t="str">
        <x:v>保守</x:v>
      </x:c>
      <x:c r="B57" s="23" t="n">
        <x:f>'114_降本系数'!B26</x:f>
        <x:v>0.35</x:v>
      </x:c>
      <x:c r="C57" s="19" t="str">
        <x:v>L0</x:v>
      </x:c>
      <x:c r="D57" s="23" t="n">
        <x:f>'130_联合算法'!C16</x:f>
        <x:v>0.6</x:v>
      </x:c>
      <x:c r="E57" s="460" t="n">
        <x:f>'117_价格概率传导'!A10</x:f>
        <x:v>229900</x:v>
      </x:c>
      <x:c r="F57" s="23" t="n">
        <x:f>'117_价格概率传导'!C10</x:f>
        <x:v>0.06</x:v>
      </x:c>
      <x:c r="G57" s="23" t="n">
        <x:f>SUM('117_价格概率传导'!$C$6:$C$9)</x:f>
        <x:v>0.93</x:v>
      </x:c>
      <x:c r="H57" s="23" t="n">
        <x:f>SUM('117_价格概率传导'!$C$6:$C$10)</x:f>
        <x:v>0.99</x:v>
      </x:c>
      <x:c r="I57" s="460" t="n">
        <x:f>'117_价格概率传导'!A18</x:f>
        <x:v>289900</x:v>
      </x:c>
      <x:c r="J57" s="23" t="n">
        <x:f>'117_价格概率传导'!C18</x:f>
        <x:v>0.34</x:v>
      </x:c>
      <x:c r="K57" s="23" t="n">
        <x:f>SUM('117_价格概率传导'!$C$16:$C$17)</x:f>
        <x:v>0.11</x:v>
      </x:c>
      <x:c r="L57" s="23" t="n">
        <x:f>SUM('117_价格概率传导'!$C$16:$C$18)</x:f>
        <x:v>0.45</x:v>
      </x:c>
      <x:c r="M57" s="23" t="n">
        <x:f>MAX(0,MIN(H57,L57)-MAX(G57,K57))</x:f>
        <x:v>0</x:v>
      </x:c>
      <x:c r="N57" s="23" t="n">
        <x:f>B57*D57*M57</x:f>
        <x:v>0</x:v>
      </x:c>
      <x:c r="O57" s="460" t="n">
        <x:f>I57</x:f>
        <x:v>289900</x:v>
      </x:c>
      <x:c r="P57" s="460" t="str">
        <x:f>""</x:f>
      </x:c>
      <x:c r="Q57" s="460" t="str">
        <x:f>""</x:f>
      </x:c>
      <x:c r="R57" s="460" t="n">
        <x:f>O57-E57</x:f>
        <x:v>60000</x:v>
      </x:c>
      <x:c r="S57" s="460" t="str">
        <x:f>IF(P57&gt;0,P57-E57,"")</x:f>
      </x:c>
      <x:c r="T57" s="460" t="str">
        <x:f>IF(Q57&gt;0,Q57-E57,"")</x:f>
      </x:c>
      <x:c r="U57" s="23" t="n">
        <x:f>IF(R57&lt;30000,N57,0)</x:f>
        <x:v>0</x:v>
      </x:c>
      <x:c r="V57" s="23" t="n">
        <x:f>IF(P57&gt;0,N57,0)</x:f>
        <x:v>0</x:v>
      </x:c>
      <x:c r="W57" s="23" t="n">
        <x:f>IF(AND(P57&gt;0,S57&lt;0),N57,0)</x:f>
        <x:v>0</x:v>
      </x:c>
      <x:c r="X57" s="23" t="n">
        <x:f>IF(AND(P57&gt;0,S57=0),N57,0)</x:f>
        <x:v>0</x:v>
      </x:c>
      <x:c r="Y57" s="23" t="n">
        <x:f>IF(Q57&gt;0,N57,0)</x:f>
        <x:v>0</x:v>
      </x:c>
      <x:c r="Z57" s="460" t="n">
        <x:f>IF(P57&gt;0,N57*S57,0)</x:f>
        <x:v>0</x:v>
      </x:c>
      <x:c r="AA57" s="460" t="n">
        <x:f>IF(Q57&gt;0,N57*T57,0)</x:f>
        <x:v>0</x:v>
      </x:c>
      <x:c r="AB57" s="460" t="n">
        <x:f>N57*R57</x:f>
        <x:v>0</x:v>
      </x:c>
      <x:c r="AC57" s="460" t="n">
        <x:f>IF(N57&gt;0,R57,999999)</x:f>
        <x:v>999999</x:v>
      </x:c>
      <x:c r="AD57" s="460" t="n">
        <x:f>IF(AND(N57&gt;0,P57&gt;0),S57,999999)</x:f>
        <x:v>999999</x:v>
      </x:c>
      <x:c r="AE57" s="460" t="n">
        <x:f>IF(AND(N57&gt;0,Q57&gt;0),T57,999999)</x:f>
        <x:v>999999</x:v>
      </x:c>
      <x:c r="AF57" s="23" t="n">
        <x:f>B57*D57*F57*J57</x:f>
        <x:v>0.004284</x:v>
      </x:c>
      <x:c r="AG57" s="23" t="n">
        <x:f>IF(P57&gt;0,AF57,0)</x:f>
        <x:v>0</x:v>
      </x:c>
      <x:c r="AH57" s="23" t="n">
        <x:f>IF(AND(P57&gt;0,S57&lt;0),AF57,0)</x:f>
        <x:v>0</x:v>
      </x:c>
      <x:c r="AI57" s="23" t="n">
        <x:f>IF(AND(P57&gt;0,S57=0),AF57,0)</x:f>
        <x:v>0</x:v>
      </x:c>
      <x:c r="AJ57" s="23" t="n">
        <x:f>IF(R57&lt;30000,AF57,0)</x:f>
        <x:v>0</x:v>
      </x:c>
      <x:c r="AK57" s="460" t="n">
        <x:f>IF(P57&gt;0,AF57*S57,0)</x:f>
        <x:v>0</x:v>
      </x:c>
    </x:row>
    <x:row r="58" ht="22" customHeight="1">
      <x:c r="A58" s="643" t="str">
        <x:v>保守</x:v>
      </x:c>
      <x:c r="B58" s="648" t="n">
        <x:f>'114_降本系数'!B26</x:f>
        <x:v>0.35</x:v>
      </x:c>
      <x:c r="C58" s="643" t="str">
        <x:v>L0</x:v>
      </x:c>
      <x:c r="D58" s="648" t="n">
        <x:f>'130_联合算法'!C16</x:f>
        <x:v>0.6</x:v>
      </x:c>
      <x:c r="E58" s="647" t="n">
        <x:f>'117_价格概率传导'!A10</x:f>
        <x:v>229900</x:v>
      </x:c>
      <x:c r="F58" s="648" t="n">
        <x:f>'117_价格概率传导'!C10</x:f>
        <x:v>0.06</x:v>
      </x:c>
      <x:c r="G58" s="648" t="n">
        <x:f>SUM('117_价格概率传导'!$C$6:$C$9)</x:f>
        <x:v>0.93</x:v>
      </x:c>
      <x:c r="H58" s="648" t="n">
        <x:f>SUM('117_价格概率传导'!$C$6:$C$10)</x:f>
        <x:v>0.99</x:v>
      </x:c>
      <x:c r="I58" s="647" t="n">
        <x:f>'117_价格概率传导'!A19</x:f>
        <x:v>279900</x:v>
      </x:c>
      <x:c r="J58" s="648" t="n">
        <x:f>'117_价格概率传导'!C19</x:f>
        <x:v>0.39</x:v>
      </x:c>
      <x:c r="K58" s="648" t="n">
        <x:f>SUM('117_价格概率传导'!$C$16:$C$18)</x:f>
        <x:v>0.45</x:v>
      </x:c>
      <x:c r="L58" s="648" t="n">
        <x:f>SUM('117_价格概率传导'!$C$16:$C$19)</x:f>
        <x:v>0.8400000000000001</x:v>
      </x:c>
      <x:c r="M58" s="648" t="n">
        <x:f>MAX(0,MIN(H58,L58)-MAX(G58,K58))</x:f>
        <x:v>0</x:v>
      </x:c>
      <x:c r="N58" s="648" t="n">
        <x:f>B58*D58*M58</x:f>
        <x:v>0</x:v>
      </x:c>
      <x:c r="O58" s="647" t="n">
        <x:f>I58</x:f>
        <x:v>279900</x:v>
      </x:c>
      <x:c r="P58" s="647" t="str">
        <x:f>""</x:f>
      </x:c>
      <x:c r="Q58" s="647" t="str">
        <x:f>""</x:f>
      </x:c>
      <x:c r="R58" s="647" t="n">
        <x:f>O58-E58</x:f>
        <x:v>50000</x:v>
      </x:c>
      <x:c r="S58" s="647" t="str">
        <x:f>IF(P58&gt;0,P58-E58,"")</x:f>
      </x:c>
      <x:c r="T58" s="647" t="str">
        <x:f>IF(Q58&gt;0,Q58-E58,"")</x:f>
      </x:c>
      <x:c r="U58" s="648" t="n">
        <x:f>IF(R58&lt;30000,N58,0)</x:f>
        <x:v>0</x:v>
      </x:c>
      <x:c r="V58" s="648" t="n">
        <x:f>IF(P58&gt;0,N58,0)</x:f>
        <x:v>0</x:v>
      </x:c>
      <x:c r="W58" s="648" t="n">
        <x:f>IF(AND(P58&gt;0,S58&lt;0),N58,0)</x:f>
        <x:v>0</x:v>
      </x:c>
      <x:c r="X58" s="648" t="n">
        <x:f>IF(AND(P58&gt;0,S58=0),N58,0)</x:f>
        <x:v>0</x:v>
      </x:c>
      <x:c r="Y58" s="648" t="n">
        <x:f>IF(Q58&gt;0,N58,0)</x:f>
        <x:v>0</x:v>
      </x:c>
      <x:c r="Z58" s="647" t="n">
        <x:f>IF(P58&gt;0,N58*S58,0)</x:f>
        <x:v>0</x:v>
      </x:c>
      <x:c r="AA58" s="647" t="n">
        <x:f>IF(Q58&gt;0,N58*T58,0)</x:f>
        <x:v>0</x:v>
      </x:c>
      <x:c r="AB58" s="647" t="n">
        <x:f>N58*R58</x:f>
        <x:v>0</x:v>
      </x:c>
      <x:c r="AC58" s="647" t="n">
        <x:f>IF(N58&gt;0,R58,999999)</x:f>
        <x:v>999999</x:v>
      </x:c>
      <x:c r="AD58" s="647" t="n">
        <x:f>IF(AND(N58&gt;0,P58&gt;0),S58,999999)</x:f>
        <x:v>999999</x:v>
      </x:c>
      <x:c r="AE58" s="647" t="n">
        <x:f>IF(AND(N58&gt;0,Q58&gt;0),T58,999999)</x:f>
        <x:v>999999</x:v>
      </x:c>
      <x:c r="AF58" s="648" t="n">
        <x:f>B58*D58*F58*J58</x:f>
        <x:v>0.004913999999999999</x:v>
      </x:c>
      <x:c r="AG58" s="648" t="n">
        <x:f>IF(P58&gt;0,AF58,0)</x:f>
        <x:v>0</x:v>
      </x:c>
      <x:c r="AH58" s="648" t="n">
        <x:f>IF(AND(P58&gt;0,S58&lt;0),AF58,0)</x:f>
        <x:v>0</x:v>
      </x:c>
      <x:c r="AI58" s="648" t="n">
        <x:f>IF(AND(P58&gt;0,S58=0),AF58,0)</x:f>
        <x:v>0</x:v>
      </x:c>
      <x:c r="AJ58" s="648" t="n">
        <x:f>IF(R58&lt;30000,AF58,0)</x:f>
        <x:v>0</x:v>
      </x:c>
      <x:c r="AK58" s="647" t="n">
        <x:f>IF(P58&gt;0,AF58*S58,0)</x:f>
        <x:v>0</x:v>
      </x:c>
    </x:row>
    <x:row r="59" ht="22" customHeight="1">
      <x:c r="A59" s="19" t="str">
        <x:v>保守</x:v>
      </x:c>
      <x:c r="B59" s="23" t="n">
        <x:f>'114_降本系数'!B26</x:f>
        <x:v>0.35</x:v>
      </x:c>
      <x:c r="C59" s="19" t="str">
        <x:v>L0</x:v>
      </x:c>
      <x:c r="D59" s="23" t="n">
        <x:f>'130_联合算法'!C16</x:f>
        <x:v>0.6</x:v>
      </x:c>
      <x:c r="E59" s="460" t="n">
        <x:f>'117_价格概率传导'!A10</x:f>
        <x:v>229900</x:v>
      </x:c>
      <x:c r="F59" s="23" t="n">
        <x:f>'117_价格概率传导'!C10</x:f>
        <x:v>0.06</x:v>
      </x:c>
      <x:c r="G59" s="23" t="n">
        <x:f>SUM('117_价格概率传导'!$C$6:$C$9)</x:f>
        <x:v>0.93</x:v>
      </x:c>
      <x:c r="H59" s="23" t="n">
        <x:f>SUM('117_价格概率传导'!$C$6:$C$10)</x:f>
        <x:v>0.99</x:v>
      </x:c>
      <x:c r="I59" s="460" t="n">
        <x:f>'117_价格概率传导'!A20</x:f>
        <x:v>269900</x:v>
      </x:c>
      <x:c r="J59" s="23" t="n">
        <x:f>'117_价格概率传导'!C20</x:f>
        <x:v>0.13</x:v>
      </x:c>
      <x:c r="K59" s="23" t="n">
        <x:f>SUM('117_价格概率传导'!$C$16:$C$19)</x:f>
        <x:v>0.8400000000000001</x:v>
      </x:c>
      <x:c r="L59" s="23" t="n">
        <x:f>SUM('117_价格概率传导'!$C$16:$C$20)</x:f>
        <x:v>0.9700000000000001</x:v>
      </x:c>
      <x:c r="M59" s="23" t="n">
        <x:f>MAX(0,MIN(H59,L59)-MAX(G59,K59))</x:f>
        <x:v>0.040000000000000036</x:v>
      </x:c>
      <x:c r="N59" s="23" t="n">
        <x:f>B59*D59*M59</x:f>
        <x:v>0.008400000000000006</x:v>
      </x:c>
      <x:c r="O59" s="460" t="n">
        <x:f>I59</x:f>
        <x:v>269900</x:v>
      </x:c>
      <x:c r="P59" s="460" t="str">
        <x:f>""</x:f>
      </x:c>
      <x:c r="Q59" s="460" t="str">
        <x:f>""</x:f>
      </x:c>
      <x:c r="R59" s="460" t="n">
        <x:f>O59-E59</x:f>
        <x:v>40000</x:v>
      </x:c>
      <x:c r="S59" s="460" t="str">
        <x:f>IF(P59&gt;0,P59-E59,"")</x:f>
      </x:c>
      <x:c r="T59" s="460" t="str">
        <x:f>IF(Q59&gt;0,Q59-E59,"")</x:f>
      </x:c>
      <x:c r="U59" s="23" t="n">
        <x:f>IF(R59&lt;30000,N59,0)</x:f>
        <x:v>0</x:v>
      </x:c>
      <x:c r="V59" s="23" t="n">
        <x:f>IF(P59&gt;0,N59,0)</x:f>
        <x:v>0</x:v>
      </x:c>
      <x:c r="W59" s="23" t="n">
        <x:f>IF(AND(P59&gt;0,S59&lt;0),N59,0)</x:f>
        <x:v>0</x:v>
      </x:c>
      <x:c r="X59" s="23" t="n">
        <x:f>IF(AND(P59&gt;0,S59=0),N59,0)</x:f>
        <x:v>0</x:v>
      </x:c>
      <x:c r="Y59" s="23" t="n">
        <x:f>IF(Q59&gt;0,N59,0)</x:f>
        <x:v>0</x:v>
      </x:c>
      <x:c r="Z59" s="460" t="n">
        <x:f>IF(P59&gt;0,N59*S59,0)</x:f>
        <x:v>0</x:v>
      </x:c>
      <x:c r="AA59" s="460" t="n">
        <x:f>IF(Q59&gt;0,N59*T59,0)</x:f>
        <x:v>0</x:v>
      </x:c>
      <x:c r="AB59" s="460" t="n">
        <x:f>N59*R59</x:f>
        <x:v>336.0000000000003</x:v>
      </x:c>
      <x:c r="AC59" s="460" t="n">
        <x:f>IF(N59&gt;0,R59,999999)</x:f>
        <x:v>40000</x:v>
      </x:c>
      <x:c r="AD59" s="460" t="n">
        <x:f>IF(AND(N59&gt;0,P59&gt;0),S59,999999)</x:f>
        <x:v>999999</x:v>
      </x:c>
      <x:c r="AE59" s="460" t="n">
        <x:f>IF(AND(N59&gt;0,Q59&gt;0),T59,999999)</x:f>
        <x:v>999999</x:v>
      </x:c>
      <x:c r="AF59" s="23" t="n">
        <x:f>B59*D59*F59*J59</x:f>
        <x:v>0.001638</x:v>
      </x:c>
      <x:c r="AG59" s="23" t="n">
        <x:f>IF(P59&gt;0,AF59,0)</x:f>
        <x:v>0</x:v>
      </x:c>
      <x:c r="AH59" s="23" t="n">
        <x:f>IF(AND(P59&gt;0,S59&lt;0),AF59,0)</x:f>
        <x:v>0</x:v>
      </x:c>
      <x:c r="AI59" s="23" t="n">
        <x:f>IF(AND(P59&gt;0,S59=0),AF59,0)</x:f>
        <x:v>0</x:v>
      </x:c>
      <x:c r="AJ59" s="23" t="n">
        <x:f>IF(R59&lt;30000,AF59,0)</x:f>
        <x:v>0</x:v>
      </x:c>
      <x:c r="AK59" s="460" t="n">
        <x:f>IF(P59&gt;0,AF59*S59,0)</x:f>
        <x:v>0</x:v>
      </x:c>
    </x:row>
    <x:row r="60" ht="22" customHeight="1">
      <x:c r="A60" s="643" t="str">
        <x:v>保守</x:v>
      </x:c>
      <x:c r="B60" s="648" t="n">
        <x:f>'114_降本系数'!B26</x:f>
        <x:v>0.35</x:v>
      </x:c>
      <x:c r="C60" s="643" t="str">
        <x:v>L0</x:v>
      </x:c>
      <x:c r="D60" s="648" t="n">
        <x:f>'130_联合算法'!C16</x:f>
        <x:v>0.6</x:v>
      </x:c>
      <x:c r="E60" s="647" t="n">
        <x:f>'117_价格概率传导'!A10</x:f>
        <x:v>229900</x:v>
      </x:c>
      <x:c r="F60" s="648" t="n">
        <x:f>'117_价格概率传导'!C10</x:f>
        <x:v>0.06</x:v>
      </x:c>
      <x:c r="G60" s="648" t="n">
        <x:f>SUM('117_价格概率传导'!$C$6:$C$9)</x:f>
        <x:v>0.93</x:v>
      </x:c>
      <x:c r="H60" s="648" t="n">
        <x:f>SUM('117_价格概率传导'!$C$6:$C$10)</x:f>
        <x:v>0.99</x:v>
      </x:c>
      <x:c r="I60" s="647" t="n">
        <x:f>'117_价格概率传导'!A21</x:f>
        <x:v>259900</x:v>
      </x:c>
      <x:c r="J60" s="648" t="n">
        <x:f>'117_价格概率传导'!C21</x:f>
        <x:v>0.03</x:v>
      </x:c>
      <x:c r="K60" s="648" t="n">
        <x:f>SUM('117_价格概率传导'!$C$16:$C$20)</x:f>
        <x:v>0.9700000000000001</x:v>
      </x:c>
      <x:c r="L60" s="648" t="n">
        <x:f>SUM('117_价格概率传导'!$C$16:$C$21)</x:f>
        <x:v>1</x:v>
      </x:c>
      <x:c r="M60" s="648" t="n">
        <x:f>MAX(0,MIN(H60,L60)-MAX(G60,K60))</x:f>
        <x:v>0.019999999999999907</x:v>
      </x:c>
      <x:c r="N60" s="648" t="n">
        <x:f>B60*D60*M60</x:f>
        <x:v>0.004199999999999981</x:v>
      </x:c>
      <x:c r="O60" s="647" t="n">
        <x:f>I60</x:f>
        <x:v>259900</x:v>
      </x:c>
      <x:c r="P60" s="647" t="str">
        <x:f>""</x:f>
      </x:c>
      <x:c r="Q60" s="647" t="str">
        <x:f>""</x:f>
      </x:c>
      <x:c r="R60" s="647" t="n">
        <x:f>O60-E60</x:f>
        <x:v>30000</x:v>
      </x:c>
      <x:c r="S60" s="647" t="str">
        <x:f>IF(P60&gt;0,P60-E60,"")</x:f>
      </x:c>
      <x:c r="T60" s="647" t="str">
        <x:f>IF(Q60&gt;0,Q60-E60,"")</x:f>
      </x:c>
      <x:c r="U60" s="648" t="n">
        <x:f>IF(R60&lt;30000,N60,0)</x:f>
        <x:v>0</x:v>
      </x:c>
      <x:c r="V60" s="648" t="n">
        <x:f>IF(P60&gt;0,N60,0)</x:f>
        <x:v>0</x:v>
      </x:c>
      <x:c r="W60" s="648" t="n">
        <x:f>IF(AND(P60&gt;0,S60&lt;0),N60,0)</x:f>
        <x:v>0</x:v>
      </x:c>
      <x:c r="X60" s="648" t="n">
        <x:f>IF(AND(P60&gt;0,S60=0),N60,0)</x:f>
        <x:v>0</x:v>
      </x:c>
      <x:c r="Y60" s="648" t="n">
        <x:f>IF(Q60&gt;0,N60,0)</x:f>
        <x:v>0</x:v>
      </x:c>
      <x:c r="Z60" s="647" t="n">
        <x:f>IF(P60&gt;0,N60*S60,0)</x:f>
        <x:v>0</x:v>
      </x:c>
      <x:c r="AA60" s="647" t="n">
        <x:f>IF(Q60&gt;0,N60*T60,0)</x:f>
        <x:v>0</x:v>
      </x:c>
      <x:c r="AB60" s="647" t="n">
        <x:f>N60*R60</x:f>
        <x:v>125.99999999999942</x:v>
      </x:c>
      <x:c r="AC60" s="647" t="n">
        <x:f>IF(N60&gt;0,R60,999999)</x:f>
        <x:v>30000</x:v>
      </x:c>
      <x:c r="AD60" s="647" t="n">
        <x:f>IF(AND(N60&gt;0,P60&gt;0),S60,999999)</x:f>
        <x:v>999999</x:v>
      </x:c>
      <x:c r="AE60" s="647" t="n">
        <x:f>IF(AND(N60&gt;0,Q60&gt;0),T60,999999)</x:f>
        <x:v>999999</x:v>
      </x:c>
      <x:c r="AF60" s="648" t="n">
        <x:f>B60*D60*F60*J60</x:f>
        <x:v>0.0003779999999999999</x:v>
      </x:c>
      <x:c r="AG60" s="648" t="n">
        <x:f>IF(P60&gt;0,AF60,0)</x:f>
        <x:v>0</x:v>
      </x:c>
      <x:c r="AH60" s="648" t="n">
        <x:f>IF(AND(P60&gt;0,S60&lt;0),AF60,0)</x:f>
        <x:v>0</x:v>
      </x:c>
      <x:c r="AI60" s="648" t="n">
        <x:f>IF(AND(P60&gt;0,S60=0),AF60,0)</x:f>
        <x:v>0</x:v>
      </x:c>
      <x:c r="AJ60" s="648" t="n">
        <x:f>IF(R60&lt;30000,AF60,0)</x:f>
        <x:v>0</x:v>
      </x:c>
      <x:c r="AK60" s="647" t="n">
        <x:f>IF(P60&gt;0,AF60*S60,0)</x:f>
        <x:v>0</x:v>
      </x:c>
    </x:row>
    <x:row r="61" ht="22" customHeight="1">
      <x:c r="A61" s="19" t="str">
        <x:v>保守</x:v>
      </x:c>
      <x:c r="B61" s="23" t="n">
        <x:f>'114_降本系数'!B26</x:f>
        <x:v>0.35</x:v>
      </x:c>
      <x:c r="C61" s="19" t="str">
        <x:v>L0</x:v>
      </x:c>
      <x:c r="D61" s="23" t="n">
        <x:f>'130_联合算法'!C16</x:f>
        <x:v>0.6</x:v>
      </x:c>
      <x:c r="E61" s="460" t="n">
        <x:f>'117_价格概率传导'!A11</x:f>
        <x:v>219900</x:v>
      </x:c>
      <x:c r="F61" s="23" t="n">
        <x:f>'117_价格概率传导'!C11</x:f>
        <x:v>0.01</x:v>
      </x:c>
      <x:c r="G61" s="23" t="n">
        <x:f>SUM('117_价格概率传导'!$C$6:$C$10)</x:f>
        <x:v>0.99</x:v>
      </x:c>
      <x:c r="H61" s="23" t="n">
        <x:f>SUM('117_价格概率传导'!$C$6:$C$11)</x:f>
        <x:v>1</x:v>
      </x:c>
      <x:c r="I61" s="460" t="n">
        <x:f>'117_价格概率传导'!A16</x:f>
        <x:v>299900</x:v>
      </x:c>
      <x:c r="J61" s="23" t="n">
        <x:f>'117_价格概率传导'!C16</x:f>
        <x:v>0.05</x:v>
      </x:c>
      <x:c r="K61" s="23" t="n">
        <x:f>0</x:f>
        <x:v>0</x:v>
      </x:c>
      <x:c r="L61" s="23" t="n">
        <x:f>SUM('117_价格概率传导'!$C$16:$C$16)</x:f>
        <x:v>0.05</x:v>
      </x:c>
      <x:c r="M61" s="23" t="n">
        <x:f>MAX(0,MIN(H61,L61)-MAX(G61,K61))</x:f>
        <x:v>0</x:v>
      </x:c>
      <x:c r="N61" s="23" t="n">
        <x:f>B61*D61*M61</x:f>
        <x:v>0</x:v>
      </x:c>
      <x:c r="O61" s="460" t="n">
        <x:f>I61</x:f>
        <x:v>299900</x:v>
      </x:c>
      <x:c r="P61" s="460" t="str">
        <x:f>""</x:f>
      </x:c>
      <x:c r="Q61" s="460" t="str">
        <x:f>""</x:f>
      </x:c>
      <x:c r="R61" s="460" t="n">
        <x:f>O61-E61</x:f>
        <x:v>80000</x:v>
      </x:c>
      <x:c r="S61" s="460" t="str">
        <x:f>IF(P61&gt;0,P61-E61,"")</x:f>
      </x:c>
      <x:c r="T61" s="460" t="str">
        <x:f>IF(Q61&gt;0,Q61-E61,"")</x:f>
      </x:c>
      <x:c r="U61" s="23" t="n">
        <x:f>IF(R61&lt;30000,N61,0)</x:f>
        <x:v>0</x:v>
      </x:c>
      <x:c r="V61" s="23" t="n">
        <x:f>IF(P61&gt;0,N61,0)</x:f>
        <x:v>0</x:v>
      </x:c>
      <x:c r="W61" s="23" t="n">
        <x:f>IF(AND(P61&gt;0,S61&lt;0),N61,0)</x:f>
        <x:v>0</x:v>
      </x:c>
      <x:c r="X61" s="23" t="n">
        <x:f>IF(AND(P61&gt;0,S61=0),N61,0)</x:f>
        <x:v>0</x:v>
      </x:c>
      <x:c r="Y61" s="23" t="n">
        <x:f>IF(Q61&gt;0,N61,0)</x:f>
        <x:v>0</x:v>
      </x:c>
      <x:c r="Z61" s="460" t="n">
        <x:f>IF(P61&gt;0,N61*S61,0)</x:f>
        <x:v>0</x:v>
      </x:c>
      <x:c r="AA61" s="460" t="n">
        <x:f>IF(Q61&gt;0,N61*T61,0)</x:f>
        <x:v>0</x:v>
      </x:c>
      <x:c r="AB61" s="460" t="n">
        <x:f>N61*R61</x:f>
        <x:v>0</x:v>
      </x:c>
      <x:c r="AC61" s="460" t="n">
        <x:f>IF(N61&gt;0,R61,999999)</x:f>
        <x:v>999999</x:v>
      </x:c>
      <x:c r="AD61" s="460" t="n">
        <x:f>IF(AND(N61&gt;0,P61&gt;0),S61,999999)</x:f>
        <x:v>999999</x:v>
      </x:c>
      <x:c r="AE61" s="460" t="n">
        <x:f>IF(AND(N61&gt;0,Q61&gt;0),T61,999999)</x:f>
        <x:v>999999</x:v>
      </x:c>
      <x:c r="AF61" s="23" t="n">
        <x:f>B61*D61*F61*J61</x:f>
        <x:v>0.000105</x:v>
      </x:c>
      <x:c r="AG61" s="23" t="n">
        <x:f>IF(P61&gt;0,AF61,0)</x:f>
        <x:v>0</x:v>
      </x:c>
      <x:c r="AH61" s="23" t="n">
        <x:f>IF(AND(P61&gt;0,S61&lt;0),AF61,0)</x:f>
        <x:v>0</x:v>
      </x:c>
      <x:c r="AI61" s="23" t="n">
        <x:f>IF(AND(P61&gt;0,S61=0),AF61,0)</x:f>
        <x:v>0</x:v>
      </x:c>
      <x:c r="AJ61" s="23" t="n">
        <x:f>IF(R61&lt;30000,AF61,0)</x:f>
        <x:v>0</x:v>
      </x:c>
      <x:c r="AK61" s="460" t="n">
        <x:f>IF(P61&gt;0,AF61*S61,0)</x:f>
        <x:v>0</x:v>
      </x:c>
    </x:row>
    <x:row r="62" ht="22" customHeight="1">
      <x:c r="A62" s="643" t="str">
        <x:v>保守</x:v>
      </x:c>
      <x:c r="B62" s="648" t="n">
        <x:f>'114_降本系数'!B26</x:f>
        <x:v>0.35</x:v>
      </x:c>
      <x:c r="C62" s="643" t="str">
        <x:v>L0</x:v>
      </x:c>
      <x:c r="D62" s="648" t="n">
        <x:f>'130_联合算法'!C16</x:f>
        <x:v>0.6</x:v>
      </x:c>
      <x:c r="E62" s="647" t="n">
        <x:f>'117_价格概率传导'!A11</x:f>
        <x:v>219900</x:v>
      </x:c>
      <x:c r="F62" s="648" t="n">
        <x:f>'117_价格概率传导'!C11</x:f>
        <x:v>0.01</x:v>
      </x:c>
      <x:c r="G62" s="648" t="n">
        <x:f>SUM('117_价格概率传导'!$C$6:$C$10)</x:f>
        <x:v>0.99</x:v>
      </x:c>
      <x:c r="H62" s="648" t="n">
        <x:f>SUM('117_价格概率传导'!$C$6:$C$11)</x:f>
        <x:v>1</x:v>
      </x:c>
      <x:c r="I62" s="647" t="n">
        <x:f>'117_价格概率传导'!A17</x:f>
        <x:v>293900</x:v>
      </x:c>
      <x:c r="J62" s="648" t="n">
        <x:f>'117_价格概率传导'!C17</x:f>
        <x:v>0.06</x:v>
      </x:c>
      <x:c r="K62" s="648" t="n">
        <x:f>SUM('117_价格概率传导'!$C$16:$C$16)</x:f>
        <x:v>0.05</x:v>
      </x:c>
      <x:c r="L62" s="648" t="n">
        <x:f>SUM('117_价格概率传导'!$C$16:$C$17)</x:f>
        <x:v>0.11</x:v>
      </x:c>
      <x:c r="M62" s="648" t="n">
        <x:f>MAX(0,MIN(H62,L62)-MAX(G62,K62))</x:f>
        <x:v>0</x:v>
      </x:c>
      <x:c r="N62" s="648" t="n">
        <x:f>B62*D62*M62</x:f>
        <x:v>0</x:v>
      </x:c>
      <x:c r="O62" s="647" t="n">
        <x:f>I62</x:f>
        <x:v>293900</x:v>
      </x:c>
      <x:c r="P62" s="647" t="str">
        <x:f>""</x:f>
      </x:c>
      <x:c r="Q62" s="647" t="str">
        <x:f>""</x:f>
      </x:c>
      <x:c r="R62" s="647" t="n">
        <x:f>O62-E62</x:f>
        <x:v>74000</x:v>
      </x:c>
      <x:c r="S62" s="647" t="str">
        <x:f>IF(P62&gt;0,P62-E62,"")</x:f>
      </x:c>
      <x:c r="T62" s="647" t="str">
        <x:f>IF(Q62&gt;0,Q62-E62,"")</x:f>
      </x:c>
      <x:c r="U62" s="648" t="n">
        <x:f>IF(R62&lt;30000,N62,0)</x:f>
        <x:v>0</x:v>
      </x:c>
      <x:c r="V62" s="648" t="n">
        <x:f>IF(P62&gt;0,N62,0)</x:f>
        <x:v>0</x:v>
      </x:c>
      <x:c r="W62" s="648" t="n">
        <x:f>IF(AND(P62&gt;0,S62&lt;0),N62,0)</x:f>
        <x:v>0</x:v>
      </x:c>
      <x:c r="X62" s="648" t="n">
        <x:f>IF(AND(P62&gt;0,S62=0),N62,0)</x:f>
        <x:v>0</x:v>
      </x:c>
      <x:c r="Y62" s="648" t="n">
        <x:f>IF(Q62&gt;0,N62,0)</x:f>
        <x:v>0</x:v>
      </x:c>
      <x:c r="Z62" s="647" t="n">
        <x:f>IF(P62&gt;0,N62*S62,0)</x:f>
        <x:v>0</x:v>
      </x:c>
      <x:c r="AA62" s="647" t="n">
        <x:f>IF(Q62&gt;0,N62*T62,0)</x:f>
        <x:v>0</x:v>
      </x:c>
      <x:c r="AB62" s="647" t="n">
        <x:f>N62*R62</x:f>
        <x:v>0</x:v>
      </x:c>
      <x:c r="AC62" s="647" t="n">
        <x:f>IF(N62&gt;0,R62,999999)</x:f>
        <x:v>999999</x:v>
      </x:c>
      <x:c r="AD62" s="647" t="n">
        <x:f>IF(AND(N62&gt;0,P62&gt;0),S62,999999)</x:f>
        <x:v>999999</x:v>
      </x:c>
      <x:c r="AE62" s="647" t="n">
        <x:f>IF(AND(N62&gt;0,Q62&gt;0),T62,999999)</x:f>
        <x:v>999999</x:v>
      </x:c>
      <x:c r="AF62" s="648" t="n">
        <x:f>B62*D62*F62*J62</x:f>
        <x:v>0.000126</x:v>
      </x:c>
      <x:c r="AG62" s="648" t="n">
        <x:f>IF(P62&gt;0,AF62,0)</x:f>
        <x:v>0</x:v>
      </x:c>
      <x:c r="AH62" s="648" t="n">
        <x:f>IF(AND(P62&gt;0,S62&lt;0),AF62,0)</x:f>
        <x:v>0</x:v>
      </x:c>
      <x:c r="AI62" s="648" t="n">
        <x:f>IF(AND(P62&gt;0,S62=0),AF62,0)</x:f>
        <x:v>0</x:v>
      </x:c>
      <x:c r="AJ62" s="648" t="n">
        <x:f>IF(R62&lt;30000,AF62,0)</x:f>
        <x:v>0</x:v>
      </x:c>
      <x:c r="AK62" s="647" t="n">
        <x:f>IF(P62&gt;0,AF62*S62,0)</x:f>
        <x:v>0</x:v>
      </x:c>
    </x:row>
    <x:row r="63" ht="22" customHeight="1">
      <x:c r="A63" s="19" t="str">
        <x:v>保守</x:v>
      </x:c>
      <x:c r="B63" s="23" t="n">
        <x:f>'114_降本系数'!B26</x:f>
        <x:v>0.35</x:v>
      </x:c>
      <x:c r="C63" s="19" t="str">
        <x:v>L0</x:v>
      </x:c>
      <x:c r="D63" s="23" t="n">
        <x:f>'130_联合算法'!C16</x:f>
        <x:v>0.6</x:v>
      </x:c>
      <x:c r="E63" s="460" t="n">
        <x:f>'117_价格概率传导'!A11</x:f>
        <x:v>219900</x:v>
      </x:c>
      <x:c r="F63" s="23" t="n">
        <x:f>'117_价格概率传导'!C11</x:f>
        <x:v>0.01</x:v>
      </x:c>
      <x:c r="G63" s="23" t="n">
        <x:f>SUM('117_价格概率传导'!$C$6:$C$10)</x:f>
        <x:v>0.99</x:v>
      </x:c>
      <x:c r="H63" s="23" t="n">
        <x:f>SUM('117_价格概率传导'!$C$6:$C$11)</x:f>
        <x:v>1</x:v>
      </x:c>
      <x:c r="I63" s="460" t="n">
        <x:f>'117_价格概率传导'!A18</x:f>
        <x:v>289900</x:v>
      </x:c>
      <x:c r="J63" s="23" t="n">
        <x:f>'117_价格概率传导'!C18</x:f>
        <x:v>0.34</x:v>
      </x:c>
      <x:c r="K63" s="23" t="n">
        <x:f>SUM('117_价格概率传导'!$C$16:$C$17)</x:f>
        <x:v>0.11</x:v>
      </x:c>
      <x:c r="L63" s="23" t="n">
        <x:f>SUM('117_价格概率传导'!$C$16:$C$18)</x:f>
        <x:v>0.45</x:v>
      </x:c>
      <x:c r="M63" s="23" t="n">
        <x:f>MAX(0,MIN(H63,L63)-MAX(G63,K63))</x:f>
        <x:v>0</x:v>
      </x:c>
      <x:c r="N63" s="23" t="n">
        <x:f>B63*D63*M63</x:f>
        <x:v>0</x:v>
      </x:c>
      <x:c r="O63" s="460" t="n">
        <x:f>I63</x:f>
        <x:v>289900</x:v>
      </x:c>
      <x:c r="P63" s="460" t="str">
        <x:f>""</x:f>
      </x:c>
      <x:c r="Q63" s="460" t="str">
        <x:f>""</x:f>
      </x:c>
      <x:c r="R63" s="460" t="n">
        <x:f>O63-E63</x:f>
        <x:v>70000</x:v>
      </x:c>
      <x:c r="S63" s="460" t="str">
        <x:f>IF(P63&gt;0,P63-E63,"")</x:f>
      </x:c>
      <x:c r="T63" s="460" t="str">
        <x:f>IF(Q63&gt;0,Q63-E63,"")</x:f>
      </x:c>
      <x:c r="U63" s="23" t="n">
        <x:f>IF(R63&lt;30000,N63,0)</x:f>
        <x:v>0</x:v>
      </x:c>
      <x:c r="V63" s="23" t="n">
        <x:f>IF(P63&gt;0,N63,0)</x:f>
        <x:v>0</x:v>
      </x:c>
      <x:c r="W63" s="23" t="n">
        <x:f>IF(AND(P63&gt;0,S63&lt;0),N63,0)</x:f>
        <x:v>0</x:v>
      </x:c>
      <x:c r="X63" s="23" t="n">
        <x:f>IF(AND(P63&gt;0,S63=0),N63,0)</x:f>
        <x:v>0</x:v>
      </x:c>
      <x:c r="Y63" s="23" t="n">
        <x:f>IF(Q63&gt;0,N63,0)</x:f>
        <x:v>0</x:v>
      </x:c>
      <x:c r="Z63" s="460" t="n">
        <x:f>IF(P63&gt;0,N63*S63,0)</x:f>
        <x:v>0</x:v>
      </x:c>
      <x:c r="AA63" s="460" t="n">
        <x:f>IF(Q63&gt;0,N63*T63,0)</x:f>
        <x:v>0</x:v>
      </x:c>
      <x:c r="AB63" s="460" t="n">
        <x:f>N63*R63</x:f>
        <x:v>0</x:v>
      </x:c>
      <x:c r="AC63" s="460" t="n">
        <x:f>IF(N63&gt;0,R63,999999)</x:f>
        <x:v>999999</x:v>
      </x:c>
      <x:c r="AD63" s="460" t="n">
        <x:f>IF(AND(N63&gt;0,P63&gt;0),S63,999999)</x:f>
        <x:v>999999</x:v>
      </x:c>
      <x:c r="AE63" s="460" t="n">
        <x:f>IF(AND(N63&gt;0,Q63&gt;0),T63,999999)</x:f>
        <x:v>999999</x:v>
      </x:c>
      <x:c r="AF63" s="23" t="n">
        <x:f>B63*D63*F63*J63</x:f>
        <x:v>0.000714</x:v>
      </x:c>
      <x:c r="AG63" s="23" t="n">
        <x:f>IF(P63&gt;0,AF63,0)</x:f>
        <x:v>0</x:v>
      </x:c>
      <x:c r="AH63" s="23" t="n">
        <x:f>IF(AND(P63&gt;0,S63&lt;0),AF63,0)</x:f>
        <x:v>0</x:v>
      </x:c>
      <x:c r="AI63" s="23" t="n">
        <x:f>IF(AND(P63&gt;0,S63=0),AF63,0)</x:f>
        <x:v>0</x:v>
      </x:c>
      <x:c r="AJ63" s="23" t="n">
        <x:f>IF(R63&lt;30000,AF63,0)</x:f>
        <x:v>0</x:v>
      </x:c>
      <x:c r="AK63" s="460" t="n">
        <x:f>IF(P63&gt;0,AF63*S63,0)</x:f>
        <x:v>0</x:v>
      </x:c>
    </x:row>
    <x:row r="64" ht="22" customHeight="1">
      <x:c r="A64" s="643" t="str">
        <x:v>保守</x:v>
      </x:c>
      <x:c r="B64" s="648" t="n">
        <x:f>'114_降本系数'!B26</x:f>
        <x:v>0.35</x:v>
      </x:c>
      <x:c r="C64" s="643" t="str">
        <x:v>L0</x:v>
      </x:c>
      <x:c r="D64" s="648" t="n">
        <x:f>'130_联合算法'!C16</x:f>
        <x:v>0.6</x:v>
      </x:c>
      <x:c r="E64" s="647" t="n">
        <x:f>'117_价格概率传导'!A11</x:f>
        <x:v>219900</x:v>
      </x:c>
      <x:c r="F64" s="648" t="n">
        <x:f>'117_价格概率传导'!C11</x:f>
        <x:v>0.01</x:v>
      </x:c>
      <x:c r="G64" s="648" t="n">
        <x:f>SUM('117_价格概率传导'!$C$6:$C$10)</x:f>
        <x:v>0.99</x:v>
      </x:c>
      <x:c r="H64" s="648" t="n">
        <x:f>SUM('117_价格概率传导'!$C$6:$C$11)</x:f>
        <x:v>1</x:v>
      </x:c>
      <x:c r="I64" s="647" t="n">
        <x:f>'117_价格概率传导'!A19</x:f>
        <x:v>279900</x:v>
      </x:c>
      <x:c r="J64" s="648" t="n">
        <x:f>'117_价格概率传导'!C19</x:f>
        <x:v>0.39</x:v>
      </x:c>
      <x:c r="K64" s="648" t="n">
        <x:f>SUM('117_价格概率传导'!$C$16:$C$18)</x:f>
        <x:v>0.45</x:v>
      </x:c>
      <x:c r="L64" s="648" t="n">
        <x:f>SUM('117_价格概率传导'!$C$16:$C$19)</x:f>
        <x:v>0.8400000000000001</x:v>
      </x:c>
      <x:c r="M64" s="648" t="n">
        <x:f>MAX(0,MIN(H64,L64)-MAX(G64,K64))</x:f>
        <x:v>0</x:v>
      </x:c>
      <x:c r="N64" s="648" t="n">
        <x:f>B64*D64*M64</x:f>
        <x:v>0</x:v>
      </x:c>
      <x:c r="O64" s="647" t="n">
        <x:f>I64</x:f>
        <x:v>279900</x:v>
      </x:c>
      <x:c r="P64" s="647" t="str">
        <x:f>""</x:f>
      </x:c>
      <x:c r="Q64" s="647" t="str">
        <x:f>""</x:f>
      </x:c>
      <x:c r="R64" s="647" t="n">
        <x:f>O64-E64</x:f>
        <x:v>60000</x:v>
      </x:c>
      <x:c r="S64" s="647" t="str">
        <x:f>IF(P64&gt;0,P64-E64,"")</x:f>
      </x:c>
      <x:c r="T64" s="647" t="str">
        <x:f>IF(Q64&gt;0,Q64-E64,"")</x:f>
      </x:c>
      <x:c r="U64" s="648" t="n">
        <x:f>IF(R64&lt;30000,N64,0)</x:f>
        <x:v>0</x:v>
      </x:c>
      <x:c r="V64" s="648" t="n">
        <x:f>IF(P64&gt;0,N64,0)</x:f>
        <x:v>0</x:v>
      </x:c>
      <x:c r="W64" s="648" t="n">
        <x:f>IF(AND(P64&gt;0,S64&lt;0),N64,0)</x:f>
        <x:v>0</x:v>
      </x:c>
      <x:c r="X64" s="648" t="n">
        <x:f>IF(AND(P64&gt;0,S64=0),N64,0)</x:f>
        <x:v>0</x:v>
      </x:c>
      <x:c r="Y64" s="648" t="n">
        <x:f>IF(Q64&gt;0,N64,0)</x:f>
        <x:v>0</x:v>
      </x:c>
      <x:c r="Z64" s="647" t="n">
        <x:f>IF(P64&gt;0,N64*S64,0)</x:f>
        <x:v>0</x:v>
      </x:c>
      <x:c r="AA64" s="647" t="n">
        <x:f>IF(Q64&gt;0,N64*T64,0)</x:f>
        <x:v>0</x:v>
      </x:c>
      <x:c r="AB64" s="647" t="n">
        <x:f>N64*R64</x:f>
        <x:v>0</x:v>
      </x:c>
      <x:c r="AC64" s="647" t="n">
        <x:f>IF(N64&gt;0,R64,999999)</x:f>
        <x:v>999999</x:v>
      </x:c>
      <x:c r="AD64" s="647" t="n">
        <x:f>IF(AND(N64&gt;0,P64&gt;0),S64,999999)</x:f>
        <x:v>999999</x:v>
      </x:c>
      <x:c r="AE64" s="647" t="n">
        <x:f>IF(AND(N64&gt;0,Q64&gt;0),T64,999999)</x:f>
        <x:v>999999</x:v>
      </x:c>
      <x:c r="AF64" s="648" t="n">
        <x:f>B64*D64*F64*J64</x:f>
        <x:v>0.000819</x:v>
      </x:c>
      <x:c r="AG64" s="648" t="n">
        <x:f>IF(P64&gt;0,AF64,0)</x:f>
        <x:v>0</x:v>
      </x:c>
      <x:c r="AH64" s="648" t="n">
        <x:f>IF(AND(P64&gt;0,S64&lt;0),AF64,0)</x:f>
        <x:v>0</x:v>
      </x:c>
      <x:c r="AI64" s="648" t="n">
        <x:f>IF(AND(P64&gt;0,S64=0),AF64,0)</x:f>
        <x:v>0</x:v>
      </x:c>
      <x:c r="AJ64" s="648" t="n">
        <x:f>IF(R64&lt;30000,AF64,0)</x:f>
        <x:v>0</x:v>
      </x:c>
      <x:c r="AK64" s="647" t="n">
        <x:f>IF(P64&gt;0,AF64*S64,0)</x:f>
        <x:v>0</x:v>
      </x:c>
    </x:row>
    <x:row r="65" ht="22" customHeight="1">
      <x:c r="A65" s="19" t="str">
        <x:v>保守</x:v>
      </x:c>
      <x:c r="B65" s="23" t="n">
        <x:f>'114_降本系数'!B26</x:f>
        <x:v>0.35</x:v>
      </x:c>
      <x:c r="C65" s="19" t="str">
        <x:v>L0</x:v>
      </x:c>
      <x:c r="D65" s="23" t="n">
        <x:f>'130_联合算法'!C16</x:f>
        <x:v>0.6</x:v>
      </x:c>
      <x:c r="E65" s="460" t="n">
        <x:f>'117_价格概率传导'!A11</x:f>
        <x:v>219900</x:v>
      </x:c>
      <x:c r="F65" s="23" t="n">
        <x:f>'117_价格概率传导'!C11</x:f>
        <x:v>0.01</x:v>
      </x:c>
      <x:c r="G65" s="23" t="n">
        <x:f>SUM('117_价格概率传导'!$C$6:$C$10)</x:f>
        <x:v>0.99</x:v>
      </x:c>
      <x:c r="H65" s="23" t="n">
        <x:f>SUM('117_价格概率传导'!$C$6:$C$11)</x:f>
        <x:v>1</x:v>
      </x:c>
      <x:c r="I65" s="460" t="n">
        <x:f>'117_价格概率传导'!A20</x:f>
        <x:v>269900</x:v>
      </x:c>
      <x:c r="J65" s="23" t="n">
        <x:f>'117_价格概率传导'!C20</x:f>
        <x:v>0.13</x:v>
      </x:c>
      <x:c r="K65" s="23" t="n">
        <x:f>SUM('117_价格概率传导'!$C$16:$C$19)</x:f>
        <x:v>0.8400000000000001</x:v>
      </x:c>
      <x:c r="L65" s="23" t="n">
        <x:f>SUM('117_价格概率传导'!$C$16:$C$20)</x:f>
        <x:v>0.9700000000000001</x:v>
      </x:c>
      <x:c r="M65" s="23" t="n">
        <x:f>MAX(0,MIN(H65,L65)-MAX(G65,K65))</x:f>
        <x:v>0</x:v>
      </x:c>
      <x:c r="N65" s="23" t="n">
        <x:f>B65*D65*M65</x:f>
        <x:v>0</x:v>
      </x:c>
      <x:c r="O65" s="460" t="n">
        <x:f>I65</x:f>
        <x:v>269900</x:v>
      </x:c>
      <x:c r="P65" s="460" t="str">
        <x:f>""</x:f>
      </x:c>
      <x:c r="Q65" s="460" t="str">
        <x:f>""</x:f>
      </x:c>
      <x:c r="R65" s="460" t="n">
        <x:f>O65-E65</x:f>
        <x:v>50000</x:v>
      </x:c>
      <x:c r="S65" s="460" t="str">
        <x:f>IF(P65&gt;0,P65-E65,"")</x:f>
      </x:c>
      <x:c r="T65" s="460" t="str">
        <x:f>IF(Q65&gt;0,Q65-E65,"")</x:f>
      </x:c>
      <x:c r="U65" s="23" t="n">
        <x:f>IF(R65&lt;30000,N65,0)</x:f>
        <x:v>0</x:v>
      </x:c>
      <x:c r="V65" s="23" t="n">
        <x:f>IF(P65&gt;0,N65,0)</x:f>
        <x:v>0</x:v>
      </x:c>
      <x:c r="W65" s="23" t="n">
        <x:f>IF(AND(P65&gt;0,S65&lt;0),N65,0)</x:f>
        <x:v>0</x:v>
      </x:c>
      <x:c r="X65" s="23" t="n">
        <x:f>IF(AND(P65&gt;0,S65=0),N65,0)</x:f>
        <x:v>0</x:v>
      </x:c>
      <x:c r="Y65" s="23" t="n">
        <x:f>IF(Q65&gt;0,N65,0)</x:f>
        <x:v>0</x:v>
      </x:c>
      <x:c r="Z65" s="460" t="n">
        <x:f>IF(P65&gt;0,N65*S65,0)</x:f>
        <x:v>0</x:v>
      </x:c>
      <x:c r="AA65" s="460" t="n">
        <x:f>IF(Q65&gt;0,N65*T65,0)</x:f>
        <x:v>0</x:v>
      </x:c>
      <x:c r="AB65" s="460" t="n">
        <x:f>N65*R65</x:f>
        <x:v>0</x:v>
      </x:c>
      <x:c r="AC65" s="460" t="n">
        <x:f>IF(N65&gt;0,R65,999999)</x:f>
        <x:v>999999</x:v>
      </x:c>
      <x:c r="AD65" s="460" t="n">
        <x:f>IF(AND(N65&gt;0,P65&gt;0),S65,999999)</x:f>
        <x:v>999999</x:v>
      </x:c>
      <x:c r="AE65" s="460" t="n">
        <x:f>IF(AND(N65&gt;0,Q65&gt;0),T65,999999)</x:f>
        <x:v>999999</x:v>
      </x:c>
      <x:c r="AF65" s="23" t="n">
        <x:f>B65*D65*F65*J65</x:f>
        <x:v>0.00027299999999999997</x:v>
      </x:c>
      <x:c r="AG65" s="23" t="n">
        <x:f>IF(P65&gt;0,AF65,0)</x:f>
        <x:v>0</x:v>
      </x:c>
      <x:c r="AH65" s="23" t="n">
        <x:f>IF(AND(P65&gt;0,S65&lt;0),AF65,0)</x:f>
        <x:v>0</x:v>
      </x:c>
      <x:c r="AI65" s="23" t="n">
        <x:f>IF(AND(P65&gt;0,S65=0),AF65,0)</x:f>
        <x:v>0</x:v>
      </x:c>
      <x:c r="AJ65" s="23" t="n">
        <x:f>IF(R65&lt;30000,AF65,0)</x:f>
        <x:v>0</x:v>
      </x:c>
      <x:c r="AK65" s="460" t="n">
        <x:f>IF(P65&gt;0,AF65*S65,0)</x:f>
        <x:v>0</x:v>
      </x:c>
    </x:row>
    <x:row r="66" ht="22" customHeight="1">
      <x:c r="A66" s="643" t="str">
        <x:v>保守</x:v>
      </x:c>
      <x:c r="B66" s="648" t="n">
        <x:f>'114_降本系数'!B26</x:f>
        <x:v>0.35</x:v>
      </x:c>
      <x:c r="C66" s="643" t="str">
        <x:v>L0</x:v>
      </x:c>
      <x:c r="D66" s="648" t="n">
        <x:f>'130_联合算法'!C16</x:f>
        <x:v>0.6</x:v>
      </x:c>
      <x:c r="E66" s="647" t="n">
        <x:f>'117_价格概率传导'!A11</x:f>
        <x:v>219900</x:v>
      </x:c>
      <x:c r="F66" s="648" t="n">
        <x:f>'117_价格概率传导'!C11</x:f>
        <x:v>0.01</x:v>
      </x:c>
      <x:c r="G66" s="648" t="n">
        <x:f>SUM('117_价格概率传导'!$C$6:$C$10)</x:f>
        <x:v>0.99</x:v>
      </x:c>
      <x:c r="H66" s="648" t="n">
        <x:f>SUM('117_价格概率传导'!$C$6:$C$11)</x:f>
        <x:v>1</x:v>
      </x:c>
      <x:c r="I66" s="647" t="n">
        <x:f>'117_价格概率传导'!A21</x:f>
        <x:v>259900</x:v>
      </x:c>
      <x:c r="J66" s="648" t="n">
        <x:f>'117_价格概率传导'!C21</x:f>
        <x:v>0.03</x:v>
      </x:c>
      <x:c r="K66" s="648" t="n">
        <x:f>SUM('117_价格概率传导'!$C$16:$C$20)</x:f>
        <x:v>0.9700000000000001</x:v>
      </x:c>
      <x:c r="L66" s="648" t="n">
        <x:f>SUM('117_价格概率传导'!$C$16:$C$21)</x:f>
        <x:v>1</x:v>
      </x:c>
      <x:c r="M66" s="648" t="n">
        <x:f>MAX(0,MIN(H66,L66)-MAX(G66,K66))</x:f>
        <x:v>0.010000000000000009</x:v>
      </x:c>
      <x:c r="N66" s="648" t="n">
        <x:f>B66*D66*M66</x:f>
        <x:v>0.0021000000000000016</x:v>
      </x:c>
      <x:c r="O66" s="647" t="n">
        <x:f>I66</x:f>
        <x:v>259900</x:v>
      </x:c>
      <x:c r="P66" s="647" t="str">
        <x:f>""</x:f>
      </x:c>
      <x:c r="Q66" s="647" t="str">
        <x:f>""</x:f>
      </x:c>
      <x:c r="R66" s="647" t="n">
        <x:f>O66-E66</x:f>
        <x:v>40000</x:v>
      </x:c>
      <x:c r="S66" s="647" t="str">
        <x:f>IF(P66&gt;0,P66-E66,"")</x:f>
      </x:c>
      <x:c r="T66" s="647" t="str">
        <x:f>IF(Q66&gt;0,Q66-E66,"")</x:f>
      </x:c>
      <x:c r="U66" s="648" t="n">
        <x:f>IF(R66&lt;30000,N66,0)</x:f>
        <x:v>0</x:v>
      </x:c>
      <x:c r="V66" s="648" t="n">
        <x:f>IF(P66&gt;0,N66,0)</x:f>
        <x:v>0</x:v>
      </x:c>
      <x:c r="W66" s="648" t="n">
        <x:f>IF(AND(P66&gt;0,S66&lt;0),N66,0)</x:f>
        <x:v>0</x:v>
      </x:c>
      <x:c r="X66" s="648" t="n">
        <x:f>IF(AND(P66&gt;0,S66=0),N66,0)</x:f>
        <x:v>0</x:v>
      </x:c>
      <x:c r="Y66" s="648" t="n">
        <x:f>IF(Q66&gt;0,N66,0)</x:f>
        <x:v>0</x:v>
      </x:c>
      <x:c r="Z66" s="647" t="n">
        <x:f>IF(P66&gt;0,N66*S66,0)</x:f>
        <x:v>0</x:v>
      </x:c>
      <x:c r="AA66" s="647" t="n">
        <x:f>IF(Q66&gt;0,N66*T66,0)</x:f>
        <x:v>0</x:v>
      </x:c>
      <x:c r="AB66" s="647" t="n">
        <x:f>N66*R66</x:f>
        <x:v>84.00000000000007</x:v>
      </x:c>
      <x:c r="AC66" s="647" t="n">
        <x:f>IF(N66&gt;0,R66,999999)</x:f>
        <x:v>40000</x:v>
      </x:c>
      <x:c r="AD66" s="647" t="n">
        <x:f>IF(AND(N66&gt;0,P66&gt;0),S66,999999)</x:f>
        <x:v>999999</x:v>
      </x:c>
      <x:c r="AE66" s="647" t="n">
        <x:f>IF(AND(N66&gt;0,Q66&gt;0),T66,999999)</x:f>
        <x:v>999999</x:v>
      </x:c>
      <x:c r="AF66" s="648" t="n">
        <x:f>B66*D66*F66*J66</x:f>
        <x:v>0.000063</x:v>
      </x:c>
      <x:c r="AG66" s="648" t="n">
        <x:f>IF(P66&gt;0,AF66,0)</x:f>
        <x:v>0</x:v>
      </x:c>
      <x:c r="AH66" s="648" t="n">
        <x:f>IF(AND(P66&gt;0,S66&lt;0),AF66,0)</x:f>
        <x:v>0</x:v>
      </x:c>
      <x:c r="AI66" s="648" t="n">
        <x:f>IF(AND(P66&gt;0,S66=0),AF66,0)</x:f>
        <x:v>0</x:v>
      </x:c>
      <x:c r="AJ66" s="648" t="n">
        <x:f>IF(R66&lt;30000,AF66,0)</x:f>
        <x:v>0</x:v>
      </x:c>
      <x:c r="AK66" s="647" t="n">
        <x:f>IF(P66&gt;0,AF66*S66,0)</x:f>
        <x:v>0</x:v>
      </x:c>
    </x:row>
    <x:row r="67" ht="22" customHeight="1">
      <x:c r="A67" s="19" t="str">
        <x:v>保守</x:v>
      </x:c>
      <x:c r="B67" s="23" t="n">
        <x:f>'114_降本系数'!B26</x:f>
        <x:v>0.35</x:v>
      </x:c>
      <x:c r="C67" s="19" t="str">
        <x:v>L1A</x:v>
      </x:c>
      <x:c r="D67" s="23" t="n">
        <x:f>'130_联合算法'!C17</x:f>
        <x:v>0.15</x:v>
      </x:c>
      <x:c r="E67" s="460" t="n">
        <x:f>'117_价格概率传导'!A6</x:f>
        <x:v>259900</x:v>
      </x:c>
      <x:c r="F67" s="23" t="n">
        <x:f>'117_价格概率传导'!C6</x:f>
        <x:v>0.06</x:v>
      </x:c>
      <x:c r="G67" s="23" t="n">
        <x:f>0</x:f>
        <x:v>0</x:v>
      </x:c>
      <x:c r="H67" s="23" t="n">
        <x:f>SUM('117_价格概率传导'!$C$6:$C$6)</x:f>
        <x:v>0.06</x:v>
      </x:c>
      <x:c r="I67" s="460" t="n">
        <x:f>'117_价格概率传导'!A16</x:f>
        <x:v>299900</x:v>
      </x:c>
      <x:c r="J67" s="23" t="n">
        <x:f>'117_价格概率传导'!C16</x:f>
        <x:v>0.05</x:v>
      </x:c>
      <x:c r="K67" s="23" t="n">
        <x:f>0</x:f>
        <x:v>0</x:v>
      </x:c>
      <x:c r="L67" s="23" t="n">
        <x:f>SUM('117_价格概率传导'!$C$16:$C$16)</x:f>
        <x:v>0.05</x:v>
      </x:c>
      <x:c r="M67" s="23" t="n">
        <x:f>MAX(0,MIN(H67,L67)-MAX(G67,K67))</x:f>
        <x:v>0.05</x:v>
      </x:c>
      <x:c r="N67" s="23" t="n">
        <x:f>B67*D67*M67</x:f>
        <x:v>0.002625</x:v>
      </x:c>
      <x:c r="O67" s="460" t="n">
        <x:f>MIN(299900,I67+20000)</x:f>
        <x:v>299900</x:v>
      </x:c>
      <x:c r="P67" s="460" t="n">
        <x:f>O67-30000</x:f>
        <x:v>269900</x:v>
      </x:c>
      <x:c r="Q67" s="460" t="str">
        <x:f>""</x:f>
      </x:c>
      <x:c r="R67" s="460" t="n">
        <x:f>O67-E67</x:f>
        <x:v>40000</x:v>
      </x:c>
      <x:c r="S67" s="460" t="n">
        <x:f>IF(P67&gt;0,P67-E67,"")</x:f>
        <x:v>10000</x:v>
      </x:c>
      <x:c r="T67" s="460" t="str">
        <x:f>IF(Q67&gt;0,Q67-E67,"")</x:f>
      </x:c>
      <x:c r="U67" s="23" t="n">
        <x:f>IF(R67&lt;30000,N67,0)</x:f>
        <x:v>0</x:v>
      </x:c>
      <x:c r="V67" s="23" t="n">
        <x:f>IF(P67&gt;0,N67,0)</x:f>
        <x:v>0.002625</x:v>
      </x:c>
      <x:c r="W67" s="23" t="n">
        <x:f>IF(AND(P67&gt;0,S67&lt;0),N67,0)</x:f>
        <x:v>0</x:v>
      </x:c>
      <x:c r="X67" s="23" t="n">
        <x:f>IF(AND(P67&gt;0,S67=0),N67,0)</x:f>
        <x:v>0</x:v>
      </x:c>
      <x:c r="Y67" s="23" t="n">
        <x:f>IF(Q67&gt;0,N67,0)</x:f>
        <x:v>0</x:v>
      </x:c>
      <x:c r="Z67" s="460" t="n">
        <x:f>IF(P67&gt;0,N67*S67,0)</x:f>
        <x:v>26.25</x:v>
      </x:c>
      <x:c r="AA67" s="460" t="n">
        <x:f>IF(Q67&gt;0,N67*T67,0)</x:f>
        <x:v>0</x:v>
      </x:c>
      <x:c r="AB67" s="460" t="n">
        <x:f>N67*R67</x:f>
        <x:v>105</x:v>
      </x:c>
      <x:c r="AC67" s="460" t="n">
        <x:f>IF(N67&gt;0,R67,999999)</x:f>
        <x:v>40000</x:v>
      </x:c>
      <x:c r="AD67" s="460" t="n">
        <x:f>IF(AND(N67&gt;0,P67&gt;0),S67,999999)</x:f>
        <x:v>10000</x:v>
      </x:c>
      <x:c r="AE67" s="460" t="n">
        <x:f>IF(AND(N67&gt;0,Q67&gt;0),T67,999999)</x:f>
        <x:v>999999</x:v>
      </x:c>
      <x:c r="AF67" s="23" t="n">
        <x:f>B67*D67*F67*J67</x:f>
        <x:v>0.00015749999999999998</x:v>
      </x:c>
      <x:c r="AG67" s="23" t="n">
        <x:f>IF(P67&gt;0,AF67,0)</x:f>
        <x:v>0.00015749999999999998</x:v>
      </x:c>
      <x:c r="AH67" s="23" t="n">
        <x:f>IF(AND(P67&gt;0,S67&lt;0),AF67,0)</x:f>
        <x:v>0</x:v>
      </x:c>
      <x:c r="AI67" s="23" t="n">
        <x:f>IF(AND(P67&gt;0,S67=0),AF67,0)</x:f>
        <x:v>0</x:v>
      </x:c>
      <x:c r="AJ67" s="23" t="n">
        <x:f>IF(R67&lt;30000,AF67,0)</x:f>
        <x:v>0</x:v>
      </x:c>
      <x:c r="AK67" s="460" t="n">
        <x:f>IF(P67&gt;0,AF67*S67,0)</x:f>
        <x:v>1.5749999999999997</x:v>
      </x:c>
    </x:row>
    <x:row r="68" ht="22" customHeight="1">
      <x:c r="A68" s="643" t="str">
        <x:v>保守</x:v>
      </x:c>
      <x:c r="B68" s="648" t="n">
        <x:f>'114_降本系数'!B26</x:f>
        <x:v>0.35</x:v>
      </x:c>
      <x:c r="C68" s="643" t="str">
        <x:v>L1A</x:v>
      </x:c>
      <x:c r="D68" s="648" t="n">
        <x:f>'130_联合算法'!C17</x:f>
        <x:v>0.15</x:v>
      </x:c>
      <x:c r="E68" s="647" t="n">
        <x:f>'117_价格概率传导'!A6</x:f>
        <x:v>259900</x:v>
      </x:c>
      <x:c r="F68" s="648" t="n">
        <x:f>'117_价格概率传导'!C6</x:f>
        <x:v>0.06</x:v>
      </x:c>
      <x:c r="G68" s="648" t="n">
        <x:f>0</x:f>
        <x:v>0</x:v>
      </x:c>
      <x:c r="H68" s="648" t="n">
        <x:f>SUM('117_价格概率传导'!$C$6:$C$6)</x:f>
        <x:v>0.06</x:v>
      </x:c>
      <x:c r="I68" s="647" t="n">
        <x:f>'117_价格概率传导'!A17</x:f>
        <x:v>293900</x:v>
      </x:c>
      <x:c r="J68" s="648" t="n">
        <x:f>'117_价格概率传导'!C17</x:f>
        <x:v>0.06</x:v>
      </x:c>
      <x:c r="K68" s="648" t="n">
        <x:f>SUM('117_价格概率传导'!$C$16:$C$16)</x:f>
        <x:v>0.05</x:v>
      </x:c>
      <x:c r="L68" s="648" t="n">
        <x:f>SUM('117_价格概率传导'!$C$16:$C$17)</x:f>
        <x:v>0.11</x:v>
      </x:c>
      <x:c r="M68" s="648" t="n">
        <x:f>MAX(0,MIN(H68,L68)-MAX(G68,K68))</x:f>
        <x:v>0.009999999999999995</x:v>
      </x:c>
      <x:c r="N68" s="648" t="n">
        <x:f>B68*D68*M68</x:f>
        <x:v>0.0005249999999999998</x:v>
      </x:c>
      <x:c r="O68" s="647" t="n">
        <x:f>MIN(299900,I68+20000)</x:f>
        <x:v>299900</x:v>
      </x:c>
      <x:c r="P68" s="647" t="n">
        <x:f>O68-30000</x:f>
        <x:v>269900</x:v>
      </x:c>
      <x:c r="Q68" s="647" t="str">
        <x:f>""</x:f>
      </x:c>
      <x:c r="R68" s="647" t="n">
        <x:f>O68-E68</x:f>
        <x:v>40000</x:v>
      </x:c>
      <x:c r="S68" s="647" t="n">
        <x:f>IF(P68&gt;0,P68-E68,"")</x:f>
        <x:v>10000</x:v>
      </x:c>
      <x:c r="T68" s="647" t="str">
        <x:f>IF(Q68&gt;0,Q68-E68,"")</x:f>
      </x:c>
      <x:c r="U68" s="648" t="n">
        <x:f>IF(R68&lt;30000,N68,0)</x:f>
        <x:v>0</x:v>
      </x:c>
      <x:c r="V68" s="648" t="n">
        <x:f>IF(P68&gt;0,N68,0)</x:f>
        <x:v>0.0005249999999999998</x:v>
      </x:c>
      <x:c r="W68" s="648" t="n">
        <x:f>IF(AND(P68&gt;0,S68&lt;0),N68,0)</x:f>
        <x:v>0</x:v>
      </x:c>
      <x:c r="X68" s="648" t="n">
        <x:f>IF(AND(P68&gt;0,S68=0),N68,0)</x:f>
        <x:v>0</x:v>
      </x:c>
      <x:c r="Y68" s="648" t="n">
        <x:f>IF(Q68&gt;0,N68,0)</x:f>
        <x:v>0</x:v>
      </x:c>
      <x:c r="Z68" s="647" t="n">
        <x:f>IF(P68&gt;0,N68*S68,0)</x:f>
        <x:v>5.249999999999997</x:v>
      </x:c>
      <x:c r="AA68" s="647" t="n">
        <x:f>IF(Q68&gt;0,N68*T68,0)</x:f>
        <x:v>0</x:v>
      </x:c>
      <x:c r="AB68" s="647" t="n">
        <x:f>N68*R68</x:f>
        <x:v>20.99999999999999</x:v>
      </x:c>
      <x:c r="AC68" s="647" t="n">
        <x:f>IF(N68&gt;0,R68,999999)</x:f>
        <x:v>40000</x:v>
      </x:c>
      <x:c r="AD68" s="647" t="n">
        <x:f>IF(AND(N68&gt;0,P68&gt;0),S68,999999)</x:f>
        <x:v>10000</x:v>
      </x:c>
      <x:c r="AE68" s="647" t="n">
        <x:f>IF(AND(N68&gt;0,Q68&gt;0),T68,999999)</x:f>
        <x:v>999999</x:v>
      </x:c>
      <x:c r="AF68" s="648" t="n">
        <x:f>B68*D68*F68*J68</x:f>
        <x:v>0.00018899999999999996</x:v>
      </x:c>
      <x:c r="AG68" s="648" t="n">
        <x:f>IF(P68&gt;0,AF68,0)</x:f>
        <x:v>0.00018899999999999996</x:v>
      </x:c>
      <x:c r="AH68" s="648" t="n">
        <x:f>IF(AND(P68&gt;0,S68&lt;0),AF68,0)</x:f>
        <x:v>0</x:v>
      </x:c>
      <x:c r="AI68" s="648" t="n">
        <x:f>IF(AND(P68&gt;0,S68=0),AF68,0)</x:f>
        <x:v>0</x:v>
      </x:c>
      <x:c r="AJ68" s="648" t="n">
        <x:f>IF(R68&lt;30000,AF68,0)</x:f>
        <x:v>0</x:v>
      </x:c>
      <x:c r="AK68" s="647" t="n">
        <x:f>IF(P68&gt;0,AF68*S68,0)</x:f>
        <x:v>1.8899999999999997</x:v>
      </x:c>
    </x:row>
    <x:row r="69" ht="22" customHeight="1">
      <x:c r="A69" s="19" t="str">
        <x:v>保守</x:v>
      </x:c>
      <x:c r="B69" s="23" t="n">
        <x:f>'114_降本系数'!B26</x:f>
        <x:v>0.35</x:v>
      </x:c>
      <x:c r="C69" s="19" t="str">
        <x:v>L1A</x:v>
      </x:c>
      <x:c r="D69" s="23" t="n">
        <x:f>'130_联合算法'!C17</x:f>
        <x:v>0.15</x:v>
      </x:c>
      <x:c r="E69" s="460" t="n">
        <x:f>'117_价格概率传导'!A6</x:f>
        <x:v>259900</x:v>
      </x:c>
      <x:c r="F69" s="23" t="n">
        <x:f>'117_价格概率传导'!C6</x:f>
        <x:v>0.06</x:v>
      </x:c>
      <x:c r="G69" s="23" t="n">
        <x:f>0</x:f>
        <x:v>0</x:v>
      </x:c>
      <x:c r="H69" s="23" t="n">
        <x:f>SUM('117_价格概率传导'!$C$6:$C$6)</x:f>
        <x:v>0.06</x:v>
      </x:c>
      <x:c r="I69" s="460" t="n">
        <x:f>'117_价格概率传导'!A18</x:f>
        <x:v>289900</x:v>
      </x:c>
      <x:c r="J69" s="23" t="n">
        <x:f>'117_价格概率传导'!C18</x:f>
        <x:v>0.34</x:v>
      </x:c>
      <x:c r="K69" s="23" t="n">
        <x:f>SUM('117_价格概率传导'!$C$16:$C$17)</x:f>
        <x:v>0.11</x:v>
      </x:c>
      <x:c r="L69" s="23" t="n">
        <x:f>SUM('117_价格概率传导'!$C$16:$C$18)</x:f>
        <x:v>0.45</x:v>
      </x:c>
      <x:c r="M69" s="23" t="n">
        <x:f>MAX(0,MIN(H69,L69)-MAX(G69,K69))</x:f>
        <x:v>0</x:v>
      </x:c>
      <x:c r="N69" s="23" t="n">
        <x:f>B69*D69*M69</x:f>
        <x:v>0</x:v>
      </x:c>
      <x:c r="O69" s="460" t="n">
        <x:f>MIN(299900,I69+20000)</x:f>
        <x:v>299900</x:v>
      </x:c>
      <x:c r="P69" s="460" t="n">
        <x:f>O69-30000</x:f>
        <x:v>269900</x:v>
      </x:c>
      <x:c r="Q69" s="460" t="str">
        <x:f>""</x:f>
      </x:c>
      <x:c r="R69" s="460" t="n">
        <x:f>O69-E69</x:f>
        <x:v>40000</x:v>
      </x:c>
      <x:c r="S69" s="460" t="n">
        <x:f>IF(P69&gt;0,P69-E69,"")</x:f>
        <x:v>10000</x:v>
      </x:c>
      <x:c r="T69" s="460" t="str">
        <x:f>IF(Q69&gt;0,Q69-E69,"")</x:f>
      </x:c>
      <x:c r="U69" s="23" t="n">
        <x:f>IF(R69&lt;30000,N69,0)</x:f>
        <x:v>0</x:v>
      </x:c>
      <x:c r="V69" s="23" t="n">
        <x:f>IF(P69&gt;0,N69,0)</x:f>
        <x:v>0</x:v>
      </x:c>
      <x:c r="W69" s="23" t="n">
        <x:f>IF(AND(P69&gt;0,S69&lt;0),N69,0)</x:f>
        <x:v>0</x:v>
      </x:c>
      <x:c r="X69" s="23" t="n">
        <x:f>IF(AND(P69&gt;0,S69=0),N69,0)</x:f>
        <x:v>0</x:v>
      </x:c>
      <x:c r="Y69" s="23" t="n">
        <x:f>IF(Q69&gt;0,N69,0)</x:f>
        <x:v>0</x:v>
      </x:c>
      <x:c r="Z69" s="460" t="n">
        <x:f>IF(P69&gt;0,N69*S69,0)</x:f>
        <x:v>0</x:v>
      </x:c>
      <x:c r="AA69" s="460" t="n">
        <x:f>IF(Q69&gt;0,N69*T69,0)</x:f>
        <x:v>0</x:v>
      </x:c>
      <x:c r="AB69" s="460" t="n">
        <x:f>N69*R69</x:f>
        <x:v>0</x:v>
      </x:c>
      <x:c r="AC69" s="460" t="n">
        <x:f>IF(N69&gt;0,R69,999999)</x:f>
        <x:v>999999</x:v>
      </x:c>
      <x:c r="AD69" s="460" t="n">
        <x:f>IF(AND(N69&gt;0,P69&gt;0),S69,999999)</x:f>
        <x:v>999999</x:v>
      </x:c>
      <x:c r="AE69" s="460" t="n">
        <x:f>IF(AND(N69&gt;0,Q69&gt;0),T69,999999)</x:f>
        <x:v>999999</x:v>
      </x:c>
      <x:c r="AF69" s="23" t="n">
        <x:f>B69*D69*F69*J69</x:f>
        <x:v>0.001071</x:v>
      </x:c>
      <x:c r="AG69" s="23" t="n">
        <x:f>IF(P69&gt;0,AF69,0)</x:f>
        <x:v>0.001071</x:v>
      </x:c>
      <x:c r="AH69" s="23" t="n">
        <x:f>IF(AND(P69&gt;0,S69&lt;0),AF69,0)</x:f>
        <x:v>0</x:v>
      </x:c>
      <x:c r="AI69" s="23" t="n">
        <x:f>IF(AND(P69&gt;0,S69=0),AF69,0)</x:f>
        <x:v>0</x:v>
      </x:c>
      <x:c r="AJ69" s="23" t="n">
        <x:f>IF(R69&lt;30000,AF69,0)</x:f>
        <x:v>0</x:v>
      </x:c>
      <x:c r="AK69" s="460" t="n">
        <x:f>IF(P69&gt;0,AF69*S69,0)</x:f>
        <x:v>10.709999999999999</x:v>
      </x:c>
    </x:row>
    <x:row r="70" ht="22" customHeight="1">
      <x:c r="A70" s="643" t="str">
        <x:v>保守</x:v>
      </x:c>
      <x:c r="B70" s="648" t="n">
        <x:f>'114_降本系数'!B26</x:f>
        <x:v>0.35</x:v>
      </x:c>
      <x:c r="C70" s="643" t="str">
        <x:v>L1A</x:v>
      </x:c>
      <x:c r="D70" s="648" t="n">
        <x:f>'130_联合算法'!C17</x:f>
        <x:v>0.15</x:v>
      </x:c>
      <x:c r="E70" s="647" t="n">
        <x:f>'117_价格概率传导'!A6</x:f>
        <x:v>259900</x:v>
      </x:c>
      <x:c r="F70" s="648" t="n">
        <x:f>'117_价格概率传导'!C6</x:f>
        <x:v>0.06</x:v>
      </x:c>
      <x:c r="G70" s="648" t="n">
        <x:f>0</x:f>
        <x:v>0</x:v>
      </x:c>
      <x:c r="H70" s="648" t="n">
        <x:f>SUM('117_价格概率传导'!$C$6:$C$6)</x:f>
        <x:v>0.06</x:v>
      </x:c>
      <x:c r="I70" s="647" t="n">
        <x:f>'117_价格概率传导'!A19</x:f>
        <x:v>279900</x:v>
      </x:c>
      <x:c r="J70" s="648" t="n">
        <x:f>'117_价格概率传导'!C19</x:f>
        <x:v>0.39</x:v>
      </x:c>
      <x:c r="K70" s="648" t="n">
        <x:f>SUM('117_价格概率传导'!$C$16:$C$18)</x:f>
        <x:v>0.45</x:v>
      </x:c>
      <x:c r="L70" s="648" t="n">
        <x:f>SUM('117_价格概率传导'!$C$16:$C$19)</x:f>
        <x:v>0.8400000000000001</x:v>
      </x:c>
      <x:c r="M70" s="648" t="n">
        <x:f>MAX(0,MIN(H70,L70)-MAX(G70,K70))</x:f>
        <x:v>0</x:v>
      </x:c>
      <x:c r="N70" s="648" t="n">
        <x:f>B70*D70*M70</x:f>
        <x:v>0</x:v>
      </x:c>
      <x:c r="O70" s="647" t="n">
        <x:f>MIN(299900,I70+20000)</x:f>
        <x:v>299900</x:v>
      </x:c>
      <x:c r="P70" s="647" t="n">
        <x:f>O70-30000</x:f>
        <x:v>269900</x:v>
      </x:c>
      <x:c r="Q70" s="647" t="str">
        <x:f>""</x:f>
      </x:c>
      <x:c r="R70" s="647" t="n">
        <x:f>O70-E70</x:f>
        <x:v>40000</x:v>
      </x:c>
      <x:c r="S70" s="647" t="n">
        <x:f>IF(P70&gt;0,P70-E70,"")</x:f>
        <x:v>10000</x:v>
      </x:c>
      <x:c r="T70" s="647" t="str">
        <x:f>IF(Q70&gt;0,Q70-E70,"")</x:f>
      </x:c>
      <x:c r="U70" s="648" t="n">
        <x:f>IF(R70&lt;30000,N70,0)</x:f>
        <x:v>0</x:v>
      </x:c>
      <x:c r="V70" s="648" t="n">
        <x:f>IF(P70&gt;0,N70,0)</x:f>
        <x:v>0</x:v>
      </x:c>
      <x:c r="W70" s="648" t="n">
        <x:f>IF(AND(P70&gt;0,S70&lt;0),N70,0)</x:f>
        <x:v>0</x:v>
      </x:c>
      <x:c r="X70" s="648" t="n">
        <x:f>IF(AND(P70&gt;0,S70=0),N70,0)</x:f>
        <x:v>0</x:v>
      </x:c>
      <x:c r="Y70" s="648" t="n">
        <x:f>IF(Q70&gt;0,N70,0)</x:f>
        <x:v>0</x:v>
      </x:c>
      <x:c r="Z70" s="647" t="n">
        <x:f>IF(P70&gt;0,N70*S70,0)</x:f>
        <x:v>0</x:v>
      </x:c>
      <x:c r="AA70" s="647" t="n">
        <x:f>IF(Q70&gt;0,N70*T70,0)</x:f>
        <x:v>0</x:v>
      </x:c>
      <x:c r="AB70" s="647" t="n">
        <x:f>N70*R70</x:f>
        <x:v>0</x:v>
      </x:c>
      <x:c r="AC70" s="647" t="n">
        <x:f>IF(N70&gt;0,R70,999999)</x:f>
        <x:v>999999</x:v>
      </x:c>
      <x:c r="AD70" s="647" t="n">
        <x:f>IF(AND(N70&gt;0,P70&gt;0),S70,999999)</x:f>
        <x:v>999999</x:v>
      </x:c>
      <x:c r="AE70" s="647" t="n">
        <x:f>IF(AND(N70&gt;0,Q70&gt;0),T70,999999)</x:f>
        <x:v>999999</x:v>
      </x:c>
      <x:c r="AF70" s="648" t="n">
        <x:f>B70*D70*F70*J70</x:f>
        <x:v>0.0012284999999999998</x:v>
      </x:c>
      <x:c r="AG70" s="648" t="n">
        <x:f>IF(P70&gt;0,AF70,0)</x:f>
        <x:v>0.0012284999999999998</x:v>
      </x:c>
      <x:c r="AH70" s="648" t="n">
        <x:f>IF(AND(P70&gt;0,S70&lt;0),AF70,0)</x:f>
        <x:v>0</x:v>
      </x:c>
      <x:c r="AI70" s="648" t="n">
        <x:f>IF(AND(P70&gt;0,S70=0),AF70,0)</x:f>
        <x:v>0</x:v>
      </x:c>
      <x:c r="AJ70" s="648" t="n">
        <x:f>IF(R70&lt;30000,AF70,0)</x:f>
        <x:v>0</x:v>
      </x:c>
      <x:c r="AK70" s="647" t="n">
        <x:f>IF(P70&gt;0,AF70*S70,0)</x:f>
        <x:v>12.284999999999998</x:v>
      </x:c>
    </x:row>
    <x:row r="71" ht="22" customHeight="1">
      <x:c r="A71" s="19" t="str">
        <x:v>保守</x:v>
      </x:c>
      <x:c r="B71" s="23" t="n">
        <x:f>'114_降本系数'!B26</x:f>
        <x:v>0.35</x:v>
      </x:c>
      <x:c r="C71" s="19" t="str">
        <x:v>L1A</x:v>
      </x:c>
      <x:c r="D71" s="23" t="n">
        <x:f>'130_联合算法'!C17</x:f>
        <x:v>0.15</x:v>
      </x:c>
      <x:c r="E71" s="460" t="n">
        <x:f>'117_价格概率传导'!A6</x:f>
        <x:v>259900</x:v>
      </x:c>
      <x:c r="F71" s="23" t="n">
        <x:f>'117_价格概率传导'!C6</x:f>
        <x:v>0.06</x:v>
      </x:c>
      <x:c r="G71" s="23" t="n">
        <x:f>0</x:f>
        <x:v>0</x:v>
      </x:c>
      <x:c r="H71" s="23" t="n">
        <x:f>SUM('117_价格概率传导'!$C$6:$C$6)</x:f>
        <x:v>0.06</x:v>
      </x:c>
      <x:c r="I71" s="460" t="n">
        <x:f>'117_价格概率传导'!A20</x:f>
        <x:v>269900</x:v>
      </x:c>
      <x:c r="J71" s="23" t="n">
        <x:f>'117_价格概率传导'!C20</x:f>
        <x:v>0.13</x:v>
      </x:c>
      <x:c r="K71" s="23" t="n">
        <x:f>SUM('117_价格概率传导'!$C$16:$C$19)</x:f>
        <x:v>0.8400000000000001</x:v>
      </x:c>
      <x:c r="L71" s="23" t="n">
        <x:f>SUM('117_价格概率传导'!$C$16:$C$20)</x:f>
        <x:v>0.9700000000000001</x:v>
      </x:c>
      <x:c r="M71" s="23" t="n">
        <x:f>MAX(0,MIN(H71,L71)-MAX(G71,K71))</x:f>
        <x:v>0</x:v>
      </x:c>
      <x:c r="N71" s="23" t="n">
        <x:f>B71*D71*M71</x:f>
        <x:v>0</x:v>
      </x:c>
      <x:c r="O71" s="460" t="n">
        <x:f>MIN(299900,I71+20000)</x:f>
        <x:v>289900</x:v>
      </x:c>
      <x:c r="P71" s="460" t="n">
        <x:f>O71-30000</x:f>
        <x:v>259900</x:v>
      </x:c>
      <x:c r="Q71" s="460" t="str">
        <x:f>""</x:f>
      </x:c>
      <x:c r="R71" s="460" t="n">
        <x:f>O71-E71</x:f>
        <x:v>30000</x:v>
      </x:c>
      <x:c r="S71" s="460" t="n">
        <x:f>IF(P71&gt;0,P71-E71,"")</x:f>
        <x:v>0</x:v>
      </x:c>
      <x:c r="T71" s="460" t="str">
        <x:f>IF(Q71&gt;0,Q71-E71,"")</x:f>
      </x:c>
      <x:c r="U71" s="23" t="n">
        <x:f>IF(R71&lt;30000,N71,0)</x:f>
        <x:v>0</x:v>
      </x:c>
      <x:c r="V71" s="23" t="n">
        <x:f>IF(P71&gt;0,N71,0)</x:f>
        <x:v>0</x:v>
      </x:c>
      <x:c r="W71" s="23" t="n">
        <x:f>IF(AND(P71&gt;0,S71&lt;0),N71,0)</x:f>
        <x:v>0</x:v>
      </x:c>
      <x:c r="X71" s="23" t="n">
        <x:f>IF(AND(P71&gt;0,S71=0),N71,0)</x:f>
        <x:v>0</x:v>
      </x:c>
      <x:c r="Y71" s="23" t="n">
        <x:f>IF(Q71&gt;0,N71,0)</x:f>
        <x:v>0</x:v>
      </x:c>
      <x:c r="Z71" s="460" t="n">
        <x:f>IF(P71&gt;0,N71*S71,0)</x:f>
        <x:v>0</x:v>
      </x:c>
      <x:c r="AA71" s="460" t="n">
        <x:f>IF(Q71&gt;0,N71*T71,0)</x:f>
        <x:v>0</x:v>
      </x:c>
      <x:c r="AB71" s="460" t="n">
        <x:f>N71*R71</x:f>
        <x:v>0</x:v>
      </x:c>
      <x:c r="AC71" s="460" t="n">
        <x:f>IF(N71&gt;0,R71,999999)</x:f>
        <x:v>999999</x:v>
      </x:c>
      <x:c r="AD71" s="460" t="n">
        <x:f>IF(AND(N71&gt;0,P71&gt;0),S71,999999)</x:f>
        <x:v>999999</x:v>
      </x:c>
      <x:c r="AE71" s="460" t="n">
        <x:f>IF(AND(N71&gt;0,Q71&gt;0),T71,999999)</x:f>
        <x:v>999999</x:v>
      </x:c>
      <x:c r="AF71" s="23" t="n">
        <x:f>B71*D71*F71*J71</x:f>
        <x:v>0.0004095</x:v>
      </x:c>
      <x:c r="AG71" s="23" t="n">
        <x:f>IF(P71&gt;0,AF71,0)</x:f>
        <x:v>0.0004095</x:v>
      </x:c>
      <x:c r="AH71" s="23" t="n">
        <x:f>IF(AND(P71&gt;0,S71&lt;0),AF71,0)</x:f>
        <x:v>0</x:v>
      </x:c>
      <x:c r="AI71" s="23" t="n">
        <x:f>IF(AND(P71&gt;0,S71=0),AF71,0)</x:f>
        <x:v>0.0004095</x:v>
      </x:c>
      <x:c r="AJ71" s="23" t="n">
        <x:f>IF(R71&lt;30000,AF71,0)</x:f>
        <x:v>0</x:v>
      </x:c>
      <x:c r="AK71" s="460" t="n">
        <x:f>IF(P71&gt;0,AF71*S71,0)</x:f>
        <x:v>0</x:v>
      </x:c>
    </x:row>
    <x:row r="72" ht="22" customHeight="1">
      <x:c r="A72" s="643" t="str">
        <x:v>保守</x:v>
      </x:c>
      <x:c r="B72" s="648" t="n">
        <x:f>'114_降本系数'!B26</x:f>
        <x:v>0.35</x:v>
      </x:c>
      <x:c r="C72" s="643" t="str">
        <x:v>L1A</x:v>
      </x:c>
      <x:c r="D72" s="648" t="n">
        <x:f>'130_联合算法'!C17</x:f>
        <x:v>0.15</x:v>
      </x:c>
      <x:c r="E72" s="647" t="n">
        <x:f>'117_价格概率传导'!A6</x:f>
        <x:v>259900</x:v>
      </x:c>
      <x:c r="F72" s="648" t="n">
        <x:f>'117_价格概率传导'!C6</x:f>
        <x:v>0.06</x:v>
      </x:c>
      <x:c r="G72" s="648" t="n">
        <x:f>0</x:f>
        <x:v>0</x:v>
      </x:c>
      <x:c r="H72" s="648" t="n">
        <x:f>SUM('117_价格概率传导'!$C$6:$C$6)</x:f>
        <x:v>0.06</x:v>
      </x:c>
      <x:c r="I72" s="647" t="n">
        <x:f>'117_价格概率传导'!A21</x:f>
        <x:v>259900</x:v>
      </x:c>
      <x:c r="J72" s="648" t="n">
        <x:f>'117_价格概率传导'!C21</x:f>
        <x:v>0.03</x:v>
      </x:c>
      <x:c r="K72" s="648" t="n">
        <x:f>SUM('117_价格概率传导'!$C$16:$C$20)</x:f>
        <x:v>0.9700000000000001</x:v>
      </x:c>
      <x:c r="L72" s="648" t="n">
        <x:f>SUM('117_价格概率传导'!$C$16:$C$21)</x:f>
        <x:v>1</x:v>
      </x:c>
      <x:c r="M72" s="648" t="n">
        <x:f>MAX(0,MIN(H72,L72)-MAX(G72,K72))</x:f>
        <x:v>0</x:v>
      </x:c>
      <x:c r="N72" s="648" t="n">
        <x:f>B72*D72*M72</x:f>
        <x:v>0</x:v>
      </x:c>
      <x:c r="O72" s="647" t="n">
        <x:f>MIN(299900,I72+20000)</x:f>
        <x:v>279900</x:v>
      </x:c>
      <x:c r="P72" s="647" t="n">
        <x:f>O72-30000</x:f>
        <x:v>249900</x:v>
      </x:c>
      <x:c r="Q72" s="647" t="str">
        <x:f>""</x:f>
      </x:c>
      <x:c r="R72" s="647" t="n">
        <x:f>O72-E72</x:f>
        <x:v>20000</x:v>
      </x:c>
      <x:c r="S72" s="647" t="n">
        <x:f>IF(P72&gt;0,P72-E72,"")</x:f>
        <x:v>-10000</x:v>
      </x:c>
      <x:c r="T72" s="647" t="str">
        <x:f>IF(Q72&gt;0,Q72-E72,"")</x:f>
      </x:c>
      <x:c r="U72" s="648" t="n">
        <x:f>IF(R72&lt;30000,N72,0)</x:f>
        <x:v>0</x:v>
      </x:c>
      <x:c r="V72" s="648" t="n">
        <x:f>IF(P72&gt;0,N72,0)</x:f>
        <x:v>0</x:v>
      </x:c>
      <x:c r="W72" s="648" t="n">
        <x:f>IF(AND(P72&gt;0,S72&lt;0),N72,0)</x:f>
        <x:v>0</x:v>
      </x:c>
      <x:c r="X72" s="648" t="n">
        <x:f>IF(AND(P72&gt;0,S72=0),N72,0)</x:f>
        <x:v>0</x:v>
      </x:c>
      <x:c r="Y72" s="648" t="n">
        <x:f>IF(Q72&gt;0,N72,0)</x:f>
        <x:v>0</x:v>
      </x:c>
      <x:c r="Z72" s="647" t="n">
        <x:f>IF(P72&gt;0,N72*S72,0)</x:f>
        <x:v>0</x:v>
      </x:c>
      <x:c r="AA72" s="647" t="n">
        <x:f>IF(Q72&gt;0,N72*T72,0)</x:f>
        <x:v>0</x:v>
      </x:c>
      <x:c r="AB72" s="647" t="n">
        <x:f>N72*R72</x:f>
        <x:v>0</x:v>
      </x:c>
      <x:c r="AC72" s="647" t="n">
        <x:f>IF(N72&gt;0,R72,999999)</x:f>
        <x:v>999999</x:v>
      </x:c>
      <x:c r="AD72" s="647" t="n">
        <x:f>IF(AND(N72&gt;0,P72&gt;0),S72,999999)</x:f>
        <x:v>999999</x:v>
      </x:c>
      <x:c r="AE72" s="647" t="n">
        <x:f>IF(AND(N72&gt;0,Q72&gt;0),T72,999999)</x:f>
        <x:v>999999</x:v>
      </x:c>
      <x:c r="AF72" s="648" t="n">
        <x:f>B72*D72*F72*J72</x:f>
        <x:v>0.00009449999999999998</x:v>
      </x:c>
      <x:c r="AG72" s="648" t="n">
        <x:f>IF(P72&gt;0,AF72,0)</x:f>
        <x:v>0.00009449999999999998</x:v>
      </x:c>
      <x:c r="AH72" s="648" t="n">
        <x:f>IF(AND(P72&gt;0,S72&lt;0),AF72,0)</x:f>
        <x:v>0.00009449999999999998</x:v>
      </x:c>
      <x:c r="AI72" s="648" t="n">
        <x:f>IF(AND(P72&gt;0,S72=0),AF72,0)</x:f>
        <x:v>0</x:v>
      </x:c>
      <x:c r="AJ72" s="648" t="n">
        <x:f>IF(R72&lt;30000,AF72,0)</x:f>
        <x:v>0.00009449999999999998</x:v>
      </x:c>
      <x:c r="AK72" s="647" t="n">
        <x:f>IF(P72&gt;0,AF72*S72,0)</x:f>
        <x:v>-0.9449999999999998</x:v>
      </x:c>
    </x:row>
    <x:row r="73" ht="22" customHeight="1">
      <x:c r="A73" s="19" t="str">
        <x:v>保守</x:v>
      </x:c>
      <x:c r="B73" s="23" t="n">
        <x:f>'114_降本系数'!B26</x:f>
        <x:v>0.35</x:v>
      </x:c>
      <x:c r="C73" s="19" t="str">
        <x:v>L1A</x:v>
      </x:c>
      <x:c r="D73" s="23" t="n">
        <x:f>'130_联合算法'!C17</x:f>
        <x:v>0.15</x:v>
      </x:c>
      <x:c r="E73" s="460" t="n">
        <x:f>'117_价格概率传导'!A7</x:f>
        <x:v>253900</x:v>
      </x:c>
      <x:c r="F73" s="23" t="n">
        <x:f>'117_价格概率传导'!C7</x:f>
        <x:v>0.07</x:v>
      </x:c>
      <x:c r="G73" s="23" t="n">
        <x:f>SUM('117_价格概率传导'!$C$6:$C$6)</x:f>
        <x:v>0.06</x:v>
      </x:c>
      <x:c r="H73" s="23" t="n">
        <x:f>SUM('117_价格概率传导'!$C$6:$C$7)</x:f>
        <x:v>0.13</x:v>
      </x:c>
      <x:c r="I73" s="460" t="n">
        <x:f>'117_价格概率传导'!A16</x:f>
        <x:v>299900</x:v>
      </x:c>
      <x:c r="J73" s="23" t="n">
        <x:f>'117_价格概率传导'!C16</x:f>
        <x:v>0.05</x:v>
      </x:c>
      <x:c r="K73" s="23" t="n">
        <x:f>0</x:f>
        <x:v>0</x:v>
      </x:c>
      <x:c r="L73" s="23" t="n">
        <x:f>SUM('117_价格概率传导'!$C$16:$C$16)</x:f>
        <x:v>0.05</x:v>
      </x:c>
      <x:c r="M73" s="23" t="n">
        <x:f>MAX(0,MIN(H73,L73)-MAX(G73,K73))</x:f>
        <x:v>0</x:v>
      </x:c>
      <x:c r="N73" s="23" t="n">
        <x:f>B73*D73*M73</x:f>
        <x:v>0</x:v>
      </x:c>
      <x:c r="O73" s="460" t="n">
        <x:f>MIN(299900,I73+20000)</x:f>
        <x:v>299900</x:v>
      </x:c>
      <x:c r="P73" s="460" t="n">
        <x:f>O73-30000</x:f>
        <x:v>269900</x:v>
      </x:c>
      <x:c r="Q73" s="460" t="str">
        <x:f>""</x:f>
      </x:c>
      <x:c r="R73" s="460" t="n">
        <x:f>O73-E73</x:f>
        <x:v>46000</x:v>
      </x:c>
      <x:c r="S73" s="460" t="n">
        <x:f>IF(P73&gt;0,P73-E73,"")</x:f>
        <x:v>16000</x:v>
      </x:c>
      <x:c r="T73" s="460" t="str">
        <x:f>IF(Q73&gt;0,Q73-E73,"")</x:f>
      </x:c>
      <x:c r="U73" s="23" t="n">
        <x:f>IF(R73&lt;30000,N73,0)</x:f>
        <x:v>0</x:v>
      </x:c>
      <x:c r="V73" s="23" t="n">
        <x:f>IF(P73&gt;0,N73,0)</x:f>
        <x:v>0</x:v>
      </x:c>
      <x:c r="W73" s="23" t="n">
        <x:f>IF(AND(P73&gt;0,S73&lt;0),N73,0)</x:f>
        <x:v>0</x:v>
      </x:c>
      <x:c r="X73" s="23" t="n">
        <x:f>IF(AND(P73&gt;0,S73=0),N73,0)</x:f>
        <x:v>0</x:v>
      </x:c>
      <x:c r="Y73" s="23" t="n">
        <x:f>IF(Q73&gt;0,N73,0)</x:f>
        <x:v>0</x:v>
      </x:c>
      <x:c r="Z73" s="460" t="n">
        <x:f>IF(P73&gt;0,N73*S73,0)</x:f>
        <x:v>0</x:v>
      </x:c>
      <x:c r="AA73" s="460" t="n">
        <x:f>IF(Q73&gt;0,N73*T73,0)</x:f>
        <x:v>0</x:v>
      </x:c>
      <x:c r="AB73" s="460" t="n">
        <x:f>N73*R73</x:f>
        <x:v>0</x:v>
      </x:c>
      <x:c r="AC73" s="460" t="n">
        <x:f>IF(N73&gt;0,R73,999999)</x:f>
        <x:v>999999</x:v>
      </x:c>
      <x:c r="AD73" s="460" t="n">
        <x:f>IF(AND(N73&gt;0,P73&gt;0),S73,999999)</x:f>
        <x:v>999999</x:v>
      </x:c>
      <x:c r="AE73" s="460" t="n">
        <x:f>IF(AND(N73&gt;0,Q73&gt;0),T73,999999)</x:f>
        <x:v>999999</x:v>
      </x:c>
      <x:c r="AF73" s="23" t="n">
        <x:f>B73*D73*F73*J73</x:f>
        <x:v>0.00018375000000000002</x:v>
      </x:c>
      <x:c r="AG73" s="23" t="n">
        <x:f>IF(P73&gt;0,AF73,0)</x:f>
        <x:v>0.00018375000000000002</x:v>
      </x:c>
      <x:c r="AH73" s="23" t="n">
        <x:f>IF(AND(P73&gt;0,S73&lt;0),AF73,0)</x:f>
        <x:v>0</x:v>
      </x:c>
      <x:c r="AI73" s="23" t="n">
        <x:f>IF(AND(P73&gt;0,S73=0),AF73,0)</x:f>
        <x:v>0</x:v>
      </x:c>
      <x:c r="AJ73" s="23" t="n">
        <x:f>IF(R73&lt;30000,AF73,0)</x:f>
        <x:v>0</x:v>
      </x:c>
      <x:c r="AK73" s="460" t="n">
        <x:f>IF(P73&gt;0,AF73*S73,0)</x:f>
        <x:v>2.9400000000000004</x:v>
      </x:c>
    </x:row>
    <x:row r="74" ht="22" customHeight="1">
      <x:c r="A74" s="643" t="str">
        <x:v>保守</x:v>
      </x:c>
      <x:c r="B74" s="648" t="n">
        <x:f>'114_降本系数'!B26</x:f>
        <x:v>0.35</x:v>
      </x:c>
      <x:c r="C74" s="643" t="str">
        <x:v>L1A</x:v>
      </x:c>
      <x:c r="D74" s="648" t="n">
        <x:f>'130_联合算法'!C17</x:f>
        <x:v>0.15</x:v>
      </x:c>
      <x:c r="E74" s="647" t="n">
        <x:f>'117_价格概率传导'!A7</x:f>
        <x:v>253900</x:v>
      </x:c>
      <x:c r="F74" s="648" t="n">
        <x:f>'117_价格概率传导'!C7</x:f>
        <x:v>0.07</x:v>
      </x:c>
      <x:c r="G74" s="648" t="n">
        <x:f>SUM('117_价格概率传导'!$C$6:$C$6)</x:f>
        <x:v>0.06</x:v>
      </x:c>
      <x:c r="H74" s="648" t="n">
        <x:f>SUM('117_价格概率传导'!$C$6:$C$7)</x:f>
        <x:v>0.13</x:v>
      </x:c>
      <x:c r="I74" s="647" t="n">
        <x:f>'117_价格概率传导'!A17</x:f>
        <x:v>293900</x:v>
      </x:c>
      <x:c r="J74" s="648" t="n">
        <x:f>'117_价格概率传导'!C17</x:f>
        <x:v>0.06</x:v>
      </x:c>
      <x:c r="K74" s="648" t="n">
        <x:f>SUM('117_价格概率传导'!$C$16:$C$16)</x:f>
        <x:v>0.05</x:v>
      </x:c>
      <x:c r="L74" s="648" t="n">
        <x:f>SUM('117_价格概率传导'!$C$16:$C$17)</x:f>
        <x:v>0.11</x:v>
      </x:c>
      <x:c r="M74" s="648" t="n">
        <x:f>MAX(0,MIN(H74,L74)-MAX(G74,K74))</x:f>
        <x:v>0.05</x:v>
      </x:c>
      <x:c r="N74" s="648" t="n">
        <x:f>B74*D74*M74</x:f>
        <x:v>0.002625</x:v>
      </x:c>
      <x:c r="O74" s="647" t="n">
        <x:f>MIN(299900,I74+20000)</x:f>
        <x:v>299900</x:v>
      </x:c>
      <x:c r="P74" s="647" t="n">
        <x:f>O74-30000</x:f>
        <x:v>269900</x:v>
      </x:c>
      <x:c r="Q74" s="647" t="str">
        <x:f>""</x:f>
      </x:c>
      <x:c r="R74" s="647" t="n">
        <x:f>O74-E74</x:f>
        <x:v>46000</x:v>
      </x:c>
      <x:c r="S74" s="647" t="n">
        <x:f>IF(P74&gt;0,P74-E74,"")</x:f>
        <x:v>16000</x:v>
      </x:c>
      <x:c r="T74" s="647" t="str">
        <x:f>IF(Q74&gt;0,Q74-E74,"")</x:f>
      </x:c>
      <x:c r="U74" s="648" t="n">
        <x:f>IF(R74&lt;30000,N74,0)</x:f>
        <x:v>0</x:v>
      </x:c>
      <x:c r="V74" s="648" t="n">
        <x:f>IF(P74&gt;0,N74,0)</x:f>
        <x:v>0.002625</x:v>
      </x:c>
      <x:c r="W74" s="648" t="n">
        <x:f>IF(AND(P74&gt;0,S74&lt;0),N74,0)</x:f>
        <x:v>0</x:v>
      </x:c>
      <x:c r="X74" s="648" t="n">
        <x:f>IF(AND(P74&gt;0,S74=0),N74,0)</x:f>
        <x:v>0</x:v>
      </x:c>
      <x:c r="Y74" s="648" t="n">
        <x:f>IF(Q74&gt;0,N74,0)</x:f>
        <x:v>0</x:v>
      </x:c>
      <x:c r="Z74" s="647" t="n">
        <x:f>IF(P74&gt;0,N74*S74,0)</x:f>
        <x:v>42</x:v>
      </x:c>
      <x:c r="AA74" s="647" t="n">
        <x:f>IF(Q74&gt;0,N74*T74,0)</x:f>
        <x:v>0</x:v>
      </x:c>
      <x:c r="AB74" s="647" t="n">
        <x:f>N74*R74</x:f>
        <x:v>120.75000000000001</x:v>
      </x:c>
      <x:c r="AC74" s="647" t="n">
        <x:f>IF(N74&gt;0,R74,999999)</x:f>
        <x:v>46000</x:v>
      </x:c>
      <x:c r="AD74" s="647" t="n">
        <x:f>IF(AND(N74&gt;0,P74&gt;0),S74,999999)</x:f>
        <x:v>16000</x:v>
      </x:c>
      <x:c r="AE74" s="647" t="n">
        <x:f>IF(AND(N74&gt;0,Q74&gt;0),T74,999999)</x:f>
        <x:v>999999</x:v>
      </x:c>
      <x:c r="AF74" s="648" t="n">
        <x:f>B74*D74*F74*J74</x:f>
        <x:v>0.00022050000000000002</x:v>
      </x:c>
      <x:c r="AG74" s="648" t="n">
        <x:f>IF(P74&gt;0,AF74,0)</x:f>
        <x:v>0.00022050000000000002</x:v>
      </x:c>
      <x:c r="AH74" s="648" t="n">
        <x:f>IF(AND(P74&gt;0,S74&lt;0),AF74,0)</x:f>
        <x:v>0</x:v>
      </x:c>
      <x:c r="AI74" s="648" t="n">
        <x:f>IF(AND(P74&gt;0,S74=0),AF74,0)</x:f>
        <x:v>0</x:v>
      </x:c>
      <x:c r="AJ74" s="648" t="n">
        <x:f>IF(R74&lt;30000,AF74,0)</x:f>
        <x:v>0</x:v>
      </x:c>
      <x:c r="AK74" s="647" t="n">
        <x:f>IF(P74&gt;0,AF74*S74,0)</x:f>
        <x:v>3.5280000000000005</x:v>
      </x:c>
    </x:row>
    <x:row r="75" ht="22" customHeight="1">
      <x:c r="A75" s="19" t="str">
        <x:v>保守</x:v>
      </x:c>
      <x:c r="B75" s="23" t="n">
        <x:f>'114_降本系数'!B26</x:f>
        <x:v>0.35</x:v>
      </x:c>
      <x:c r="C75" s="19" t="str">
        <x:v>L1A</x:v>
      </x:c>
      <x:c r="D75" s="23" t="n">
        <x:f>'130_联合算法'!C17</x:f>
        <x:v>0.15</x:v>
      </x:c>
      <x:c r="E75" s="460" t="n">
        <x:f>'117_价格概率传导'!A7</x:f>
        <x:v>253900</x:v>
      </x:c>
      <x:c r="F75" s="23" t="n">
        <x:f>'117_价格概率传导'!C7</x:f>
        <x:v>0.07</x:v>
      </x:c>
      <x:c r="G75" s="23" t="n">
        <x:f>SUM('117_价格概率传导'!$C$6:$C$6)</x:f>
        <x:v>0.06</x:v>
      </x:c>
      <x:c r="H75" s="23" t="n">
        <x:f>SUM('117_价格概率传导'!$C$6:$C$7)</x:f>
        <x:v>0.13</x:v>
      </x:c>
      <x:c r="I75" s="460" t="n">
        <x:f>'117_价格概率传导'!A18</x:f>
        <x:v>289900</x:v>
      </x:c>
      <x:c r="J75" s="23" t="n">
        <x:f>'117_价格概率传导'!C18</x:f>
        <x:v>0.34</x:v>
      </x:c>
      <x:c r="K75" s="23" t="n">
        <x:f>SUM('117_价格概率传导'!$C$16:$C$17)</x:f>
        <x:v>0.11</x:v>
      </x:c>
      <x:c r="L75" s="23" t="n">
        <x:f>SUM('117_价格概率传导'!$C$16:$C$18)</x:f>
        <x:v>0.45</x:v>
      </x:c>
      <x:c r="M75" s="23" t="n">
        <x:f>MAX(0,MIN(H75,L75)-MAX(G75,K75))</x:f>
        <x:v>0.020000000000000004</x:v>
      </x:c>
      <x:c r="N75" s="23" t="n">
        <x:f>B75*D75*M75</x:f>
        <x:v>0.0010500000000000002</x:v>
      </x:c>
      <x:c r="O75" s="460" t="n">
        <x:f>MIN(299900,I75+20000)</x:f>
        <x:v>299900</x:v>
      </x:c>
      <x:c r="P75" s="460" t="n">
        <x:f>O75-30000</x:f>
        <x:v>269900</x:v>
      </x:c>
      <x:c r="Q75" s="460" t="str">
        <x:f>""</x:f>
      </x:c>
      <x:c r="R75" s="460" t="n">
        <x:f>O75-E75</x:f>
        <x:v>46000</x:v>
      </x:c>
      <x:c r="S75" s="460" t="n">
        <x:f>IF(P75&gt;0,P75-E75,"")</x:f>
        <x:v>16000</x:v>
      </x:c>
      <x:c r="T75" s="460" t="str">
        <x:f>IF(Q75&gt;0,Q75-E75,"")</x:f>
      </x:c>
      <x:c r="U75" s="23" t="n">
        <x:f>IF(R75&lt;30000,N75,0)</x:f>
        <x:v>0</x:v>
      </x:c>
      <x:c r="V75" s="23" t="n">
        <x:f>IF(P75&gt;0,N75,0)</x:f>
        <x:v>0.0010500000000000002</x:v>
      </x:c>
      <x:c r="W75" s="23" t="n">
        <x:f>IF(AND(P75&gt;0,S75&lt;0),N75,0)</x:f>
        <x:v>0</x:v>
      </x:c>
      <x:c r="X75" s="23" t="n">
        <x:f>IF(AND(P75&gt;0,S75=0),N75,0)</x:f>
        <x:v>0</x:v>
      </x:c>
      <x:c r="Y75" s="23" t="n">
        <x:f>IF(Q75&gt;0,N75,0)</x:f>
        <x:v>0</x:v>
      </x:c>
      <x:c r="Z75" s="460" t="n">
        <x:f>IF(P75&gt;0,N75*S75,0)</x:f>
        <x:v>16.8</x:v>
      </x:c>
      <x:c r="AA75" s="460" t="n">
        <x:f>IF(Q75&gt;0,N75*T75,0)</x:f>
        <x:v>0</x:v>
      </x:c>
      <x:c r="AB75" s="460" t="n">
        <x:f>N75*R75</x:f>
        <x:v>48.300000000000004</x:v>
      </x:c>
      <x:c r="AC75" s="460" t="n">
        <x:f>IF(N75&gt;0,R75,999999)</x:f>
        <x:v>46000</x:v>
      </x:c>
      <x:c r="AD75" s="460" t="n">
        <x:f>IF(AND(N75&gt;0,P75&gt;0),S75,999999)</x:f>
        <x:v>16000</x:v>
      </x:c>
      <x:c r="AE75" s="460" t="n">
        <x:f>IF(AND(N75&gt;0,Q75&gt;0),T75,999999)</x:f>
        <x:v>999999</x:v>
      </x:c>
      <x:c r="AF75" s="23" t="n">
        <x:f>B75*D75*F75*J75</x:f>
        <x:v>0.0012495000000000002</x:v>
      </x:c>
      <x:c r="AG75" s="23" t="n">
        <x:f>IF(P75&gt;0,AF75,0)</x:f>
        <x:v>0.0012495000000000002</x:v>
      </x:c>
      <x:c r="AH75" s="23" t="n">
        <x:f>IF(AND(P75&gt;0,S75&lt;0),AF75,0)</x:f>
        <x:v>0</x:v>
      </x:c>
      <x:c r="AI75" s="23" t="n">
        <x:f>IF(AND(P75&gt;0,S75=0),AF75,0)</x:f>
        <x:v>0</x:v>
      </x:c>
      <x:c r="AJ75" s="23" t="n">
        <x:f>IF(R75&lt;30000,AF75,0)</x:f>
        <x:v>0</x:v>
      </x:c>
      <x:c r="AK75" s="460" t="n">
        <x:f>IF(P75&gt;0,AF75*S75,0)</x:f>
        <x:v>19.992000000000004</x:v>
      </x:c>
    </x:row>
    <x:row r="76" ht="22" customHeight="1">
      <x:c r="A76" s="643" t="str">
        <x:v>保守</x:v>
      </x:c>
      <x:c r="B76" s="648" t="n">
        <x:f>'114_降本系数'!B26</x:f>
        <x:v>0.35</x:v>
      </x:c>
      <x:c r="C76" s="643" t="str">
        <x:v>L1A</x:v>
      </x:c>
      <x:c r="D76" s="648" t="n">
        <x:f>'130_联合算法'!C17</x:f>
        <x:v>0.15</x:v>
      </x:c>
      <x:c r="E76" s="647" t="n">
        <x:f>'117_价格概率传导'!A7</x:f>
        <x:v>253900</x:v>
      </x:c>
      <x:c r="F76" s="648" t="n">
        <x:f>'117_价格概率传导'!C7</x:f>
        <x:v>0.07</x:v>
      </x:c>
      <x:c r="G76" s="648" t="n">
        <x:f>SUM('117_价格概率传导'!$C$6:$C$6)</x:f>
        <x:v>0.06</x:v>
      </x:c>
      <x:c r="H76" s="648" t="n">
        <x:f>SUM('117_价格概率传导'!$C$6:$C$7)</x:f>
        <x:v>0.13</x:v>
      </x:c>
      <x:c r="I76" s="647" t="n">
        <x:f>'117_价格概率传导'!A19</x:f>
        <x:v>279900</x:v>
      </x:c>
      <x:c r="J76" s="648" t="n">
        <x:f>'117_价格概率传导'!C19</x:f>
        <x:v>0.39</x:v>
      </x:c>
      <x:c r="K76" s="648" t="n">
        <x:f>SUM('117_价格概率传导'!$C$16:$C$18)</x:f>
        <x:v>0.45</x:v>
      </x:c>
      <x:c r="L76" s="648" t="n">
        <x:f>SUM('117_价格概率传导'!$C$16:$C$19)</x:f>
        <x:v>0.8400000000000001</x:v>
      </x:c>
      <x:c r="M76" s="648" t="n">
        <x:f>MAX(0,MIN(H76,L76)-MAX(G76,K76))</x:f>
        <x:v>0</x:v>
      </x:c>
      <x:c r="N76" s="648" t="n">
        <x:f>B76*D76*M76</x:f>
        <x:v>0</x:v>
      </x:c>
      <x:c r="O76" s="647" t="n">
        <x:f>MIN(299900,I76+20000)</x:f>
        <x:v>299900</x:v>
      </x:c>
      <x:c r="P76" s="647" t="n">
        <x:f>O76-30000</x:f>
        <x:v>269900</x:v>
      </x:c>
      <x:c r="Q76" s="647" t="str">
        <x:f>""</x:f>
      </x:c>
      <x:c r="R76" s="647" t="n">
        <x:f>O76-E76</x:f>
        <x:v>46000</x:v>
      </x:c>
      <x:c r="S76" s="647" t="n">
        <x:f>IF(P76&gt;0,P76-E76,"")</x:f>
        <x:v>16000</x:v>
      </x:c>
      <x:c r="T76" s="647" t="str">
        <x:f>IF(Q76&gt;0,Q76-E76,"")</x:f>
      </x:c>
      <x:c r="U76" s="648" t="n">
        <x:f>IF(R76&lt;30000,N76,0)</x:f>
        <x:v>0</x:v>
      </x:c>
      <x:c r="V76" s="648" t="n">
        <x:f>IF(P76&gt;0,N76,0)</x:f>
        <x:v>0</x:v>
      </x:c>
      <x:c r="W76" s="648" t="n">
        <x:f>IF(AND(P76&gt;0,S76&lt;0),N76,0)</x:f>
        <x:v>0</x:v>
      </x:c>
      <x:c r="X76" s="648" t="n">
        <x:f>IF(AND(P76&gt;0,S76=0),N76,0)</x:f>
        <x:v>0</x:v>
      </x:c>
      <x:c r="Y76" s="648" t="n">
        <x:f>IF(Q76&gt;0,N76,0)</x:f>
        <x:v>0</x:v>
      </x:c>
      <x:c r="Z76" s="647" t="n">
        <x:f>IF(P76&gt;0,N76*S76,0)</x:f>
        <x:v>0</x:v>
      </x:c>
      <x:c r="AA76" s="647" t="n">
        <x:f>IF(Q76&gt;0,N76*T76,0)</x:f>
        <x:v>0</x:v>
      </x:c>
      <x:c r="AB76" s="647" t="n">
        <x:f>N76*R76</x:f>
        <x:v>0</x:v>
      </x:c>
      <x:c r="AC76" s="647" t="n">
        <x:f>IF(N76&gt;0,R76,999999)</x:f>
        <x:v>999999</x:v>
      </x:c>
      <x:c r="AD76" s="647" t="n">
        <x:f>IF(AND(N76&gt;0,P76&gt;0),S76,999999)</x:f>
        <x:v>999999</x:v>
      </x:c>
      <x:c r="AE76" s="647" t="n">
        <x:f>IF(AND(N76&gt;0,Q76&gt;0),T76,999999)</x:f>
        <x:v>999999</x:v>
      </x:c>
      <x:c r="AF76" s="648" t="n">
        <x:f>B76*D76*F76*J76</x:f>
        <x:v>0.0014332500000000003</x:v>
      </x:c>
      <x:c r="AG76" s="648" t="n">
        <x:f>IF(P76&gt;0,AF76,0)</x:f>
        <x:v>0.0014332500000000003</x:v>
      </x:c>
      <x:c r="AH76" s="648" t="n">
        <x:f>IF(AND(P76&gt;0,S76&lt;0),AF76,0)</x:f>
        <x:v>0</x:v>
      </x:c>
      <x:c r="AI76" s="648" t="n">
        <x:f>IF(AND(P76&gt;0,S76=0),AF76,0)</x:f>
        <x:v>0</x:v>
      </x:c>
      <x:c r="AJ76" s="648" t="n">
        <x:f>IF(R76&lt;30000,AF76,0)</x:f>
        <x:v>0</x:v>
      </x:c>
      <x:c r="AK76" s="647" t="n">
        <x:f>IF(P76&gt;0,AF76*S76,0)</x:f>
        <x:v>22.932000000000006</x:v>
      </x:c>
    </x:row>
    <x:row r="77" ht="22" customHeight="1">
      <x:c r="A77" s="19" t="str">
        <x:v>保守</x:v>
      </x:c>
      <x:c r="B77" s="23" t="n">
        <x:f>'114_降本系数'!B26</x:f>
        <x:v>0.35</x:v>
      </x:c>
      <x:c r="C77" s="19" t="str">
        <x:v>L1A</x:v>
      </x:c>
      <x:c r="D77" s="23" t="n">
        <x:f>'130_联合算法'!C17</x:f>
        <x:v>0.15</x:v>
      </x:c>
      <x:c r="E77" s="460" t="n">
        <x:f>'117_价格概率传导'!A7</x:f>
        <x:v>253900</x:v>
      </x:c>
      <x:c r="F77" s="23" t="n">
        <x:f>'117_价格概率传导'!C7</x:f>
        <x:v>0.07</x:v>
      </x:c>
      <x:c r="G77" s="23" t="n">
        <x:f>SUM('117_价格概率传导'!$C$6:$C$6)</x:f>
        <x:v>0.06</x:v>
      </x:c>
      <x:c r="H77" s="23" t="n">
        <x:f>SUM('117_价格概率传导'!$C$6:$C$7)</x:f>
        <x:v>0.13</x:v>
      </x:c>
      <x:c r="I77" s="460" t="n">
        <x:f>'117_价格概率传导'!A20</x:f>
        <x:v>269900</x:v>
      </x:c>
      <x:c r="J77" s="23" t="n">
        <x:f>'117_价格概率传导'!C20</x:f>
        <x:v>0.13</x:v>
      </x:c>
      <x:c r="K77" s="23" t="n">
        <x:f>SUM('117_价格概率传导'!$C$16:$C$19)</x:f>
        <x:v>0.8400000000000001</x:v>
      </x:c>
      <x:c r="L77" s="23" t="n">
        <x:f>SUM('117_价格概率传导'!$C$16:$C$20)</x:f>
        <x:v>0.9700000000000001</x:v>
      </x:c>
      <x:c r="M77" s="23" t="n">
        <x:f>MAX(0,MIN(H77,L77)-MAX(G77,K77))</x:f>
        <x:v>0</x:v>
      </x:c>
      <x:c r="N77" s="23" t="n">
        <x:f>B77*D77*M77</x:f>
        <x:v>0</x:v>
      </x:c>
      <x:c r="O77" s="460" t="n">
        <x:f>MIN(299900,I77+20000)</x:f>
        <x:v>289900</x:v>
      </x:c>
      <x:c r="P77" s="460" t="n">
        <x:f>O77-30000</x:f>
        <x:v>259900</x:v>
      </x:c>
      <x:c r="Q77" s="460" t="str">
        <x:f>""</x:f>
      </x:c>
      <x:c r="R77" s="460" t="n">
        <x:f>O77-E77</x:f>
        <x:v>36000</x:v>
      </x:c>
      <x:c r="S77" s="460" t="n">
        <x:f>IF(P77&gt;0,P77-E77,"")</x:f>
        <x:v>6000</x:v>
      </x:c>
      <x:c r="T77" s="460" t="str">
        <x:f>IF(Q77&gt;0,Q77-E77,"")</x:f>
      </x:c>
      <x:c r="U77" s="23" t="n">
        <x:f>IF(R77&lt;30000,N77,0)</x:f>
        <x:v>0</x:v>
      </x:c>
      <x:c r="V77" s="23" t="n">
        <x:f>IF(P77&gt;0,N77,0)</x:f>
        <x:v>0</x:v>
      </x:c>
      <x:c r="W77" s="23" t="n">
        <x:f>IF(AND(P77&gt;0,S77&lt;0),N77,0)</x:f>
        <x:v>0</x:v>
      </x:c>
      <x:c r="X77" s="23" t="n">
        <x:f>IF(AND(P77&gt;0,S77=0),N77,0)</x:f>
        <x:v>0</x:v>
      </x:c>
      <x:c r="Y77" s="23" t="n">
        <x:f>IF(Q77&gt;0,N77,0)</x:f>
        <x:v>0</x:v>
      </x:c>
      <x:c r="Z77" s="460" t="n">
        <x:f>IF(P77&gt;0,N77*S77,0)</x:f>
        <x:v>0</x:v>
      </x:c>
      <x:c r="AA77" s="460" t="n">
        <x:f>IF(Q77&gt;0,N77*T77,0)</x:f>
        <x:v>0</x:v>
      </x:c>
      <x:c r="AB77" s="460" t="n">
        <x:f>N77*R77</x:f>
        <x:v>0</x:v>
      </x:c>
      <x:c r="AC77" s="460" t="n">
        <x:f>IF(N77&gt;0,R77,999999)</x:f>
        <x:v>999999</x:v>
      </x:c>
      <x:c r="AD77" s="460" t="n">
        <x:f>IF(AND(N77&gt;0,P77&gt;0),S77,999999)</x:f>
        <x:v>999999</x:v>
      </x:c>
      <x:c r="AE77" s="460" t="n">
        <x:f>IF(AND(N77&gt;0,Q77&gt;0),T77,999999)</x:f>
        <x:v>999999</x:v>
      </x:c>
      <x:c r="AF77" s="23" t="n">
        <x:f>B77*D77*F77*J77</x:f>
        <x:v>0.00047775000000000004</x:v>
      </x:c>
      <x:c r="AG77" s="23" t="n">
        <x:f>IF(P77&gt;0,AF77,0)</x:f>
        <x:v>0.00047775000000000004</x:v>
      </x:c>
      <x:c r="AH77" s="23" t="n">
        <x:f>IF(AND(P77&gt;0,S77&lt;0),AF77,0)</x:f>
        <x:v>0</x:v>
      </x:c>
      <x:c r="AI77" s="23" t="n">
        <x:f>IF(AND(P77&gt;0,S77=0),AF77,0)</x:f>
        <x:v>0</x:v>
      </x:c>
      <x:c r="AJ77" s="23" t="n">
        <x:f>IF(R77&lt;30000,AF77,0)</x:f>
        <x:v>0</x:v>
      </x:c>
      <x:c r="AK77" s="460" t="n">
        <x:f>IF(P77&gt;0,AF77*S77,0)</x:f>
        <x:v>2.8665000000000003</x:v>
      </x:c>
    </x:row>
    <x:row r="78" ht="22" customHeight="1">
      <x:c r="A78" s="643" t="str">
        <x:v>保守</x:v>
      </x:c>
      <x:c r="B78" s="648" t="n">
        <x:f>'114_降本系数'!B26</x:f>
        <x:v>0.35</x:v>
      </x:c>
      <x:c r="C78" s="643" t="str">
        <x:v>L1A</x:v>
      </x:c>
      <x:c r="D78" s="648" t="n">
        <x:f>'130_联合算法'!C17</x:f>
        <x:v>0.15</x:v>
      </x:c>
      <x:c r="E78" s="647" t="n">
        <x:f>'117_价格概率传导'!A7</x:f>
        <x:v>253900</x:v>
      </x:c>
      <x:c r="F78" s="648" t="n">
        <x:f>'117_价格概率传导'!C7</x:f>
        <x:v>0.07</x:v>
      </x:c>
      <x:c r="G78" s="648" t="n">
        <x:f>SUM('117_价格概率传导'!$C$6:$C$6)</x:f>
        <x:v>0.06</x:v>
      </x:c>
      <x:c r="H78" s="648" t="n">
        <x:f>SUM('117_价格概率传导'!$C$6:$C$7)</x:f>
        <x:v>0.13</x:v>
      </x:c>
      <x:c r="I78" s="647" t="n">
        <x:f>'117_价格概率传导'!A21</x:f>
        <x:v>259900</x:v>
      </x:c>
      <x:c r="J78" s="648" t="n">
        <x:f>'117_价格概率传导'!C21</x:f>
        <x:v>0.03</x:v>
      </x:c>
      <x:c r="K78" s="648" t="n">
        <x:f>SUM('117_价格概率传导'!$C$16:$C$20)</x:f>
        <x:v>0.9700000000000001</x:v>
      </x:c>
      <x:c r="L78" s="648" t="n">
        <x:f>SUM('117_价格概率传导'!$C$16:$C$21)</x:f>
        <x:v>1</x:v>
      </x:c>
      <x:c r="M78" s="648" t="n">
        <x:f>MAX(0,MIN(H78,L78)-MAX(G78,K78))</x:f>
        <x:v>0</x:v>
      </x:c>
      <x:c r="N78" s="648" t="n">
        <x:f>B78*D78*M78</x:f>
        <x:v>0</x:v>
      </x:c>
      <x:c r="O78" s="647" t="n">
        <x:f>MIN(299900,I78+20000)</x:f>
        <x:v>279900</x:v>
      </x:c>
      <x:c r="P78" s="647" t="n">
        <x:f>O78-30000</x:f>
        <x:v>249900</x:v>
      </x:c>
      <x:c r="Q78" s="647" t="str">
        <x:f>""</x:f>
      </x:c>
      <x:c r="R78" s="647" t="n">
        <x:f>O78-E78</x:f>
        <x:v>26000</x:v>
      </x:c>
      <x:c r="S78" s="647" t="n">
        <x:f>IF(P78&gt;0,P78-E78,"")</x:f>
        <x:v>-4000</x:v>
      </x:c>
      <x:c r="T78" s="647" t="str">
        <x:f>IF(Q78&gt;0,Q78-E78,"")</x:f>
      </x:c>
      <x:c r="U78" s="648" t="n">
        <x:f>IF(R78&lt;30000,N78,0)</x:f>
        <x:v>0</x:v>
      </x:c>
      <x:c r="V78" s="648" t="n">
        <x:f>IF(P78&gt;0,N78,0)</x:f>
        <x:v>0</x:v>
      </x:c>
      <x:c r="W78" s="648" t="n">
        <x:f>IF(AND(P78&gt;0,S78&lt;0),N78,0)</x:f>
        <x:v>0</x:v>
      </x:c>
      <x:c r="X78" s="648" t="n">
        <x:f>IF(AND(P78&gt;0,S78=0),N78,0)</x:f>
        <x:v>0</x:v>
      </x:c>
      <x:c r="Y78" s="648" t="n">
        <x:f>IF(Q78&gt;0,N78,0)</x:f>
        <x:v>0</x:v>
      </x:c>
      <x:c r="Z78" s="647" t="n">
        <x:f>IF(P78&gt;0,N78*S78,0)</x:f>
        <x:v>0</x:v>
      </x:c>
      <x:c r="AA78" s="647" t="n">
        <x:f>IF(Q78&gt;0,N78*T78,0)</x:f>
        <x:v>0</x:v>
      </x:c>
      <x:c r="AB78" s="647" t="n">
        <x:f>N78*R78</x:f>
        <x:v>0</x:v>
      </x:c>
      <x:c r="AC78" s="647" t="n">
        <x:f>IF(N78&gt;0,R78,999999)</x:f>
        <x:v>999999</x:v>
      </x:c>
      <x:c r="AD78" s="647" t="n">
        <x:f>IF(AND(N78&gt;0,P78&gt;0),S78,999999)</x:f>
        <x:v>999999</x:v>
      </x:c>
      <x:c r="AE78" s="647" t="n">
        <x:f>IF(AND(N78&gt;0,Q78&gt;0),T78,999999)</x:f>
        <x:v>999999</x:v>
      </x:c>
      <x:c r="AF78" s="648" t="n">
        <x:f>B78*D78*F78*J78</x:f>
        <x:v>0.00011025000000000001</x:v>
      </x:c>
      <x:c r="AG78" s="648" t="n">
        <x:f>IF(P78&gt;0,AF78,0)</x:f>
        <x:v>0.00011025000000000001</x:v>
      </x:c>
      <x:c r="AH78" s="648" t="n">
        <x:f>IF(AND(P78&gt;0,S78&lt;0),AF78,0)</x:f>
        <x:v>0.00011025000000000001</x:v>
      </x:c>
      <x:c r="AI78" s="648" t="n">
        <x:f>IF(AND(P78&gt;0,S78=0),AF78,0)</x:f>
        <x:v>0</x:v>
      </x:c>
      <x:c r="AJ78" s="648" t="n">
        <x:f>IF(R78&lt;30000,AF78,0)</x:f>
        <x:v>0.00011025000000000001</x:v>
      </x:c>
      <x:c r="AK78" s="647" t="n">
        <x:f>IF(P78&gt;0,AF78*S78,0)</x:f>
        <x:v>-0.44100000000000006</x:v>
      </x:c>
    </x:row>
    <x:row r="79" ht="22" customHeight="1">
      <x:c r="A79" s="19" t="str">
        <x:v>保守</x:v>
      </x:c>
      <x:c r="B79" s="23" t="n">
        <x:f>'114_降本系数'!B26</x:f>
        <x:v>0.35</x:v>
      </x:c>
      <x:c r="C79" s="19" t="str">
        <x:v>L1A</x:v>
      </x:c>
      <x:c r="D79" s="23" t="n">
        <x:f>'130_联合算法'!C17</x:f>
        <x:v>0.15</x:v>
      </x:c>
      <x:c r="E79" s="460" t="n">
        <x:f>'117_价格概率传导'!A8</x:f>
        <x:v>249900</x:v>
      </x:c>
      <x:c r="F79" s="23" t="n">
        <x:f>'117_价格概率传导'!C8</x:f>
        <x:v>0.54</x:v>
      </x:c>
      <x:c r="G79" s="23" t="n">
        <x:f>SUM('117_价格概率传导'!$C$6:$C$7)</x:f>
        <x:v>0.13</x:v>
      </x:c>
      <x:c r="H79" s="23" t="n">
        <x:f>SUM('117_价格概率传导'!$C$6:$C$8)</x:f>
        <x:v>0.67</x:v>
      </x:c>
      <x:c r="I79" s="460" t="n">
        <x:f>'117_价格概率传导'!A16</x:f>
        <x:v>299900</x:v>
      </x:c>
      <x:c r="J79" s="23" t="n">
        <x:f>'117_价格概率传导'!C16</x:f>
        <x:v>0.05</x:v>
      </x:c>
      <x:c r="K79" s="23" t="n">
        <x:f>0</x:f>
        <x:v>0</x:v>
      </x:c>
      <x:c r="L79" s="23" t="n">
        <x:f>SUM('117_价格概率传导'!$C$16:$C$16)</x:f>
        <x:v>0.05</x:v>
      </x:c>
      <x:c r="M79" s="23" t="n">
        <x:f>MAX(0,MIN(H79,L79)-MAX(G79,K79))</x:f>
        <x:v>0</x:v>
      </x:c>
      <x:c r="N79" s="23" t="n">
        <x:f>B79*D79*M79</x:f>
        <x:v>0</x:v>
      </x:c>
      <x:c r="O79" s="460" t="n">
        <x:f>MIN(299900,I79+20000)</x:f>
        <x:v>299900</x:v>
      </x:c>
      <x:c r="P79" s="460" t="n">
        <x:f>O79-30000</x:f>
        <x:v>269900</x:v>
      </x:c>
      <x:c r="Q79" s="460" t="str">
        <x:f>""</x:f>
      </x:c>
      <x:c r="R79" s="460" t="n">
        <x:f>O79-E79</x:f>
        <x:v>50000</x:v>
      </x:c>
      <x:c r="S79" s="460" t="n">
        <x:f>IF(P79&gt;0,P79-E79,"")</x:f>
        <x:v>20000</x:v>
      </x:c>
      <x:c r="T79" s="460" t="str">
        <x:f>IF(Q79&gt;0,Q79-E79,"")</x:f>
      </x:c>
      <x:c r="U79" s="23" t="n">
        <x:f>IF(R79&lt;30000,N79,0)</x:f>
        <x:v>0</x:v>
      </x:c>
      <x:c r="V79" s="23" t="n">
        <x:f>IF(P79&gt;0,N79,0)</x:f>
        <x:v>0</x:v>
      </x:c>
      <x:c r="W79" s="23" t="n">
        <x:f>IF(AND(P79&gt;0,S79&lt;0),N79,0)</x:f>
        <x:v>0</x:v>
      </x:c>
      <x:c r="X79" s="23" t="n">
        <x:f>IF(AND(P79&gt;0,S79=0),N79,0)</x:f>
        <x:v>0</x:v>
      </x:c>
      <x:c r="Y79" s="23" t="n">
        <x:f>IF(Q79&gt;0,N79,0)</x:f>
        <x:v>0</x:v>
      </x:c>
      <x:c r="Z79" s="460" t="n">
        <x:f>IF(P79&gt;0,N79*S79,0)</x:f>
        <x:v>0</x:v>
      </x:c>
      <x:c r="AA79" s="460" t="n">
        <x:f>IF(Q79&gt;0,N79*T79,0)</x:f>
        <x:v>0</x:v>
      </x:c>
      <x:c r="AB79" s="460" t="n">
        <x:f>N79*R79</x:f>
        <x:v>0</x:v>
      </x:c>
      <x:c r="AC79" s="460" t="n">
        <x:f>IF(N79&gt;0,R79,999999)</x:f>
        <x:v>999999</x:v>
      </x:c>
      <x:c r="AD79" s="460" t="n">
        <x:f>IF(AND(N79&gt;0,P79&gt;0),S79,999999)</x:f>
        <x:v>999999</x:v>
      </x:c>
      <x:c r="AE79" s="460" t="n">
        <x:f>IF(AND(N79&gt;0,Q79&gt;0),T79,999999)</x:f>
        <x:v>999999</x:v>
      </x:c>
      <x:c r="AF79" s="23" t="n">
        <x:f>B79*D79*F79*J79</x:f>
        <x:v>0.0014175000000000001</x:v>
      </x:c>
      <x:c r="AG79" s="23" t="n">
        <x:f>IF(P79&gt;0,AF79,0)</x:f>
        <x:v>0.0014175000000000001</x:v>
      </x:c>
      <x:c r="AH79" s="23" t="n">
        <x:f>IF(AND(P79&gt;0,S79&lt;0),AF79,0)</x:f>
        <x:v>0</x:v>
      </x:c>
      <x:c r="AI79" s="23" t="n">
        <x:f>IF(AND(P79&gt;0,S79=0),AF79,0)</x:f>
        <x:v>0</x:v>
      </x:c>
      <x:c r="AJ79" s="23" t="n">
        <x:f>IF(R79&lt;30000,AF79,0)</x:f>
        <x:v>0</x:v>
      </x:c>
      <x:c r="AK79" s="460" t="n">
        <x:f>IF(P79&gt;0,AF79*S79,0)</x:f>
        <x:v>28.35</x:v>
      </x:c>
    </x:row>
    <x:row r="80" ht="22" customHeight="1">
      <x:c r="A80" s="643" t="str">
        <x:v>保守</x:v>
      </x:c>
      <x:c r="B80" s="648" t="n">
        <x:f>'114_降本系数'!B26</x:f>
        <x:v>0.35</x:v>
      </x:c>
      <x:c r="C80" s="643" t="str">
        <x:v>L1A</x:v>
      </x:c>
      <x:c r="D80" s="648" t="n">
        <x:f>'130_联合算法'!C17</x:f>
        <x:v>0.15</x:v>
      </x:c>
      <x:c r="E80" s="647" t="n">
        <x:f>'117_价格概率传导'!A8</x:f>
        <x:v>249900</x:v>
      </x:c>
      <x:c r="F80" s="648" t="n">
        <x:f>'117_价格概率传导'!C8</x:f>
        <x:v>0.54</x:v>
      </x:c>
      <x:c r="G80" s="648" t="n">
        <x:f>SUM('117_价格概率传导'!$C$6:$C$7)</x:f>
        <x:v>0.13</x:v>
      </x:c>
      <x:c r="H80" s="648" t="n">
        <x:f>SUM('117_价格概率传导'!$C$6:$C$8)</x:f>
        <x:v>0.67</x:v>
      </x:c>
      <x:c r="I80" s="647" t="n">
        <x:f>'117_价格概率传导'!A17</x:f>
        <x:v>293900</x:v>
      </x:c>
      <x:c r="J80" s="648" t="n">
        <x:f>'117_价格概率传导'!C17</x:f>
        <x:v>0.06</x:v>
      </x:c>
      <x:c r="K80" s="648" t="n">
        <x:f>SUM('117_价格概率传导'!$C$16:$C$16)</x:f>
        <x:v>0.05</x:v>
      </x:c>
      <x:c r="L80" s="648" t="n">
        <x:f>SUM('117_价格概率传导'!$C$16:$C$17)</x:f>
        <x:v>0.11</x:v>
      </x:c>
      <x:c r="M80" s="648" t="n">
        <x:f>MAX(0,MIN(H80,L80)-MAX(G80,K80))</x:f>
        <x:v>0</x:v>
      </x:c>
      <x:c r="N80" s="648" t="n">
        <x:f>B80*D80*M80</x:f>
        <x:v>0</x:v>
      </x:c>
      <x:c r="O80" s="647" t="n">
        <x:f>MIN(299900,I80+20000)</x:f>
        <x:v>299900</x:v>
      </x:c>
      <x:c r="P80" s="647" t="n">
        <x:f>O80-30000</x:f>
        <x:v>269900</x:v>
      </x:c>
      <x:c r="Q80" s="647" t="str">
        <x:f>""</x:f>
      </x:c>
      <x:c r="R80" s="647" t="n">
        <x:f>O80-E80</x:f>
        <x:v>50000</x:v>
      </x:c>
      <x:c r="S80" s="647" t="n">
        <x:f>IF(P80&gt;0,P80-E80,"")</x:f>
        <x:v>20000</x:v>
      </x:c>
      <x:c r="T80" s="647" t="str">
        <x:f>IF(Q80&gt;0,Q80-E80,"")</x:f>
      </x:c>
      <x:c r="U80" s="648" t="n">
        <x:f>IF(R80&lt;30000,N80,0)</x:f>
        <x:v>0</x:v>
      </x:c>
      <x:c r="V80" s="648" t="n">
        <x:f>IF(P80&gt;0,N80,0)</x:f>
        <x:v>0</x:v>
      </x:c>
      <x:c r="W80" s="648" t="n">
        <x:f>IF(AND(P80&gt;0,S80&lt;0),N80,0)</x:f>
        <x:v>0</x:v>
      </x:c>
      <x:c r="X80" s="648" t="n">
        <x:f>IF(AND(P80&gt;0,S80=0),N80,0)</x:f>
        <x:v>0</x:v>
      </x:c>
      <x:c r="Y80" s="648" t="n">
        <x:f>IF(Q80&gt;0,N80,0)</x:f>
        <x:v>0</x:v>
      </x:c>
      <x:c r="Z80" s="647" t="n">
        <x:f>IF(P80&gt;0,N80*S80,0)</x:f>
        <x:v>0</x:v>
      </x:c>
      <x:c r="AA80" s="647" t="n">
        <x:f>IF(Q80&gt;0,N80*T80,0)</x:f>
        <x:v>0</x:v>
      </x:c>
      <x:c r="AB80" s="647" t="n">
        <x:f>N80*R80</x:f>
        <x:v>0</x:v>
      </x:c>
      <x:c r="AC80" s="647" t="n">
        <x:f>IF(N80&gt;0,R80,999999)</x:f>
        <x:v>999999</x:v>
      </x:c>
      <x:c r="AD80" s="647" t="n">
        <x:f>IF(AND(N80&gt;0,P80&gt;0),S80,999999)</x:f>
        <x:v>999999</x:v>
      </x:c>
      <x:c r="AE80" s="647" t="n">
        <x:f>IF(AND(N80&gt;0,Q80&gt;0),T80,999999)</x:f>
        <x:v>999999</x:v>
      </x:c>
      <x:c r="AF80" s="648" t="n">
        <x:f>B80*D80*F80*J80</x:f>
        <x:v>0.001701</x:v>
      </x:c>
      <x:c r="AG80" s="648" t="n">
        <x:f>IF(P80&gt;0,AF80,0)</x:f>
        <x:v>0.001701</x:v>
      </x:c>
      <x:c r="AH80" s="648" t="n">
        <x:f>IF(AND(P80&gt;0,S80&lt;0),AF80,0)</x:f>
        <x:v>0</x:v>
      </x:c>
      <x:c r="AI80" s="648" t="n">
        <x:f>IF(AND(P80&gt;0,S80=0),AF80,0)</x:f>
        <x:v>0</x:v>
      </x:c>
      <x:c r="AJ80" s="648" t="n">
        <x:f>IF(R80&lt;30000,AF80,0)</x:f>
        <x:v>0</x:v>
      </x:c>
      <x:c r="AK80" s="647" t="n">
        <x:f>IF(P80&gt;0,AF80*S80,0)</x:f>
        <x:v>34.02</x:v>
      </x:c>
    </x:row>
    <x:row r="81" ht="22" customHeight="1">
      <x:c r="A81" s="19" t="str">
        <x:v>保守</x:v>
      </x:c>
      <x:c r="B81" s="23" t="n">
        <x:f>'114_降本系数'!B26</x:f>
        <x:v>0.35</x:v>
      </x:c>
      <x:c r="C81" s="19" t="str">
        <x:v>L1A</x:v>
      </x:c>
      <x:c r="D81" s="23" t="n">
        <x:f>'130_联合算法'!C17</x:f>
        <x:v>0.15</x:v>
      </x:c>
      <x:c r="E81" s="460" t="n">
        <x:f>'117_价格概率传导'!A8</x:f>
        <x:v>249900</x:v>
      </x:c>
      <x:c r="F81" s="23" t="n">
        <x:f>'117_价格概率传导'!C8</x:f>
        <x:v>0.54</x:v>
      </x:c>
      <x:c r="G81" s="23" t="n">
        <x:f>SUM('117_价格概率传导'!$C$6:$C$7)</x:f>
        <x:v>0.13</x:v>
      </x:c>
      <x:c r="H81" s="23" t="n">
        <x:f>SUM('117_价格概率传导'!$C$6:$C$8)</x:f>
        <x:v>0.67</x:v>
      </x:c>
      <x:c r="I81" s="460" t="n">
        <x:f>'117_价格概率传导'!A18</x:f>
        <x:v>289900</x:v>
      </x:c>
      <x:c r="J81" s="23" t="n">
        <x:f>'117_价格概率传导'!C18</x:f>
        <x:v>0.34</x:v>
      </x:c>
      <x:c r="K81" s="23" t="n">
        <x:f>SUM('117_价格概率传导'!$C$16:$C$17)</x:f>
        <x:v>0.11</x:v>
      </x:c>
      <x:c r="L81" s="23" t="n">
        <x:f>SUM('117_价格概率传导'!$C$16:$C$18)</x:f>
        <x:v>0.45</x:v>
      </x:c>
      <x:c r="M81" s="23" t="n">
        <x:f>MAX(0,MIN(H81,L81)-MAX(G81,K81))</x:f>
        <x:v>0.32</x:v>
      </x:c>
      <x:c r="N81" s="23" t="n">
        <x:f>B81*D81*M81</x:f>
        <x:v>0.0168</x:v>
      </x:c>
      <x:c r="O81" s="460" t="n">
        <x:f>MIN(299900,I81+20000)</x:f>
        <x:v>299900</x:v>
      </x:c>
      <x:c r="P81" s="460" t="n">
        <x:f>O81-30000</x:f>
        <x:v>269900</x:v>
      </x:c>
      <x:c r="Q81" s="460" t="str">
        <x:f>""</x:f>
      </x:c>
      <x:c r="R81" s="460" t="n">
        <x:f>O81-E81</x:f>
        <x:v>50000</x:v>
      </x:c>
      <x:c r="S81" s="460" t="n">
        <x:f>IF(P81&gt;0,P81-E81,"")</x:f>
        <x:v>20000</x:v>
      </x:c>
      <x:c r="T81" s="460" t="str">
        <x:f>IF(Q81&gt;0,Q81-E81,"")</x:f>
      </x:c>
      <x:c r="U81" s="23" t="n">
        <x:f>IF(R81&lt;30000,N81,0)</x:f>
        <x:v>0</x:v>
      </x:c>
      <x:c r="V81" s="23" t="n">
        <x:f>IF(P81&gt;0,N81,0)</x:f>
        <x:v>0.0168</x:v>
      </x:c>
      <x:c r="W81" s="23" t="n">
        <x:f>IF(AND(P81&gt;0,S81&lt;0),N81,0)</x:f>
        <x:v>0</x:v>
      </x:c>
      <x:c r="X81" s="23" t="n">
        <x:f>IF(AND(P81&gt;0,S81=0),N81,0)</x:f>
        <x:v>0</x:v>
      </x:c>
      <x:c r="Y81" s="23" t="n">
        <x:f>IF(Q81&gt;0,N81,0)</x:f>
        <x:v>0</x:v>
      </x:c>
      <x:c r="Z81" s="460" t="n">
        <x:f>IF(P81&gt;0,N81*S81,0)</x:f>
        <x:v>336</x:v>
      </x:c>
      <x:c r="AA81" s="460" t="n">
        <x:f>IF(Q81&gt;0,N81*T81,0)</x:f>
        <x:v>0</x:v>
      </x:c>
      <x:c r="AB81" s="460" t="n">
        <x:f>N81*R81</x:f>
        <x:v>840</x:v>
      </x:c>
      <x:c r="AC81" s="460" t="n">
        <x:f>IF(N81&gt;0,R81,999999)</x:f>
        <x:v>50000</x:v>
      </x:c>
      <x:c r="AD81" s="460" t="n">
        <x:f>IF(AND(N81&gt;0,P81&gt;0),S81,999999)</x:f>
        <x:v>20000</x:v>
      </x:c>
      <x:c r="AE81" s="460" t="n">
        <x:f>IF(AND(N81&gt;0,Q81&gt;0),T81,999999)</x:f>
        <x:v>999999</x:v>
      </x:c>
      <x:c r="AF81" s="23" t="n">
        <x:f>B81*D81*F81*J81</x:f>
        <x:v>0.009639</x:v>
      </x:c>
      <x:c r="AG81" s="23" t="n">
        <x:f>IF(P81&gt;0,AF81,0)</x:f>
        <x:v>0.009639</x:v>
      </x:c>
      <x:c r="AH81" s="23" t="n">
        <x:f>IF(AND(P81&gt;0,S81&lt;0),AF81,0)</x:f>
        <x:v>0</x:v>
      </x:c>
      <x:c r="AI81" s="23" t="n">
        <x:f>IF(AND(P81&gt;0,S81=0),AF81,0)</x:f>
        <x:v>0</x:v>
      </x:c>
      <x:c r="AJ81" s="23" t="n">
        <x:f>IF(R81&lt;30000,AF81,0)</x:f>
        <x:v>0</x:v>
      </x:c>
      <x:c r="AK81" s="460" t="n">
        <x:f>IF(P81&gt;0,AF81*S81,0)</x:f>
        <x:v>192.78</x:v>
      </x:c>
    </x:row>
    <x:row r="82" ht="22" customHeight="1">
      <x:c r="A82" s="643" t="str">
        <x:v>保守</x:v>
      </x:c>
      <x:c r="B82" s="648" t="n">
        <x:f>'114_降本系数'!B26</x:f>
        <x:v>0.35</x:v>
      </x:c>
      <x:c r="C82" s="643" t="str">
        <x:v>L1A</x:v>
      </x:c>
      <x:c r="D82" s="648" t="n">
        <x:f>'130_联合算法'!C17</x:f>
        <x:v>0.15</x:v>
      </x:c>
      <x:c r="E82" s="647" t="n">
        <x:f>'117_价格概率传导'!A8</x:f>
        <x:v>249900</x:v>
      </x:c>
      <x:c r="F82" s="648" t="n">
        <x:f>'117_价格概率传导'!C8</x:f>
        <x:v>0.54</x:v>
      </x:c>
      <x:c r="G82" s="648" t="n">
        <x:f>SUM('117_价格概率传导'!$C$6:$C$7)</x:f>
        <x:v>0.13</x:v>
      </x:c>
      <x:c r="H82" s="648" t="n">
        <x:f>SUM('117_价格概率传导'!$C$6:$C$8)</x:f>
        <x:v>0.67</x:v>
      </x:c>
      <x:c r="I82" s="647" t="n">
        <x:f>'117_价格概率传导'!A19</x:f>
        <x:v>279900</x:v>
      </x:c>
      <x:c r="J82" s="648" t="n">
        <x:f>'117_价格概率传导'!C19</x:f>
        <x:v>0.39</x:v>
      </x:c>
      <x:c r="K82" s="648" t="n">
        <x:f>SUM('117_价格概率传导'!$C$16:$C$18)</x:f>
        <x:v>0.45</x:v>
      </x:c>
      <x:c r="L82" s="648" t="n">
        <x:f>SUM('117_价格概率传导'!$C$16:$C$19)</x:f>
        <x:v>0.8400000000000001</x:v>
      </x:c>
      <x:c r="M82" s="648" t="n">
        <x:f>MAX(0,MIN(H82,L82)-MAX(G82,K82))</x:f>
        <x:v>0.22000000000000003</x:v>
      </x:c>
      <x:c r="N82" s="648" t="n">
        <x:f>B82*D82*M82</x:f>
        <x:v>0.011550000000000001</x:v>
      </x:c>
      <x:c r="O82" s="647" t="n">
        <x:f>MIN(299900,I82+20000)</x:f>
        <x:v>299900</x:v>
      </x:c>
      <x:c r="P82" s="647" t="n">
        <x:f>O82-30000</x:f>
        <x:v>269900</x:v>
      </x:c>
      <x:c r="Q82" s="647" t="str">
        <x:f>""</x:f>
      </x:c>
      <x:c r="R82" s="647" t="n">
        <x:f>O82-E82</x:f>
        <x:v>50000</x:v>
      </x:c>
      <x:c r="S82" s="647" t="n">
        <x:f>IF(P82&gt;0,P82-E82,"")</x:f>
        <x:v>20000</x:v>
      </x:c>
      <x:c r="T82" s="647" t="str">
        <x:f>IF(Q82&gt;0,Q82-E82,"")</x:f>
      </x:c>
      <x:c r="U82" s="648" t="n">
        <x:f>IF(R82&lt;30000,N82,0)</x:f>
        <x:v>0</x:v>
      </x:c>
      <x:c r="V82" s="648" t="n">
        <x:f>IF(P82&gt;0,N82,0)</x:f>
        <x:v>0.011550000000000001</x:v>
      </x:c>
      <x:c r="W82" s="648" t="n">
        <x:f>IF(AND(P82&gt;0,S82&lt;0),N82,0)</x:f>
        <x:v>0</x:v>
      </x:c>
      <x:c r="X82" s="648" t="n">
        <x:f>IF(AND(P82&gt;0,S82=0),N82,0)</x:f>
        <x:v>0</x:v>
      </x:c>
      <x:c r="Y82" s="648" t="n">
        <x:f>IF(Q82&gt;0,N82,0)</x:f>
        <x:v>0</x:v>
      </x:c>
      <x:c r="Z82" s="647" t="n">
        <x:f>IF(P82&gt;0,N82*S82,0)</x:f>
        <x:v>231.00000000000003</x:v>
      </x:c>
      <x:c r="AA82" s="647" t="n">
        <x:f>IF(Q82&gt;0,N82*T82,0)</x:f>
        <x:v>0</x:v>
      </x:c>
      <x:c r="AB82" s="647" t="n">
        <x:f>N82*R82</x:f>
        <x:v>577.5000000000001</x:v>
      </x:c>
      <x:c r="AC82" s="647" t="n">
        <x:f>IF(N82&gt;0,R82,999999)</x:f>
        <x:v>50000</x:v>
      </x:c>
      <x:c r="AD82" s="647" t="n">
        <x:f>IF(AND(N82&gt;0,P82&gt;0),S82,999999)</x:f>
        <x:v>20000</x:v>
      </x:c>
      <x:c r="AE82" s="647" t="n">
        <x:f>IF(AND(N82&gt;0,Q82&gt;0),T82,999999)</x:f>
        <x:v>999999</x:v>
      </x:c>
      <x:c r="AF82" s="648" t="n">
        <x:f>B82*D82*F82*J82</x:f>
        <x:v>0.0110565</x:v>
      </x:c>
      <x:c r="AG82" s="648" t="n">
        <x:f>IF(P82&gt;0,AF82,0)</x:f>
        <x:v>0.0110565</x:v>
      </x:c>
      <x:c r="AH82" s="648" t="n">
        <x:f>IF(AND(P82&gt;0,S82&lt;0),AF82,0)</x:f>
        <x:v>0</x:v>
      </x:c>
      <x:c r="AI82" s="648" t="n">
        <x:f>IF(AND(P82&gt;0,S82=0),AF82,0)</x:f>
        <x:v>0</x:v>
      </x:c>
      <x:c r="AJ82" s="648" t="n">
        <x:f>IF(R82&lt;30000,AF82,0)</x:f>
        <x:v>0</x:v>
      </x:c>
      <x:c r="AK82" s="647" t="n">
        <x:f>IF(P82&gt;0,AF82*S82,0)</x:f>
        <x:v>221.13</x:v>
      </x:c>
    </x:row>
    <x:row r="83" ht="22" customHeight="1">
      <x:c r="A83" s="19" t="str">
        <x:v>保守</x:v>
      </x:c>
      <x:c r="B83" s="23" t="n">
        <x:f>'114_降本系数'!B26</x:f>
        <x:v>0.35</x:v>
      </x:c>
      <x:c r="C83" s="19" t="str">
        <x:v>L1A</x:v>
      </x:c>
      <x:c r="D83" s="23" t="n">
        <x:f>'130_联合算法'!C17</x:f>
        <x:v>0.15</x:v>
      </x:c>
      <x:c r="E83" s="460" t="n">
        <x:f>'117_价格概率传导'!A8</x:f>
        <x:v>249900</x:v>
      </x:c>
      <x:c r="F83" s="23" t="n">
        <x:f>'117_价格概率传导'!C8</x:f>
        <x:v>0.54</x:v>
      </x:c>
      <x:c r="G83" s="23" t="n">
        <x:f>SUM('117_价格概率传导'!$C$6:$C$7)</x:f>
        <x:v>0.13</x:v>
      </x:c>
      <x:c r="H83" s="23" t="n">
        <x:f>SUM('117_价格概率传导'!$C$6:$C$8)</x:f>
        <x:v>0.67</x:v>
      </x:c>
      <x:c r="I83" s="460" t="n">
        <x:f>'117_价格概率传导'!A20</x:f>
        <x:v>269900</x:v>
      </x:c>
      <x:c r="J83" s="23" t="n">
        <x:f>'117_价格概率传导'!C20</x:f>
        <x:v>0.13</x:v>
      </x:c>
      <x:c r="K83" s="23" t="n">
        <x:f>SUM('117_价格概率传导'!$C$16:$C$19)</x:f>
        <x:v>0.8400000000000001</x:v>
      </x:c>
      <x:c r="L83" s="23" t="n">
        <x:f>SUM('117_价格概率传导'!$C$16:$C$20)</x:f>
        <x:v>0.9700000000000001</x:v>
      </x:c>
      <x:c r="M83" s="23" t="n">
        <x:f>MAX(0,MIN(H83,L83)-MAX(G83,K83))</x:f>
        <x:v>0</x:v>
      </x:c>
      <x:c r="N83" s="23" t="n">
        <x:f>B83*D83*M83</x:f>
        <x:v>0</x:v>
      </x:c>
      <x:c r="O83" s="460" t="n">
        <x:f>MIN(299900,I83+20000)</x:f>
        <x:v>289900</x:v>
      </x:c>
      <x:c r="P83" s="460" t="n">
        <x:f>O83-30000</x:f>
        <x:v>259900</x:v>
      </x:c>
      <x:c r="Q83" s="460" t="str">
        <x:f>""</x:f>
      </x:c>
      <x:c r="R83" s="460" t="n">
        <x:f>O83-E83</x:f>
        <x:v>40000</x:v>
      </x:c>
      <x:c r="S83" s="460" t="n">
        <x:f>IF(P83&gt;0,P83-E83,"")</x:f>
        <x:v>10000</x:v>
      </x:c>
      <x:c r="T83" s="460" t="str">
        <x:f>IF(Q83&gt;0,Q83-E83,"")</x:f>
      </x:c>
      <x:c r="U83" s="23" t="n">
        <x:f>IF(R83&lt;30000,N83,0)</x:f>
        <x:v>0</x:v>
      </x:c>
      <x:c r="V83" s="23" t="n">
        <x:f>IF(P83&gt;0,N83,0)</x:f>
        <x:v>0</x:v>
      </x:c>
      <x:c r="W83" s="23" t="n">
        <x:f>IF(AND(P83&gt;0,S83&lt;0),N83,0)</x:f>
        <x:v>0</x:v>
      </x:c>
      <x:c r="X83" s="23" t="n">
        <x:f>IF(AND(P83&gt;0,S83=0),N83,0)</x:f>
        <x:v>0</x:v>
      </x:c>
      <x:c r="Y83" s="23" t="n">
        <x:f>IF(Q83&gt;0,N83,0)</x:f>
        <x:v>0</x:v>
      </x:c>
      <x:c r="Z83" s="460" t="n">
        <x:f>IF(P83&gt;0,N83*S83,0)</x:f>
        <x:v>0</x:v>
      </x:c>
      <x:c r="AA83" s="460" t="n">
        <x:f>IF(Q83&gt;0,N83*T83,0)</x:f>
        <x:v>0</x:v>
      </x:c>
      <x:c r="AB83" s="460" t="n">
        <x:f>N83*R83</x:f>
        <x:v>0</x:v>
      </x:c>
      <x:c r="AC83" s="460" t="n">
        <x:f>IF(N83&gt;0,R83,999999)</x:f>
        <x:v>999999</x:v>
      </x:c>
      <x:c r="AD83" s="460" t="n">
        <x:f>IF(AND(N83&gt;0,P83&gt;0),S83,999999)</x:f>
        <x:v>999999</x:v>
      </x:c>
      <x:c r="AE83" s="460" t="n">
        <x:f>IF(AND(N83&gt;0,Q83&gt;0),T83,999999)</x:f>
        <x:v>999999</x:v>
      </x:c>
      <x:c r="AF83" s="23" t="n">
        <x:f>B83*D83*F83*J83</x:f>
        <x:v>0.0036855</x:v>
      </x:c>
      <x:c r="AG83" s="23" t="n">
        <x:f>IF(P83&gt;0,AF83,0)</x:f>
        <x:v>0.0036855</x:v>
      </x:c>
      <x:c r="AH83" s="23" t="n">
        <x:f>IF(AND(P83&gt;0,S83&lt;0),AF83,0)</x:f>
        <x:v>0</x:v>
      </x:c>
      <x:c r="AI83" s="23" t="n">
        <x:f>IF(AND(P83&gt;0,S83=0),AF83,0)</x:f>
        <x:v>0</x:v>
      </x:c>
      <x:c r="AJ83" s="23" t="n">
        <x:f>IF(R83&lt;30000,AF83,0)</x:f>
        <x:v>0</x:v>
      </x:c>
      <x:c r="AK83" s="460" t="n">
        <x:f>IF(P83&gt;0,AF83*S83,0)</x:f>
        <x:v>36.855</x:v>
      </x:c>
    </x:row>
    <x:row r="84" ht="22" customHeight="1">
      <x:c r="A84" s="643" t="str">
        <x:v>保守</x:v>
      </x:c>
      <x:c r="B84" s="648" t="n">
        <x:f>'114_降本系数'!B26</x:f>
        <x:v>0.35</x:v>
      </x:c>
      <x:c r="C84" s="643" t="str">
        <x:v>L1A</x:v>
      </x:c>
      <x:c r="D84" s="648" t="n">
        <x:f>'130_联合算法'!C17</x:f>
        <x:v>0.15</x:v>
      </x:c>
      <x:c r="E84" s="647" t="n">
        <x:f>'117_价格概率传导'!A8</x:f>
        <x:v>249900</x:v>
      </x:c>
      <x:c r="F84" s="648" t="n">
        <x:f>'117_价格概率传导'!C8</x:f>
        <x:v>0.54</x:v>
      </x:c>
      <x:c r="G84" s="648" t="n">
        <x:f>SUM('117_价格概率传导'!$C$6:$C$7)</x:f>
        <x:v>0.13</x:v>
      </x:c>
      <x:c r="H84" s="648" t="n">
        <x:f>SUM('117_价格概率传导'!$C$6:$C$8)</x:f>
        <x:v>0.67</x:v>
      </x:c>
      <x:c r="I84" s="647" t="n">
        <x:f>'117_价格概率传导'!A21</x:f>
        <x:v>259900</x:v>
      </x:c>
      <x:c r="J84" s="648" t="n">
        <x:f>'117_价格概率传导'!C21</x:f>
        <x:v>0.03</x:v>
      </x:c>
      <x:c r="K84" s="648" t="n">
        <x:f>SUM('117_价格概率传导'!$C$16:$C$20)</x:f>
        <x:v>0.9700000000000001</x:v>
      </x:c>
      <x:c r="L84" s="648" t="n">
        <x:f>SUM('117_价格概率传导'!$C$16:$C$21)</x:f>
        <x:v>1</x:v>
      </x:c>
      <x:c r="M84" s="648" t="n">
        <x:f>MAX(0,MIN(H84,L84)-MAX(G84,K84))</x:f>
        <x:v>0</x:v>
      </x:c>
      <x:c r="N84" s="648" t="n">
        <x:f>B84*D84*M84</x:f>
        <x:v>0</x:v>
      </x:c>
      <x:c r="O84" s="647" t="n">
        <x:f>MIN(299900,I84+20000)</x:f>
        <x:v>279900</x:v>
      </x:c>
      <x:c r="P84" s="647" t="n">
        <x:f>O84-30000</x:f>
        <x:v>249900</x:v>
      </x:c>
      <x:c r="Q84" s="647" t="str">
        <x:f>""</x:f>
      </x:c>
      <x:c r="R84" s="647" t="n">
        <x:f>O84-E84</x:f>
        <x:v>30000</x:v>
      </x:c>
      <x:c r="S84" s="647" t="n">
        <x:f>IF(P84&gt;0,P84-E84,"")</x:f>
        <x:v>0</x:v>
      </x:c>
      <x:c r="T84" s="647" t="str">
        <x:f>IF(Q84&gt;0,Q84-E84,"")</x:f>
      </x:c>
      <x:c r="U84" s="648" t="n">
        <x:f>IF(R84&lt;30000,N84,0)</x:f>
        <x:v>0</x:v>
      </x:c>
      <x:c r="V84" s="648" t="n">
        <x:f>IF(P84&gt;0,N84,0)</x:f>
        <x:v>0</x:v>
      </x:c>
      <x:c r="W84" s="648" t="n">
        <x:f>IF(AND(P84&gt;0,S84&lt;0),N84,0)</x:f>
        <x:v>0</x:v>
      </x:c>
      <x:c r="X84" s="648" t="n">
        <x:f>IF(AND(P84&gt;0,S84=0),N84,0)</x:f>
        <x:v>0</x:v>
      </x:c>
      <x:c r="Y84" s="648" t="n">
        <x:f>IF(Q84&gt;0,N84,0)</x:f>
        <x:v>0</x:v>
      </x:c>
      <x:c r="Z84" s="647" t="n">
        <x:f>IF(P84&gt;0,N84*S84,0)</x:f>
        <x:v>0</x:v>
      </x:c>
      <x:c r="AA84" s="647" t="n">
        <x:f>IF(Q84&gt;0,N84*T84,0)</x:f>
        <x:v>0</x:v>
      </x:c>
      <x:c r="AB84" s="647" t="n">
        <x:f>N84*R84</x:f>
        <x:v>0</x:v>
      </x:c>
      <x:c r="AC84" s="647" t="n">
        <x:f>IF(N84&gt;0,R84,999999)</x:f>
        <x:v>999999</x:v>
      </x:c>
      <x:c r="AD84" s="647" t="n">
        <x:f>IF(AND(N84&gt;0,P84&gt;0),S84,999999)</x:f>
        <x:v>999999</x:v>
      </x:c>
      <x:c r="AE84" s="647" t="n">
        <x:f>IF(AND(N84&gt;0,Q84&gt;0),T84,999999)</x:f>
        <x:v>999999</x:v>
      </x:c>
      <x:c r="AF84" s="648" t="n">
        <x:f>B84*D84*F84*J84</x:f>
        <x:v>0.0008505</x:v>
      </x:c>
      <x:c r="AG84" s="648" t="n">
        <x:f>IF(P84&gt;0,AF84,0)</x:f>
        <x:v>0.0008505</x:v>
      </x:c>
      <x:c r="AH84" s="648" t="n">
        <x:f>IF(AND(P84&gt;0,S84&lt;0),AF84,0)</x:f>
        <x:v>0</x:v>
      </x:c>
      <x:c r="AI84" s="648" t="n">
        <x:f>IF(AND(P84&gt;0,S84=0),AF84,0)</x:f>
        <x:v>0.0008505</x:v>
      </x:c>
      <x:c r="AJ84" s="648" t="n">
        <x:f>IF(R84&lt;30000,AF84,0)</x:f>
        <x:v>0</x:v>
      </x:c>
      <x:c r="AK84" s="647" t="n">
        <x:f>IF(P84&gt;0,AF84*S84,0)</x:f>
        <x:v>0</x:v>
      </x:c>
    </x:row>
    <x:row r="85" ht="22" customHeight="1">
      <x:c r="A85" s="19" t="str">
        <x:v>保守</x:v>
      </x:c>
      <x:c r="B85" s="23" t="n">
        <x:f>'114_降本系数'!B26</x:f>
        <x:v>0.35</x:v>
      </x:c>
      <x:c r="C85" s="19" t="str">
        <x:v>L1A</x:v>
      </x:c>
      <x:c r="D85" s="23" t="n">
        <x:f>'130_联合算法'!C17</x:f>
        <x:v>0.15</x:v>
      </x:c>
      <x:c r="E85" s="460" t="n">
        <x:f>'117_价格概率传导'!A9</x:f>
        <x:v>239900</x:v>
      </x:c>
      <x:c r="F85" s="23" t="n">
        <x:f>'117_价格概率传导'!C9</x:f>
        <x:v>0.26</x:v>
      </x:c>
      <x:c r="G85" s="23" t="n">
        <x:f>SUM('117_价格概率传导'!$C$6:$C$8)</x:f>
        <x:v>0.67</x:v>
      </x:c>
      <x:c r="H85" s="23" t="n">
        <x:f>SUM('117_价格概率传导'!$C$6:$C$9)</x:f>
        <x:v>0.93</x:v>
      </x:c>
      <x:c r="I85" s="460" t="n">
        <x:f>'117_价格概率传导'!A16</x:f>
        <x:v>299900</x:v>
      </x:c>
      <x:c r="J85" s="23" t="n">
        <x:f>'117_价格概率传导'!C16</x:f>
        <x:v>0.05</x:v>
      </x:c>
      <x:c r="K85" s="23" t="n">
        <x:f>0</x:f>
        <x:v>0</x:v>
      </x:c>
      <x:c r="L85" s="23" t="n">
        <x:f>SUM('117_价格概率传导'!$C$16:$C$16)</x:f>
        <x:v>0.05</x:v>
      </x:c>
      <x:c r="M85" s="23" t="n">
        <x:f>MAX(0,MIN(H85,L85)-MAX(G85,K85))</x:f>
        <x:v>0</x:v>
      </x:c>
      <x:c r="N85" s="23" t="n">
        <x:f>B85*D85*M85</x:f>
        <x:v>0</x:v>
      </x:c>
      <x:c r="O85" s="460" t="n">
        <x:f>MIN(299900,I85+20000)</x:f>
        <x:v>299900</x:v>
      </x:c>
      <x:c r="P85" s="460" t="n">
        <x:f>O85-30000</x:f>
        <x:v>269900</x:v>
      </x:c>
      <x:c r="Q85" s="460" t="str">
        <x:f>""</x:f>
      </x:c>
      <x:c r="R85" s="460" t="n">
        <x:f>O85-E85</x:f>
        <x:v>60000</x:v>
      </x:c>
      <x:c r="S85" s="460" t="n">
        <x:f>IF(P85&gt;0,P85-E85,"")</x:f>
        <x:v>30000</x:v>
      </x:c>
      <x:c r="T85" s="460" t="str">
        <x:f>IF(Q85&gt;0,Q85-E85,"")</x:f>
      </x:c>
      <x:c r="U85" s="23" t="n">
        <x:f>IF(R85&lt;30000,N85,0)</x:f>
        <x:v>0</x:v>
      </x:c>
      <x:c r="V85" s="23" t="n">
        <x:f>IF(P85&gt;0,N85,0)</x:f>
        <x:v>0</x:v>
      </x:c>
      <x:c r="W85" s="23" t="n">
        <x:f>IF(AND(P85&gt;0,S85&lt;0),N85,0)</x:f>
        <x:v>0</x:v>
      </x:c>
      <x:c r="X85" s="23" t="n">
        <x:f>IF(AND(P85&gt;0,S85=0),N85,0)</x:f>
        <x:v>0</x:v>
      </x:c>
      <x:c r="Y85" s="23" t="n">
        <x:f>IF(Q85&gt;0,N85,0)</x:f>
        <x:v>0</x:v>
      </x:c>
      <x:c r="Z85" s="460" t="n">
        <x:f>IF(P85&gt;0,N85*S85,0)</x:f>
        <x:v>0</x:v>
      </x:c>
      <x:c r="AA85" s="460" t="n">
        <x:f>IF(Q85&gt;0,N85*T85,0)</x:f>
        <x:v>0</x:v>
      </x:c>
      <x:c r="AB85" s="460" t="n">
        <x:f>N85*R85</x:f>
        <x:v>0</x:v>
      </x:c>
      <x:c r="AC85" s="460" t="n">
        <x:f>IF(N85&gt;0,R85,999999)</x:f>
        <x:v>999999</x:v>
      </x:c>
      <x:c r="AD85" s="460" t="n">
        <x:f>IF(AND(N85&gt;0,P85&gt;0),S85,999999)</x:f>
        <x:v>999999</x:v>
      </x:c>
      <x:c r="AE85" s="460" t="n">
        <x:f>IF(AND(N85&gt;0,Q85&gt;0),T85,999999)</x:f>
        <x:v>999999</x:v>
      </x:c>
      <x:c r="AF85" s="23" t="n">
        <x:f>B85*D85*F85*J85</x:f>
        <x:v>0.0006825000000000001</x:v>
      </x:c>
      <x:c r="AG85" s="23" t="n">
        <x:f>IF(P85&gt;0,AF85,0)</x:f>
        <x:v>0.0006825000000000001</x:v>
      </x:c>
      <x:c r="AH85" s="23" t="n">
        <x:f>IF(AND(P85&gt;0,S85&lt;0),AF85,0)</x:f>
        <x:v>0</x:v>
      </x:c>
      <x:c r="AI85" s="23" t="n">
        <x:f>IF(AND(P85&gt;0,S85=0),AF85,0)</x:f>
        <x:v>0</x:v>
      </x:c>
      <x:c r="AJ85" s="23" t="n">
        <x:f>IF(R85&lt;30000,AF85,0)</x:f>
        <x:v>0</x:v>
      </x:c>
      <x:c r="AK85" s="460" t="n">
        <x:f>IF(P85&gt;0,AF85*S85,0)</x:f>
        <x:v>20.475</x:v>
      </x:c>
    </x:row>
    <x:row r="86" ht="22" customHeight="1">
      <x:c r="A86" s="643" t="str">
        <x:v>保守</x:v>
      </x:c>
      <x:c r="B86" s="648" t="n">
        <x:f>'114_降本系数'!B26</x:f>
        <x:v>0.35</x:v>
      </x:c>
      <x:c r="C86" s="643" t="str">
        <x:v>L1A</x:v>
      </x:c>
      <x:c r="D86" s="648" t="n">
        <x:f>'130_联合算法'!C17</x:f>
        <x:v>0.15</x:v>
      </x:c>
      <x:c r="E86" s="647" t="n">
        <x:f>'117_价格概率传导'!A9</x:f>
        <x:v>239900</x:v>
      </x:c>
      <x:c r="F86" s="648" t="n">
        <x:f>'117_价格概率传导'!C9</x:f>
        <x:v>0.26</x:v>
      </x:c>
      <x:c r="G86" s="648" t="n">
        <x:f>SUM('117_价格概率传导'!$C$6:$C$8)</x:f>
        <x:v>0.67</x:v>
      </x:c>
      <x:c r="H86" s="648" t="n">
        <x:f>SUM('117_价格概率传导'!$C$6:$C$9)</x:f>
        <x:v>0.93</x:v>
      </x:c>
      <x:c r="I86" s="647" t="n">
        <x:f>'117_价格概率传导'!A17</x:f>
        <x:v>293900</x:v>
      </x:c>
      <x:c r="J86" s="648" t="n">
        <x:f>'117_价格概率传导'!C17</x:f>
        <x:v>0.06</x:v>
      </x:c>
      <x:c r="K86" s="648" t="n">
        <x:f>SUM('117_价格概率传导'!$C$16:$C$16)</x:f>
        <x:v>0.05</x:v>
      </x:c>
      <x:c r="L86" s="648" t="n">
        <x:f>SUM('117_价格概率传导'!$C$16:$C$17)</x:f>
        <x:v>0.11</x:v>
      </x:c>
      <x:c r="M86" s="648" t="n">
        <x:f>MAX(0,MIN(H86,L86)-MAX(G86,K86))</x:f>
        <x:v>0</x:v>
      </x:c>
      <x:c r="N86" s="648" t="n">
        <x:f>B86*D86*M86</x:f>
        <x:v>0</x:v>
      </x:c>
      <x:c r="O86" s="647" t="n">
        <x:f>MIN(299900,I86+20000)</x:f>
        <x:v>299900</x:v>
      </x:c>
      <x:c r="P86" s="647" t="n">
        <x:f>O86-30000</x:f>
        <x:v>269900</x:v>
      </x:c>
      <x:c r="Q86" s="647" t="str">
        <x:f>""</x:f>
      </x:c>
      <x:c r="R86" s="647" t="n">
        <x:f>O86-E86</x:f>
        <x:v>60000</x:v>
      </x:c>
      <x:c r="S86" s="647" t="n">
        <x:f>IF(P86&gt;0,P86-E86,"")</x:f>
        <x:v>30000</x:v>
      </x:c>
      <x:c r="T86" s="647" t="str">
        <x:f>IF(Q86&gt;0,Q86-E86,"")</x:f>
      </x:c>
      <x:c r="U86" s="648" t="n">
        <x:f>IF(R86&lt;30000,N86,0)</x:f>
        <x:v>0</x:v>
      </x:c>
      <x:c r="V86" s="648" t="n">
        <x:f>IF(P86&gt;0,N86,0)</x:f>
        <x:v>0</x:v>
      </x:c>
      <x:c r="W86" s="648" t="n">
        <x:f>IF(AND(P86&gt;0,S86&lt;0),N86,0)</x:f>
        <x:v>0</x:v>
      </x:c>
      <x:c r="X86" s="648" t="n">
        <x:f>IF(AND(P86&gt;0,S86=0),N86,0)</x:f>
        <x:v>0</x:v>
      </x:c>
      <x:c r="Y86" s="648" t="n">
        <x:f>IF(Q86&gt;0,N86,0)</x:f>
        <x:v>0</x:v>
      </x:c>
      <x:c r="Z86" s="647" t="n">
        <x:f>IF(P86&gt;0,N86*S86,0)</x:f>
        <x:v>0</x:v>
      </x:c>
      <x:c r="AA86" s="647" t="n">
        <x:f>IF(Q86&gt;0,N86*T86,0)</x:f>
        <x:v>0</x:v>
      </x:c>
      <x:c r="AB86" s="647" t="n">
        <x:f>N86*R86</x:f>
        <x:v>0</x:v>
      </x:c>
      <x:c r="AC86" s="647" t="n">
        <x:f>IF(N86&gt;0,R86,999999)</x:f>
        <x:v>999999</x:v>
      </x:c>
      <x:c r="AD86" s="647" t="n">
        <x:f>IF(AND(N86&gt;0,P86&gt;0),S86,999999)</x:f>
        <x:v>999999</x:v>
      </x:c>
      <x:c r="AE86" s="647" t="n">
        <x:f>IF(AND(N86&gt;0,Q86&gt;0),T86,999999)</x:f>
        <x:v>999999</x:v>
      </x:c>
      <x:c r="AF86" s="648" t="n">
        <x:f>B86*D86*F86*J86</x:f>
        <x:v>0.000819</x:v>
      </x:c>
      <x:c r="AG86" s="648" t="n">
        <x:f>IF(P86&gt;0,AF86,0)</x:f>
        <x:v>0.000819</x:v>
      </x:c>
      <x:c r="AH86" s="648" t="n">
        <x:f>IF(AND(P86&gt;0,S86&lt;0),AF86,0)</x:f>
        <x:v>0</x:v>
      </x:c>
      <x:c r="AI86" s="648" t="n">
        <x:f>IF(AND(P86&gt;0,S86=0),AF86,0)</x:f>
        <x:v>0</x:v>
      </x:c>
      <x:c r="AJ86" s="648" t="n">
        <x:f>IF(R86&lt;30000,AF86,0)</x:f>
        <x:v>0</x:v>
      </x:c>
      <x:c r="AK86" s="647" t="n">
        <x:f>IF(P86&gt;0,AF86*S86,0)</x:f>
        <x:v>24.57</x:v>
      </x:c>
    </x:row>
    <x:row r="87" ht="22" customHeight="1">
      <x:c r="A87" s="19" t="str">
        <x:v>保守</x:v>
      </x:c>
      <x:c r="B87" s="23" t="n">
        <x:f>'114_降本系数'!B26</x:f>
        <x:v>0.35</x:v>
      </x:c>
      <x:c r="C87" s="19" t="str">
        <x:v>L1A</x:v>
      </x:c>
      <x:c r="D87" s="23" t="n">
        <x:f>'130_联合算法'!C17</x:f>
        <x:v>0.15</x:v>
      </x:c>
      <x:c r="E87" s="460" t="n">
        <x:f>'117_价格概率传导'!A9</x:f>
        <x:v>239900</x:v>
      </x:c>
      <x:c r="F87" s="23" t="n">
        <x:f>'117_价格概率传导'!C9</x:f>
        <x:v>0.26</x:v>
      </x:c>
      <x:c r="G87" s="23" t="n">
        <x:f>SUM('117_价格概率传导'!$C$6:$C$8)</x:f>
        <x:v>0.67</x:v>
      </x:c>
      <x:c r="H87" s="23" t="n">
        <x:f>SUM('117_价格概率传导'!$C$6:$C$9)</x:f>
        <x:v>0.93</x:v>
      </x:c>
      <x:c r="I87" s="460" t="n">
        <x:f>'117_价格概率传导'!A18</x:f>
        <x:v>289900</x:v>
      </x:c>
      <x:c r="J87" s="23" t="n">
        <x:f>'117_价格概率传导'!C18</x:f>
        <x:v>0.34</x:v>
      </x:c>
      <x:c r="K87" s="23" t="n">
        <x:f>SUM('117_价格概率传导'!$C$16:$C$17)</x:f>
        <x:v>0.11</x:v>
      </x:c>
      <x:c r="L87" s="23" t="n">
        <x:f>SUM('117_价格概率传导'!$C$16:$C$18)</x:f>
        <x:v>0.45</x:v>
      </x:c>
      <x:c r="M87" s="23" t="n">
        <x:f>MAX(0,MIN(H87,L87)-MAX(G87,K87))</x:f>
        <x:v>0</x:v>
      </x:c>
      <x:c r="N87" s="23" t="n">
        <x:f>B87*D87*M87</x:f>
        <x:v>0</x:v>
      </x:c>
      <x:c r="O87" s="460" t="n">
        <x:f>MIN(299900,I87+20000)</x:f>
        <x:v>299900</x:v>
      </x:c>
      <x:c r="P87" s="460" t="n">
        <x:f>O87-30000</x:f>
        <x:v>269900</x:v>
      </x:c>
      <x:c r="Q87" s="460" t="str">
        <x:f>""</x:f>
      </x:c>
      <x:c r="R87" s="460" t="n">
        <x:f>O87-E87</x:f>
        <x:v>60000</x:v>
      </x:c>
      <x:c r="S87" s="460" t="n">
        <x:f>IF(P87&gt;0,P87-E87,"")</x:f>
        <x:v>30000</x:v>
      </x:c>
      <x:c r="T87" s="460" t="str">
        <x:f>IF(Q87&gt;0,Q87-E87,"")</x:f>
      </x:c>
      <x:c r="U87" s="23" t="n">
        <x:f>IF(R87&lt;30000,N87,0)</x:f>
        <x:v>0</x:v>
      </x:c>
      <x:c r="V87" s="23" t="n">
        <x:f>IF(P87&gt;0,N87,0)</x:f>
        <x:v>0</x:v>
      </x:c>
      <x:c r="W87" s="23" t="n">
        <x:f>IF(AND(P87&gt;0,S87&lt;0),N87,0)</x:f>
        <x:v>0</x:v>
      </x:c>
      <x:c r="X87" s="23" t="n">
        <x:f>IF(AND(P87&gt;0,S87=0),N87,0)</x:f>
        <x:v>0</x:v>
      </x:c>
      <x:c r="Y87" s="23" t="n">
        <x:f>IF(Q87&gt;0,N87,0)</x:f>
        <x:v>0</x:v>
      </x:c>
      <x:c r="Z87" s="460" t="n">
        <x:f>IF(P87&gt;0,N87*S87,0)</x:f>
        <x:v>0</x:v>
      </x:c>
      <x:c r="AA87" s="460" t="n">
        <x:f>IF(Q87&gt;0,N87*T87,0)</x:f>
        <x:v>0</x:v>
      </x:c>
      <x:c r="AB87" s="460" t="n">
        <x:f>N87*R87</x:f>
        <x:v>0</x:v>
      </x:c>
      <x:c r="AC87" s="460" t="n">
        <x:f>IF(N87&gt;0,R87,999999)</x:f>
        <x:v>999999</x:v>
      </x:c>
      <x:c r="AD87" s="460" t="n">
        <x:f>IF(AND(N87&gt;0,P87&gt;0),S87,999999)</x:f>
        <x:v>999999</x:v>
      </x:c>
      <x:c r="AE87" s="460" t="n">
        <x:f>IF(AND(N87&gt;0,Q87&gt;0),T87,999999)</x:f>
        <x:v>999999</x:v>
      </x:c>
      <x:c r="AF87" s="23" t="n">
        <x:f>B87*D87*F87*J87</x:f>
        <x:v>0.004641</x:v>
      </x:c>
      <x:c r="AG87" s="23" t="n">
        <x:f>IF(P87&gt;0,AF87,0)</x:f>
        <x:v>0.004641</x:v>
      </x:c>
      <x:c r="AH87" s="23" t="n">
        <x:f>IF(AND(P87&gt;0,S87&lt;0),AF87,0)</x:f>
        <x:v>0</x:v>
      </x:c>
      <x:c r="AI87" s="23" t="n">
        <x:f>IF(AND(P87&gt;0,S87=0),AF87,0)</x:f>
        <x:v>0</x:v>
      </x:c>
      <x:c r="AJ87" s="23" t="n">
        <x:f>IF(R87&lt;30000,AF87,0)</x:f>
        <x:v>0</x:v>
      </x:c>
      <x:c r="AK87" s="460" t="n">
        <x:f>IF(P87&gt;0,AF87*S87,0)</x:f>
        <x:v>139.23000000000002</x:v>
      </x:c>
    </x:row>
    <x:row r="88" ht="22" customHeight="1">
      <x:c r="A88" s="643" t="str">
        <x:v>保守</x:v>
      </x:c>
      <x:c r="B88" s="648" t="n">
        <x:f>'114_降本系数'!B26</x:f>
        <x:v>0.35</x:v>
      </x:c>
      <x:c r="C88" s="643" t="str">
        <x:v>L1A</x:v>
      </x:c>
      <x:c r="D88" s="648" t="n">
        <x:f>'130_联合算法'!C17</x:f>
        <x:v>0.15</x:v>
      </x:c>
      <x:c r="E88" s="647" t="n">
        <x:f>'117_价格概率传导'!A9</x:f>
        <x:v>239900</x:v>
      </x:c>
      <x:c r="F88" s="648" t="n">
        <x:f>'117_价格概率传导'!C9</x:f>
        <x:v>0.26</x:v>
      </x:c>
      <x:c r="G88" s="648" t="n">
        <x:f>SUM('117_价格概率传导'!$C$6:$C$8)</x:f>
        <x:v>0.67</x:v>
      </x:c>
      <x:c r="H88" s="648" t="n">
        <x:f>SUM('117_价格概率传导'!$C$6:$C$9)</x:f>
        <x:v>0.93</x:v>
      </x:c>
      <x:c r="I88" s="647" t="n">
        <x:f>'117_价格概率传导'!A19</x:f>
        <x:v>279900</x:v>
      </x:c>
      <x:c r="J88" s="648" t="n">
        <x:f>'117_价格概率传导'!C19</x:f>
        <x:v>0.39</x:v>
      </x:c>
      <x:c r="K88" s="648" t="n">
        <x:f>SUM('117_价格概率传导'!$C$16:$C$18)</x:f>
        <x:v>0.45</x:v>
      </x:c>
      <x:c r="L88" s="648" t="n">
        <x:f>SUM('117_价格概率传导'!$C$16:$C$19)</x:f>
        <x:v>0.8400000000000001</x:v>
      </x:c>
      <x:c r="M88" s="648" t="n">
        <x:f>MAX(0,MIN(H88,L88)-MAX(G88,K88))</x:f>
        <x:v>0.17000000000000004</x:v>
      </x:c>
      <x:c r="N88" s="648" t="n">
        <x:f>B88*D88*M88</x:f>
        <x:v>0.008925000000000002</x:v>
      </x:c>
      <x:c r="O88" s="647" t="n">
        <x:f>MIN(299900,I88+20000)</x:f>
        <x:v>299900</x:v>
      </x:c>
      <x:c r="P88" s="647" t="n">
        <x:f>O88-30000</x:f>
        <x:v>269900</x:v>
      </x:c>
      <x:c r="Q88" s="647" t="str">
        <x:f>""</x:f>
      </x:c>
      <x:c r="R88" s="647" t="n">
        <x:f>O88-E88</x:f>
        <x:v>60000</x:v>
      </x:c>
      <x:c r="S88" s="647" t="n">
        <x:f>IF(P88&gt;0,P88-E88,"")</x:f>
        <x:v>30000</x:v>
      </x:c>
      <x:c r="T88" s="647" t="str">
        <x:f>IF(Q88&gt;0,Q88-E88,"")</x:f>
      </x:c>
      <x:c r="U88" s="648" t="n">
        <x:f>IF(R88&lt;30000,N88,0)</x:f>
        <x:v>0</x:v>
      </x:c>
      <x:c r="V88" s="648" t="n">
        <x:f>IF(P88&gt;0,N88,0)</x:f>
        <x:v>0.008925000000000002</x:v>
      </x:c>
      <x:c r="W88" s="648" t="n">
        <x:f>IF(AND(P88&gt;0,S88&lt;0),N88,0)</x:f>
        <x:v>0</x:v>
      </x:c>
      <x:c r="X88" s="648" t="n">
        <x:f>IF(AND(P88&gt;0,S88=0),N88,0)</x:f>
        <x:v>0</x:v>
      </x:c>
      <x:c r="Y88" s="648" t="n">
        <x:f>IF(Q88&gt;0,N88,0)</x:f>
        <x:v>0</x:v>
      </x:c>
      <x:c r="Z88" s="647" t="n">
        <x:f>IF(P88&gt;0,N88*S88,0)</x:f>
        <x:v>267.75000000000006</x:v>
      </x:c>
      <x:c r="AA88" s="647" t="n">
        <x:f>IF(Q88&gt;0,N88*T88,0)</x:f>
        <x:v>0</x:v>
      </x:c>
      <x:c r="AB88" s="647" t="n">
        <x:f>N88*R88</x:f>
        <x:v>535.5000000000001</x:v>
      </x:c>
      <x:c r="AC88" s="647" t="n">
        <x:f>IF(N88&gt;0,R88,999999)</x:f>
        <x:v>60000</x:v>
      </x:c>
      <x:c r="AD88" s="647" t="n">
        <x:f>IF(AND(N88&gt;0,P88&gt;0),S88,999999)</x:f>
        <x:v>30000</x:v>
      </x:c>
      <x:c r="AE88" s="647" t="n">
        <x:f>IF(AND(N88&gt;0,Q88&gt;0),T88,999999)</x:f>
        <x:v>999999</x:v>
      </x:c>
      <x:c r="AF88" s="648" t="n">
        <x:f>B88*D88*F88*J88</x:f>
        <x:v>0.0053235</x:v>
      </x:c>
      <x:c r="AG88" s="648" t="n">
        <x:f>IF(P88&gt;0,AF88,0)</x:f>
        <x:v>0.0053235</x:v>
      </x:c>
      <x:c r="AH88" s="648" t="n">
        <x:f>IF(AND(P88&gt;0,S88&lt;0),AF88,0)</x:f>
        <x:v>0</x:v>
      </x:c>
      <x:c r="AI88" s="648" t="n">
        <x:f>IF(AND(P88&gt;0,S88=0),AF88,0)</x:f>
        <x:v>0</x:v>
      </x:c>
      <x:c r="AJ88" s="648" t="n">
        <x:f>IF(R88&lt;30000,AF88,0)</x:f>
        <x:v>0</x:v>
      </x:c>
      <x:c r="AK88" s="647" t="n">
        <x:f>IF(P88&gt;0,AF88*S88,0)</x:f>
        <x:v>159.705</x:v>
      </x:c>
    </x:row>
    <x:row r="89" ht="22" customHeight="1">
      <x:c r="A89" s="19" t="str">
        <x:v>保守</x:v>
      </x:c>
      <x:c r="B89" s="23" t="n">
        <x:f>'114_降本系数'!B26</x:f>
        <x:v>0.35</x:v>
      </x:c>
      <x:c r="C89" s="19" t="str">
        <x:v>L1A</x:v>
      </x:c>
      <x:c r="D89" s="23" t="n">
        <x:f>'130_联合算法'!C17</x:f>
        <x:v>0.15</x:v>
      </x:c>
      <x:c r="E89" s="460" t="n">
        <x:f>'117_价格概率传导'!A9</x:f>
        <x:v>239900</x:v>
      </x:c>
      <x:c r="F89" s="23" t="n">
        <x:f>'117_价格概率传导'!C9</x:f>
        <x:v>0.26</x:v>
      </x:c>
      <x:c r="G89" s="23" t="n">
        <x:f>SUM('117_价格概率传导'!$C$6:$C$8)</x:f>
        <x:v>0.67</x:v>
      </x:c>
      <x:c r="H89" s="23" t="n">
        <x:f>SUM('117_价格概率传导'!$C$6:$C$9)</x:f>
        <x:v>0.93</x:v>
      </x:c>
      <x:c r="I89" s="460" t="n">
        <x:f>'117_价格概率传导'!A20</x:f>
        <x:v>269900</x:v>
      </x:c>
      <x:c r="J89" s="23" t="n">
        <x:f>'117_价格概率传导'!C20</x:f>
        <x:v>0.13</x:v>
      </x:c>
      <x:c r="K89" s="23" t="n">
        <x:f>SUM('117_价格概率传导'!$C$16:$C$19)</x:f>
        <x:v>0.8400000000000001</x:v>
      </x:c>
      <x:c r="L89" s="23" t="n">
        <x:f>SUM('117_价格概率传导'!$C$16:$C$20)</x:f>
        <x:v>0.9700000000000001</x:v>
      </x:c>
      <x:c r="M89" s="23" t="n">
        <x:f>MAX(0,MIN(H89,L89)-MAX(G89,K89))</x:f>
        <x:v>0.08999999999999997</x:v>
      </x:c>
      <x:c r="N89" s="23" t="n">
        <x:f>B89*D89*M89</x:f>
        <x:v>0.004724999999999998</x:v>
      </x:c>
      <x:c r="O89" s="460" t="n">
        <x:f>MIN(299900,I89+20000)</x:f>
        <x:v>289900</x:v>
      </x:c>
      <x:c r="P89" s="460" t="n">
        <x:f>O89-30000</x:f>
        <x:v>259900</x:v>
      </x:c>
      <x:c r="Q89" s="460" t="str">
        <x:f>""</x:f>
      </x:c>
      <x:c r="R89" s="460" t="n">
        <x:f>O89-E89</x:f>
        <x:v>50000</x:v>
      </x:c>
      <x:c r="S89" s="460" t="n">
        <x:f>IF(P89&gt;0,P89-E89,"")</x:f>
        <x:v>20000</x:v>
      </x:c>
      <x:c r="T89" s="460" t="str">
        <x:f>IF(Q89&gt;0,Q89-E89,"")</x:f>
      </x:c>
      <x:c r="U89" s="23" t="n">
        <x:f>IF(R89&lt;30000,N89,0)</x:f>
        <x:v>0</x:v>
      </x:c>
      <x:c r="V89" s="23" t="n">
        <x:f>IF(P89&gt;0,N89,0)</x:f>
        <x:v>0.004724999999999998</x:v>
      </x:c>
      <x:c r="W89" s="23" t="n">
        <x:f>IF(AND(P89&gt;0,S89&lt;0),N89,0)</x:f>
        <x:v>0</x:v>
      </x:c>
      <x:c r="X89" s="23" t="n">
        <x:f>IF(AND(P89&gt;0,S89=0),N89,0)</x:f>
        <x:v>0</x:v>
      </x:c>
      <x:c r="Y89" s="23" t="n">
        <x:f>IF(Q89&gt;0,N89,0)</x:f>
        <x:v>0</x:v>
      </x:c>
      <x:c r="Z89" s="460" t="n">
        <x:f>IF(P89&gt;0,N89*S89,0)</x:f>
        <x:v>94.49999999999997</x:v>
      </x:c>
      <x:c r="AA89" s="460" t="n">
        <x:f>IF(Q89&gt;0,N89*T89,0)</x:f>
        <x:v>0</x:v>
      </x:c>
      <x:c r="AB89" s="460" t="n">
        <x:f>N89*R89</x:f>
        <x:v>236.24999999999991</x:v>
      </x:c>
      <x:c r="AC89" s="460" t="n">
        <x:f>IF(N89&gt;0,R89,999999)</x:f>
        <x:v>50000</x:v>
      </x:c>
      <x:c r="AD89" s="460" t="n">
        <x:f>IF(AND(N89&gt;0,P89&gt;0),S89,999999)</x:f>
        <x:v>20000</x:v>
      </x:c>
      <x:c r="AE89" s="460" t="n">
        <x:f>IF(AND(N89&gt;0,Q89&gt;0),T89,999999)</x:f>
        <x:v>999999</x:v>
      </x:c>
      <x:c r="AF89" s="23" t="n">
        <x:f>B89*D89*F89*J89</x:f>
        <x:v>0.0017745000000000003</x:v>
      </x:c>
      <x:c r="AG89" s="23" t="n">
        <x:f>IF(P89&gt;0,AF89,0)</x:f>
        <x:v>0.0017745000000000003</x:v>
      </x:c>
      <x:c r="AH89" s="23" t="n">
        <x:f>IF(AND(P89&gt;0,S89&lt;0),AF89,0)</x:f>
        <x:v>0</x:v>
      </x:c>
      <x:c r="AI89" s="23" t="n">
        <x:f>IF(AND(P89&gt;0,S89=0),AF89,0)</x:f>
        <x:v>0</x:v>
      </x:c>
      <x:c r="AJ89" s="23" t="n">
        <x:f>IF(R89&lt;30000,AF89,0)</x:f>
        <x:v>0</x:v>
      </x:c>
      <x:c r="AK89" s="460" t="n">
        <x:f>IF(P89&gt;0,AF89*S89,0)</x:f>
        <x:v>35.49</x:v>
      </x:c>
    </x:row>
    <x:row r="90" ht="22" customHeight="1">
      <x:c r="A90" s="643" t="str">
        <x:v>保守</x:v>
      </x:c>
      <x:c r="B90" s="648" t="n">
        <x:f>'114_降本系数'!B26</x:f>
        <x:v>0.35</x:v>
      </x:c>
      <x:c r="C90" s="643" t="str">
        <x:v>L1A</x:v>
      </x:c>
      <x:c r="D90" s="648" t="n">
        <x:f>'130_联合算法'!C17</x:f>
        <x:v>0.15</x:v>
      </x:c>
      <x:c r="E90" s="647" t="n">
        <x:f>'117_价格概率传导'!A9</x:f>
        <x:v>239900</x:v>
      </x:c>
      <x:c r="F90" s="648" t="n">
        <x:f>'117_价格概率传导'!C9</x:f>
        <x:v>0.26</x:v>
      </x:c>
      <x:c r="G90" s="648" t="n">
        <x:f>SUM('117_价格概率传导'!$C$6:$C$8)</x:f>
        <x:v>0.67</x:v>
      </x:c>
      <x:c r="H90" s="648" t="n">
        <x:f>SUM('117_价格概率传导'!$C$6:$C$9)</x:f>
        <x:v>0.93</x:v>
      </x:c>
      <x:c r="I90" s="647" t="n">
        <x:f>'117_价格概率传导'!A21</x:f>
        <x:v>259900</x:v>
      </x:c>
      <x:c r="J90" s="648" t="n">
        <x:f>'117_价格概率传导'!C21</x:f>
        <x:v>0.03</x:v>
      </x:c>
      <x:c r="K90" s="648" t="n">
        <x:f>SUM('117_价格概率传导'!$C$16:$C$20)</x:f>
        <x:v>0.9700000000000001</x:v>
      </x:c>
      <x:c r="L90" s="648" t="n">
        <x:f>SUM('117_价格概率传导'!$C$16:$C$21)</x:f>
        <x:v>1</x:v>
      </x:c>
      <x:c r="M90" s="648" t="n">
        <x:f>MAX(0,MIN(H90,L90)-MAX(G90,K90))</x:f>
        <x:v>0</x:v>
      </x:c>
      <x:c r="N90" s="648" t="n">
        <x:f>B90*D90*M90</x:f>
        <x:v>0</x:v>
      </x:c>
      <x:c r="O90" s="647" t="n">
        <x:f>MIN(299900,I90+20000)</x:f>
        <x:v>279900</x:v>
      </x:c>
      <x:c r="P90" s="647" t="n">
        <x:f>O90-30000</x:f>
        <x:v>249900</x:v>
      </x:c>
      <x:c r="Q90" s="647" t="str">
        <x:f>""</x:f>
      </x:c>
      <x:c r="R90" s="647" t="n">
        <x:f>O90-E90</x:f>
        <x:v>40000</x:v>
      </x:c>
      <x:c r="S90" s="647" t="n">
        <x:f>IF(P90&gt;0,P90-E90,"")</x:f>
        <x:v>10000</x:v>
      </x:c>
      <x:c r="T90" s="647" t="str">
        <x:f>IF(Q90&gt;0,Q90-E90,"")</x:f>
      </x:c>
      <x:c r="U90" s="648" t="n">
        <x:f>IF(R90&lt;30000,N90,0)</x:f>
        <x:v>0</x:v>
      </x:c>
      <x:c r="V90" s="648" t="n">
        <x:f>IF(P90&gt;0,N90,0)</x:f>
        <x:v>0</x:v>
      </x:c>
      <x:c r="W90" s="648" t="n">
        <x:f>IF(AND(P90&gt;0,S90&lt;0),N90,0)</x:f>
        <x:v>0</x:v>
      </x:c>
      <x:c r="X90" s="648" t="n">
        <x:f>IF(AND(P90&gt;0,S90=0),N90,0)</x:f>
        <x:v>0</x:v>
      </x:c>
      <x:c r="Y90" s="648" t="n">
        <x:f>IF(Q90&gt;0,N90,0)</x:f>
        <x:v>0</x:v>
      </x:c>
      <x:c r="Z90" s="647" t="n">
        <x:f>IF(P90&gt;0,N90*S90,0)</x:f>
        <x:v>0</x:v>
      </x:c>
      <x:c r="AA90" s="647" t="n">
        <x:f>IF(Q90&gt;0,N90*T90,0)</x:f>
        <x:v>0</x:v>
      </x:c>
      <x:c r="AB90" s="647" t="n">
        <x:f>N90*R90</x:f>
        <x:v>0</x:v>
      </x:c>
      <x:c r="AC90" s="647" t="n">
        <x:f>IF(N90&gt;0,R90,999999)</x:f>
        <x:v>999999</x:v>
      </x:c>
      <x:c r="AD90" s="647" t="n">
        <x:f>IF(AND(N90&gt;0,P90&gt;0),S90,999999)</x:f>
        <x:v>999999</x:v>
      </x:c>
      <x:c r="AE90" s="647" t="n">
        <x:f>IF(AND(N90&gt;0,Q90&gt;0),T90,999999)</x:f>
        <x:v>999999</x:v>
      </x:c>
      <x:c r="AF90" s="648" t="n">
        <x:f>B90*D90*F90*J90</x:f>
        <x:v>0.0004095</x:v>
      </x:c>
      <x:c r="AG90" s="648" t="n">
        <x:f>IF(P90&gt;0,AF90,0)</x:f>
        <x:v>0.0004095</x:v>
      </x:c>
      <x:c r="AH90" s="648" t="n">
        <x:f>IF(AND(P90&gt;0,S90&lt;0),AF90,0)</x:f>
        <x:v>0</x:v>
      </x:c>
      <x:c r="AI90" s="648" t="n">
        <x:f>IF(AND(P90&gt;0,S90=0),AF90,0)</x:f>
        <x:v>0</x:v>
      </x:c>
      <x:c r="AJ90" s="648" t="n">
        <x:f>IF(R90&lt;30000,AF90,0)</x:f>
        <x:v>0</x:v>
      </x:c>
      <x:c r="AK90" s="647" t="n">
        <x:f>IF(P90&gt;0,AF90*S90,0)</x:f>
        <x:v>4.095</x:v>
      </x:c>
    </x:row>
    <x:row r="91" ht="22" customHeight="1">
      <x:c r="A91" s="19" t="str">
        <x:v>保守</x:v>
      </x:c>
      <x:c r="B91" s="23" t="n">
        <x:f>'114_降本系数'!B26</x:f>
        <x:v>0.35</x:v>
      </x:c>
      <x:c r="C91" s="19" t="str">
        <x:v>L1A</x:v>
      </x:c>
      <x:c r="D91" s="23" t="n">
        <x:f>'130_联合算法'!C17</x:f>
        <x:v>0.15</x:v>
      </x:c>
      <x:c r="E91" s="460" t="n">
        <x:f>'117_价格概率传导'!A10</x:f>
        <x:v>229900</x:v>
      </x:c>
      <x:c r="F91" s="23" t="n">
        <x:f>'117_价格概率传导'!C10</x:f>
        <x:v>0.06</x:v>
      </x:c>
      <x:c r="G91" s="23" t="n">
        <x:f>SUM('117_价格概率传导'!$C$6:$C$9)</x:f>
        <x:v>0.93</x:v>
      </x:c>
      <x:c r="H91" s="23" t="n">
        <x:f>SUM('117_价格概率传导'!$C$6:$C$10)</x:f>
        <x:v>0.99</x:v>
      </x:c>
      <x:c r="I91" s="460" t="n">
        <x:f>'117_价格概率传导'!A16</x:f>
        <x:v>299900</x:v>
      </x:c>
      <x:c r="J91" s="23" t="n">
        <x:f>'117_价格概率传导'!C16</x:f>
        <x:v>0.05</x:v>
      </x:c>
      <x:c r="K91" s="23" t="n">
        <x:f>0</x:f>
        <x:v>0</x:v>
      </x:c>
      <x:c r="L91" s="23" t="n">
        <x:f>SUM('117_价格概率传导'!$C$16:$C$16)</x:f>
        <x:v>0.05</x:v>
      </x:c>
      <x:c r="M91" s="23" t="n">
        <x:f>MAX(0,MIN(H91,L91)-MAX(G91,K91))</x:f>
        <x:v>0</x:v>
      </x:c>
      <x:c r="N91" s="23" t="n">
        <x:f>B91*D91*M91</x:f>
        <x:v>0</x:v>
      </x:c>
      <x:c r="O91" s="460" t="n">
        <x:f>MIN(299900,I91+20000)</x:f>
        <x:v>299900</x:v>
      </x:c>
      <x:c r="P91" s="460" t="n">
        <x:f>O91-30000</x:f>
        <x:v>269900</x:v>
      </x:c>
      <x:c r="Q91" s="460" t="str">
        <x:f>""</x:f>
      </x:c>
      <x:c r="R91" s="460" t="n">
        <x:f>O91-E91</x:f>
        <x:v>70000</x:v>
      </x:c>
      <x:c r="S91" s="460" t="n">
        <x:f>IF(P91&gt;0,P91-E91,"")</x:f>
        <x:v>40000</x:v>
      </x:c>
      <x:c r="T91" s="460" t="str">
        <x:f>IF(Q91&gt;0,Q91-E91,"")</x:f>
      </x:c>
      <x:c r="U91" s="23" t="n">
        <x:f>IF(R91&lt;30000,N91,0)</x:f>
        <x:v>0</x:v>
      </x:c>
      <x:c r="V91" s="23" t="n">
        <x:f>IF(P91&gt;0,N91,0)</x:f>
        <x:v>0</x:v>
      </x:c>
      <x:c r="W91" s="23" t="n">
        <x:f>IF(AND(P91&gt;0,S91&lt;0),N91,0)</x:f>
        <x:v>0</x:v>
      </x:c>
      <x:c r="X91" s="23" t="n">
        <x:f>IF(AND(P91&gt;0,S91=0),N91,0)</x:f>
        <x:v>0</x:v>
      </x:c>
      <x:c r="Y91" s="23" t="n">
        <x:f>IF(Q91&gt;0,N91,0)</x:f>
        <x:v>0</x:v>
      </x:c>
      <x:c r="Z91" s="460" t="n">
        <x:f>IF(P91&gt;0,N91*S91,0)</x:f>
        <x:v>0</x:v>
      </x:c>
      <x:c r="AA91" s="460" t="n">
        <x:f>IF(Q91&gt;0,N91*T91,0)</x:f>
        <x:v>0</x:v>
      </x:c>
      <x:c r="AB91" s="460" t="n">
        <x:f>N91*R91</x:f>
        <x:v>0</x:v>
      </x:c>
      <x:c r="AC91" s="460" t="n">
        <x:f>IF(N91&gt;0,R91,999999)</x:f>
        <x:v>999999</x:v>
      </x:c>
      <x:c r="AD91" s="460" t="n">
        <x:f>IF(AND(N91&gt;0,P91&gt;0),S91,999999)</x:f>
        <x:v>999999</x:v>
      </x:c>
      <x:c r="AE91" s="460" t="n">
        <x:f>IF(AND(N91&gt;0,Q91&gt;0),T91,999999)</x:f>
        <x:v>999999</x:v>
      </x:c>
      <x:c r="AF91" s="23" t="n">
        <x:f>B91*D91*F91*J91</x:f>
        <x:v>0.00015749999999999998</x:v>
      </x:c>
      <x:c r="AG91" s="23" t="n">
        <x:f>IF(P91&gt;0,AF91,0)</x:f>
        <x:v>0.00015749999999999998</x:v>
      </x:c>
      <x:c r="AH91" s="23" t="n">
        <x:f>IF(AND(P91&gt;0,S91&lt;0),AF91,0)</x:f>
        <x:v>0</x:v>
      </x:c>
      <x:c r="AI91" s="23" t="n">
        <x:f>IF(AND(P91&gt;0,S91=0),AF91,0)</x:f>
        <x:v>0</x:v>
      </x:c>
      <x:c r="AJ91" s="23" t="n">
        <x:f>IF(R91&lt;30000,AF91,0)</x:f>
        <x:v>0</x:v>
      </x:c>
      <x:c r="AK91" s="460" t="n">
        <x:f>IF(P91&gt;0,AF91*S91,0)</x:f>
        <x:v>6.299999999999999</x:v>
      </x:c>
    </x:row>
    <x:row r="92" ht="22" customHeight="1">
      <x:c r="A92" s="643" t="str">
        <x:v>保守</x:v>
      </x:c>
      <x:c r="B92" s="648" t="n">
        <x:f>'114_降本系数'!B26</x:f>
        <x:v>0.35</x:v>
      </x:c>
      <x:c r="C92" s="643" t="str">
        <x:v>L1A</x:v>
      </x:c>
      <x:c r="D92" s="648" t="n">
        <x:f>'130_联合算法'!C17</x:f>
        <x:v>0.15</x:v>
      </x:c>
      <x:c r="E92" s="647" t="n">
        <x:f>'117_价格概率传导'!A10</x:f>
        <x:v>229900</x:v>
      </x:c>
      <x:c r="F92" s="648" t="n">
        <x:f>'117_价格概率传导'!C10</x:f>
        <x:v>0.06</x:v>
      </x:c>
      <x:c r="G92" s="648" t="n">
        <x:f>SUM('117_价格概率传导'!$C$6:$C$9)</x:f>
        <x:v>0.93</x:v>
      </x:c>
      <x:c r="H92" s="648" t="n">
        <x:f>SUM('117_价格概率传导'!$C$6:$C$10)</x:f>
        <x:v>0.99</x:v>
      </x:c>
      <x:c r="I92" s="647" t="n">
        <x:f>'117_价格概率传导'!A17</x:f>
        <x:v>293900</x:v>
      </x:c>
      <x:c r="J92" s="648" t="n">
        <x:f>'117_价格概率传导'!C17</x:f>
        <x:v>0.06</x:v>
      </x:c>
      <x:c r="K92" s="648" t="n">
        <x:f>SUM('117_价格概率传导'!$C$16:$C$16)</x:f>
        <x:v>0.05</x:v>
      </x:c>
      <x:c r="L92" s="648" t="n">
        <x:f>SUM('117_价格概率传导'!$C$16:$C$17)</x:f>
        <x:v>0.11</x:v>
      </x:c>
      <x:c r="M92" s="648" t="n">
        <x:f>MAX(0,MIN(H92,L92)-MAX(G92,K92))</x:f>
        <x:v>0</x:v>
      </x:c>
      <x:c r="N92" s="648" t="n">
        <x:f>B92*D92*M92</x:f>
        <x:v>0</x:v>
      </x:c>
      <x:c r="O92" s="647" t="n">
        <x:f>MIN(299900,I92+20000)</x:f>
        <x:v>299900</x:v>
      </x:c>
      <x:c r="P92" s="647" t="n">
        <x:f>O92-30000</x:f>
        <x:v>269900</x:v>
      </x:c>
      <x:c r="Q92" s="647" t="str">
        <x:f>""</x:f>
      </x:c>
      <x:c r="R92" s="647" t="n">
        <x:f>O92-E92</x:f>
        <x:v>70000</x:v>
      </x:c>
      <x:c r="S92" s="647" t="n">
        <x:f>IF(P92&gt;0,P92-E92,"")</x:f>
        <x:v>40000</x:v>
      </x:c>
      <x:c r="T92" s="647" t="str">
        <x:f>IF(Q92&gt;0,Q92-E92,"")</x:f>
      </x:c>
      <x:c r="U92" s="648" t="n">
        <x:f>IF(R92&lt;30000,N92,0)</x:f>
        <x:v>0</x:v>
      </x:c>
      <x:c r="V92" s="648" t="n">
        <x:f>IF(P92&gt;0,N92,0)</x:f>
        <x:v>0</x:v>
      </x:c>
      <x:c r="W92" s="648" t="n">
        <x:f>IF(AND(P92&gt;0,S92&lt;0),N92,0)</x:f>
        <x:v>0</x:v>
      </x:c>
      <x:c r="X92" s="648" t="n">
        <x:f>IF(AND(P92&gt;0,S92=0),N92,0)</x:f>
        <x:v>0</x:v>
      </x:c>
      <x:c r="Y92" s="648" t="n">
        <x:f>IF(Q92&gt;0,N92,0)</x:f>
        <x:v>0</x:v>
      </x:c>
      <x:c r="Z92" s="647" t="n">
        <x:f>IF(P92&gt;0,N92*S92,0)</x:f>
        <x:v>0</x:v>
      </x:c>
      <x:c r="AA92" s="647" t="n">
        <x:f>IF(Q92&gt;0,N92*T92,0)</x:f>
        <x:v>0</x:v>
      </x:c>
      <x:c r="AB92" s="647" t="n">
        <x:f>N92*R92</x:f>
        <x:v>0</x:v>
      </x:c>
      <x:c r="AC92" s="647" t="n">
        <x:f>IF(N92&gt;0,R92,999999)</x:f>
        <x:v>999999</x:v>
      </x:c>
      <x:c r="AD92" s="647" t="n">
        <x:f>IF(AND(N92&gt;0,P92&gt;0),S92,999999)</x:f>
        <x:v>999999</x:v>
      </x:c>
      <x:c r="AE92" s="647" t="n">
        <x:f>IF(AND(N92&gt;0,Q92&gt;0),T92,999999)</x:f>
        <x:v>999999</x:v>
      </x:c>
      <x:c r="AF92" s="648" t="n">
        <x:f>B92*D92*F92*J92</x:f>
        <x:v>0.00018899999999999996</x:v>
      </x:c>
      <x:c r="AG92" s="648" t="n">
        <x:f>IF(P92&gt;0,AF92,0)</x:f>
        <x:v>0.00018899999999999996</x:v>
      </x:c>
      <x:c r="AH92" s="648" t="n">
        <x:f>IF(AND(P92&gt;0,S92&lt;0),AF92,0)</x:f>
        <x:v>0</x:v>
      </x:c>
      <x:c r="AI92" s="648" t="n">
        <x:f>IF(AND(P92&gt;0,S92=0),AF92,0)</x:f>
        <x:v>0</x:v>
      </x:c>
      <x:c r="AJ92" s="648" t="n">
        <x:f>IF(R92&lt;30000,AF92,0)</x:f>
        <x:v>0</x:v>
      </x:c>
      <x:c r="AK92" s="647" t="n">
        <x:f>IF(P92&gt;0,AF92*S92,0)</x:f>
        <x:v>7.559999999999999</x:v>
      </x:c>
    </x:row>
    <x:row r="93" ht="22" customHeight="1">
      <x:c r="A93" s="19" t="str">
        <x:v>保守</x:v>
      </x:c>
      <x:c r="B93" s="23" t="n">
        <x:f>'114_降本系数'!B26</x:f>
        <x:v>0.35</x:v>
      </x:c>
      <x:c r="C93" s="19" t="str">
        <x:v>L1A</x:v>
      </x:c>
      <x:c r="D93" s="23" t="n">
        <x:f>'130_联合算法'!C17</x:f>
        <x:v>0.15</x:v>
      </x:c>
      <x:c r="E93" s="460" t="n">
        <x:f>'117_价格概率传导'!A10</x:f>
        <x:v>229900</x:v>
      </x:c>
      <x:c r="F93" s="23" t="n">
        <x:f>'117_价格概率传导'!C10</x:f>
        <x:v>0.06</x:v>
      </x:c>
      <x:c r="G93" s="23" t="n">
        <x:f>SUM('117_价格概率传导'!$C$6:$C$9)</x:f>
        <x:v>0.93</x:v>
      </x:c>
      <x:c r="H93" s="23" t="n">
        <x:f>SUM('117_价格概率传导'!$C$6:$C$10)</x:f>
        <x:v>0.99</x:v>
      </x:c>
      <x:c r="I93" s="460" t="n">
        <x:f>'117_价格概率传导'!A18</x:f>
        <x:v>289900</x:v>
      </x:c>
      <x:c r="J93" s="23" t="n">
        <x:f>'117_价格概率传导'!C18</x:f>
        <x:v>0.34</x:v>
      </x:c>
      <x:c r="K93" s="23" t="n">
        <x:f>SUM('117_价格概率传导'!$C$16:$C$17)</x:f>
        <x:v>0.11</x:v>
      </x:c>
      <x:c r="L93" s="23" t="n">
        <x:f>SUM('117_价格概率传导'!$C$16:$C$18)</x:f>
        <x:v>0.45</x:v>
      </x:c>
      <x:c r="M93" s="23" t="n">
        <x:f>MAX(0,MIN(H93,L93)-MAX(G93,K93))</x:f>
        <x:v>0</x:v>
      </x:c>
      <x:c r="N93" s="23" t="n">
        <x:f>B93*D93*M93</x:f>
        <x:v>0</x:v>
      </x:c>
      <x:c r="O93" s="460" t="n">
        <x:f>MIN(299900,I93+20000)</x:f>
        <x:v>299900</x:v>
      </x:c>
      <x:c r="P93" s="460" t="n">
        <x:f>O93-30000</x:f>
        <x:v>269900</x:v>
      </x:c>
      <x:c r="Q93" s="460" t="str">
        <x:f>""</x:f>
      </x:c>
      <x:c r="R93" s="460" t="n">
        <x:f>O93-E93</x:f>
        <x:v>70000</x:v>
      </x:c>
      <x:c r="S93" s="460" t="n">
        <x:f>IF(P93&gt;0,P93-E93,"")</x:f>
        <x:v>40000</x:v>
      </x:c>
      <x:c r="T93" s="460" t="str">
        <x:f>IF(Q93&gt;0,Q93-E93,"")</x:f>
      </x:c>
      <x:c r="U93" s="23" t="n">
        <x:f>IF(R93&lt;30000,N93,0)</x:f>
        <x:v>0</x:v>
      </x:c>
      <x:c r="V93" s="23" t="n">
        <x:f>IF(P93&gt;0,N93,0)</x:f>
        <x:v>0</x:v>
      </x:c>
      <x:c r="W93" s="23" t="n">
        <x:f>IF(AND(P93&gt;0,S93&lt;0),N93,0)</x:f>
        <x:v>0</x:v>
      </x:c>
      <x:c r="X93" s="23" t="n">
        <x:f>IF(AND(P93&gt;0,S93=0),N93,0)</x:f>
        <x:v>0</x:v>
      </x:c>
      <x:c r="Y93" s="23" t="n">
        <x:f>IF(Q93&gt;0,N93,0)</x:f>
        <x:v>0</x:v>
      </x:c>
      <x:c r="Z93" s="460" t="n">
        <x:f>IF(P93&gt;0,N93*S93,0)</x:f>
        <x:v>0</x:v>
      </x:c>
      <x:c r="AA93" s="460" t="n">
        <x:f>IF(Q93&gt;0,N93*T93,0)</x:f>
        <x:v>0</x:v>
      </x:c>
      <x:c r="AB93" s="460" t="n">
        <x:f>N93*R93</x:f>
        <x:v>0</x:v>
      </x:c>
      <x:c r="AC93" s="460" t="n">
        <x:f>IF(N93&gt;0,R93,999999)</x:f>
        <x:v>999999</x:v>
      </x:c>
      <x:c r="AD93" s="460" t="n">
        <x:f>IF(AND(N93&gt;0,P93&gt;0),S93,999999)</x:f>
        <x:v>999999</x:v>
      </x:c>
      <x:c r="AE93" s="460" t="n">
        <x:f>IF(AND(N93&gt;0,Q93&gt;0),T93,999999)</x:f>
        <x:v>999999</x:v>
      </x:c>
      <x:c r="AF93" s="23" t="n">
        <x:f>B93*D93*F93*J93</x:f>
        <x:v>0.001071</x:v>
      </x:c>
      <x:c r="AG93" s="23" t="n">
        <x:f>IF(P93&gt;0,AF93,0)</x:f>
        <x:v>0.001071</x:v>
      </x:c>
      <x:c r="AH93" s="23" t="n">
        <x:f>IF(AND(P93&gt;0,S93&lt;0),AF93,0)</x:f>
        <x:v>0</x:v>
      </x:c>
      <x:c r="AI93" s="23" t="n">
        <x:f>IF(AND(P93&gt;0,S93=0),AF93,0)</x:f>
        <x:v>0</x:v>
      </x:c>
      <x:c r="AJ93" s="23" t="n">
        <x:f>IF(R93&lt;30000,AF93,0)</x:f>
        <x:v>0</x:v>
      </x:c>
      <x:c r="AK93" s="460" t="n">
        <x:f>IF(P93&gt;0,AF93*S93,0)</x:f>
        <x:v>42.839999999999996</x:v>
      </x:c>
    </x:row>
    <x:row r="94" ht="22" customHeight="1">
      <x:c r="A94" s="643" t="str">
        <x:v>保守</x:v>
      </x:c>
      <x:c r="B94" s="648" t="n">
        <x:f>'114_降本系数'!B26</x:f>
        <x:v>0.35</x:v>
      </x:c>
      <x:c r="C94" s="643" t="str">
        <x:v>L1A</x:v>
      </x:c>
      <x:c r="D94" s="648" t="n">
        <x:f>'130_联合算法'!C17</x:f>
        <x:v>0.15</x:v>
      </x:c>
      <x:c r="E94" s="647" t="n">
        <x:f>'117_价格概率传导'!A10</x:f>
        <x:v>229900</x:v>
      </x:c>
      <x:c r="F94" s="648" t="n">
        <x:f>'117_价格概率传导'!C10</x:f>
        <x:v>0.06</x:v>
      </x:c>
      <x:c r="G94" s="648" t="n">
        <x:f>SUM('117_价格概率传导'!$C$6:$C$9)</x:f>
        <x:v>0.93</x:v>
      </x:c>
      <x:c r="H94" s="648" t="n">
        <x:f>SUM('117_价格概率传导'!$C$6:$C$10)</x:f>
        <x:v>0.99</x:v>
      </x:c>
      <x:c r="I94" s="647" t="n">
        <x:f>'117_价格概率传导'!A19</x:f>
        <x:v>279900</x:v>
      </x:c>
      <x:c r="J94" s="648" t="n">
        <x:f>'117_价格概率传导'!C19</x:f>
        <x:v>0.39</x:v>
      </x:c>
      <x:c r="K94" s="648" t="n">
        <x:f>SUM('117_价格概率传导'!$C$16:$C$18)</x:f>
        <x:v>0.45</x:v>
      </x:c>
      <x:c r="L94" s="648" t="n">
        <x:f>SUM('117_价格概率传导'!$C$16:$C$19)</x:f>
        <x:v>0.8400000000000001</x:v>
      </x:c>
      <x:c r="M94" s="648" t="n">
        <x:f>MAX(0,MIN(H94,L94)-MAX(G94,K94))</x:f>
        <x:v>0</x:v>
      </x:c>
      <x:c r="N94" s="648" t="n">
        <x:f>B94*D94*M94</x:f>
        <x:v>0</x:v>
      </x:c>
      <x:c r="O94" s="647" t="n">
        <x:f>MIN(299900,I94+20000)</x:f>
        <x:v>299900</x:v>
      </x:c>
      <x:c r="P94" s="647" t="n">
        <x:f>O94-30000</x:f>
        <x:v>269900</x:v>
      </x:c>
      <x:c r="Q94" s="647" t="str">
        <x:f>""</x:f>
      </x:c>
      <x:c r="R94" s="647" t="n">
        <x:f>O94-E94</x:f>
        <x:v>70000</x:v>
      </x:c>
      <x:c r="S94" s="647" t="n">
        <x:f>IF(P94&gt;0,P94-E94,"")</x:f>
        <x:v>40000</x:v>
      </x:c>
      <x:c r="T94" s="647" t="str">
        <x:f>IF(Q94&gt;0,Q94-E94,"")</x:f>
      </x:c>
      <x:c r="U94" s="648" t="n">
        <x:f>IF(R94&lt;30000,N94,0)</x:f>
        <x:v>0</x:v>
      </x:c>
      <x:c r="V94" s="648" t="n">
        <x:f>IF(P94&gt;0,N94,0)</x:f>
        <x:v>0</x:v>
      </x:c>
      <x:c r="W94" s="648" t="n">
        <x:f>IF(AND(P94&gt;0,S94&lt;0),N94,0)</x:f>
        <x:v>0</x:v>
      </x:c>
      <x:c r="X94" s="648" t="n">
        <x:f>IF(AND(P94&gt;0,S94=0),N94,0)</x:f>
        <x:v>0</x:v>
      </x:c>
      <x:c r="Y94" s="648" t="n">
        <x:f>IF(Q94&gt;0,N94,0)</x:f>
        <x:v>0</x:v>
      </x:c>
      <x:c r="Z94" s="647" t="n">
        <x:f>IF(P94&gt;0,N94*S94,0)</x:f>
        <x:v>0</x:v>
      </x:c>
      <x:c r="AA94" s="647" t="n">
        <x:f>IF(Q94&gt;0,N94*T94,0)</x:f>
        <x:v>0</x:v>
      </x:c>
      <x:c r="AB94" s="647" t="n">
        <x:f>N94*R94</x:f>
        <x:v>0</x:v>
      </x:c>
      <x:c r="AC94" s="647" t="n">
        <x:f>IF(N94&gt;0,R94,999999)</x:f>
        <x:v>999999</x:v>
      </x:c>
      <x:c r="AD94" s="647" t="n">
        <x:f>IF(AND(N94&gt;0,P94&gt;0),S94,999999)</x:f>
        <x:v>999999</x:v>
      </x:c>
      <x:c r="AE94" s="647" t="n">
        <x:f>IF(AND(N94&gt;0,Q94&gt;0),T94,999999)</x:f>
        <x:v>999999</x:v>
      </x:c>
      <x:c r="AF94" s="648" t="n">
        <x:f>B94*D94*F94*J94</x:f>
        <x:v>0.0012284999999999998</x:v>
      </x:c>
      <x:c r="AG94" s="648" t="n">
        <x:f>IF(P94&gt;0,AF94,0)</x:f>
        <x:v>0.0012284999999999998</x:v>
      </x:c>
      <x:c r="AH94" s="648" t="n">
        <x:f>IF(AND(P94&gt;0,S94&lt;0),AF94,0)</x:f>
        <x:v>0</x:v>
      </x:c>
      <x:c r="AI94" s="648" t="n">
        <x:f>IF(AND(P94&gt;0,S94=0),AF94,0)</x:f>
        <x:v>0</x:v>
      </x:c>
      <x:c r="AJ94" s="648" t="n">
        <x:f>IF(R94&lt;30000,AF94,0)</x:f>
        <x:v>0</x:v>
      </x:c>
      <x:c r="AK94" s="647" t="n">
        <x:f>IF(P94&gt;0,AF94*S94,0)</x:f>
        <x:v>49.13999999999999</x:v>
      </x:c>
    </x:row>
    <x:row r="95" ht="22" customHeight="1">
      <x:c r="A95" s="19" t="str">
        <x:v>保守</x:v>
      </x:c>
      <x:c r="B95" s="23" t="n">
        <x:f>'114_降本系数'!B26</x:f>
        <x:v>0.35</x:v>
      </x:c>
      <x:c r="C95" s="19" t="str">
        <x:v>L1A</x:v>
      </x:c>
      <x:c r="D95" s="23" t="n">
        <x:f>'130_联合算法'!C17</x:f>
        <x:v>0.15</x:v>
      </x:c>
      <x:c r="E95" s="460" t="n">
        <x:f>'117_价格概率传导'!A10</x:f>
        <x:v>229900</x:v>
      </x:c>
      <x:c r="F95" s="23" t="n">
        <x:f>'117_价格概率传导'!C10</x:f>
        <x:v>0.06</x:v>
      </x:c>
      <x:c r="G95" s="23" t="n">
        <x:f>SUM('117_价格概率传导'!$C$6:$C$9)</x:f>
        <x:v>0.93</x:v>
      </x:c>
      <x:c r="H95" s="23" t="n">
        <x:f>SUM('117_价格概率传导'!$C$6:$C$10)</x:f>
        <x:v>0.99</x:v>
      </x:c>
      <x:c r="I95" s="460" t="n">
        <x:f>'117_价格概率传导'!A20</x:f>
        <x:v>269900</x:v>
      </x:c>
      <x:c r="J95" s="23" t="n">
        <x:f>'117_价格概率传导'!C20</x:f>
        <x:v>0.13</x:v>
      </x:c>
      <x:c r="K95" s="23" t="n">
        <x:f>SUM('117_价格概率传导'!$C$16:$C$19)</x:f>
        <x:v>0.8400000000000001</x:v>
      </x:c>
      <x:c r="L95" s="23" t="n">
        <x:f>SUM('117_价格概率传导'!$C$16:$C$20)</x:f>
        <x:v>0.9700000000000001</x:v>
      </x:c>
      <x:c r="M95" s="23" t="n">
        <x:f>MAX(0,MIN(H95,L95)-MAX(G95,K95))</x:f>
        <x:v>0.040000000000000036</x:v>
      </x:c>
      <x:c r="N95" s="23" t="n">
        <x:f>B95*D95*M95</x:f>
        <x:v>0.0021000000000000016</x:v>
      </x:c>
      <x:c r="O95" s="460" t="n">
        <x:f>MIN(299900,I95+20000)</x:f>
        <x:v>289900</x:v>
      </x:c>
      <x:c r="P95" s="460" t="n">
        <x:f>O95-30000</x:f>
        <x:v>259900</x:v>
      </x:c>
      <x:c r="Q95" s="460" t="str">
        <x:f>""</x:f>
      </x:c>
      <x:c r="R95" s="460" t="n">
        <x:f>O95-E95</x:f>
        <x:v>60000</x:v>
      </x:c>
      <x:c r="S95" s="460" t="n">
        <x:f>IF(P95&gt;0,P95-E95,"")</x:f>
        <x:v>30000</x:v>
      </x:c>
      <x:c r="T95" s="460" t="str">
        <x:f>IF(Q95&gt;0,Q95-E95,"")</x:f>
      </x:c>
      <x:c r="U95" s="23" t="n">
        <x:f>IF(R95&lt;30000,N95,0)</x:f>
        <x:v>0</x:v>
      </x:c>
      <x:c r="V95" s="23" t="n">
        <x:f>IF(P95&gt;0,N95,0)</x:f>
        <x:v>0.0021000000000000016</x:v>
      </x:c>
      <x:c r="W95" s="23" t="n">
        <x:f>IF(AND(P95&gt;0,S95&lt;0),N95,0)</x:f>
        <x:v>0</x:v>
      </x:c>
      <x:c r="X95" s="23" t="n">
        <x:f>IF(AND(P95&gt;0,S95=0),N95,0)</x:f>
        <x:v>0</x:v>
      </x:c>
      <x:c r="Y95" s="23" t="n">
        <x:f>IF(Q95&gt;0,N95,0)</x:f>
        <x:v>0</x:v>
      </x:c>
      <x:c r="Z95" s="460" t="n">
        <x:f>IF(P95&gt;0,N95*S95,0)</x:f>
        <x:v>63.00000000000005</x:v>
      </x:c>
      <x:c r="AA95" s="460" t="n">
        <x:f>IF(Q95&gt;0,N95*T95,0)</x:f>
        <x:v>0</x:v>
      </x:c>
      <x:c r="AB95" s="460" t="n">
        <x:f>N95*R95</x:f>
        <x:v>126.0000000000001</x:v>
      </x:c>
      <x:c r="AC95" s="460" t="n">
        <x:f>IF(N95&gt;0,R95,999999)</x:f>
        <x:v>60000</x:v>
      </x:c>
      <x:c r="AD95" s="460" t="n">
        <x:f>IF(AND(N95&gt;0,P95&gt;0),S95,999999)</x:f>
        <x:v>30000</x:v>
      </x:c>
      <x:c r="AE95" s="460" t="n">
        <x:f>IF(AND(N95&gt;0,Q95&gt;0),T95,999999)</x:f>
        <x:v>999999</x:v>
      </x:c>
      <x:c r="AF95" s="23" t="n">
        <x:f>B95*D95*F95*J95</x:f>
        <x:v>0.0004095</x:v>
      </x:c>
      <x:c r="AG95" s="23" t="n">
        <x:f>IF(P95&gt;0,AF95,0)</x:f>
        <x:v>0.0004095</x:v>
      </x:c>
      <x:c r="AH95" s="23" t="n">
        <x:f>IF(AND(P95&gt;0,S95&lt;0),AF95,0)</x:f>
        <x:v>0</x:v>
      </x:c>
      <x:c r="AI95" s="23" t="n">
        <x:f>IF(AND(P95&gt;0,S95=0),AF95,0)</x:f>
        <x:v>0</x:v>
      </x:c>
      <x:c r="AJ95" s="23" t="n">
        <x:f>IF(R95&lt;30000,AF95,0)</x:f>
        <x:v>0</x:v>
      </x:c>
      <x:c r="AK95" s="460" t="n">
        <x:f>IF(P95&gt;0,AF95*S95,0)</x:f>
        <x:v>12.285</x:v>
      </x:c>
    </x:row>
    <x:row r="96" ht="22" customHeight="1">
      <x:c r="A96" s="643" t="str">
        <x:v>保守</x:v>
      </x:c>
      <x:c r="B96" s="648" t="n">
        <x:f>'114_降本系数'!B26</x:f>
        <x:v>0.35</x:v>
      </x:c>
      <x:c r="C96" s="643" t="str">
        <x:v>L1A</x:v>
      </x:c>
      <x:c r="D96" s="648" t="n">
        <x:f>'130_联合算法'!C17</x:f>
        <x:v>0.15</x:v>
      </x:c>
      <x:c r="E96" s="647" t="n">
        <x:f>'117_价格概率传导'!A10</x:f>
        <x:v>229900</x:v>
      </x:c>
      <x:c r="F96" s="648" t="n">
        <x:f>'117_价格概率传导'!C10</x:f>
        <x:v>0.06</x:v>
      </x:c>
      <x:c r="G96" s="648" t="n">
        <x:f>SUM('117_价格概率传导'!$C$6:$C$9)</x:f>
        <x:v>0.93</x:v>
      </x:c>
      <x:c r="H96" s="648" t="n">
        <x:f>SUM('117_价格概率传导'!$C$6:$C$10)</x:f>
        <x:v>0.99</x:v>
      </x:c>
      <x:c r="I96" s="647" t="n">
        <x:f>'117_价格概率传导'!A21</x:f>
        <x:v>259900</x:v>
      </x:c>
      <x:c r="J96" s="648" t="n">
        <x:f>'117_价格概率传导'!C21</x:f>
        <x:v>0.03</x:v>
      </x:c>
      <x:c r="K96" s="648" t="n">
        <x:f>SUM('117_价格概率传导'!$C$16:$C$20)</x:f>
        <x:v>0.9700000000000001</x:v>
      </x:c>
      <x:c r="L96" s="648" t="n">
        <x:f>SUM('117_价格概率传导'!$C$16:$C$21)</x:f>
        <x:v>1</x:v>
      </x:c>
      <x:c r="M96" s="648" t="n">
        <x:f>MAX(0,MIN(H96,L96)-MAX(G96,K96))</x:f>
        <x:v>0.019999999999999907</x:v>
      </x:c>
      <x:c r="N96" s="648" t="n">
        <x:f>B96*D96*M96</x:f>
        <x:v>0.0010499999999999952</x:v>
      </x:c>
      <x:c r="O96" s="647" t="n">
        <x:f>MIN(299900,I96+20000)</x:f>
        <x:v>279900</x:v>
      </x:c>
      <x:c r="P96" s="647" t="n">
        <x:f>O96-30000</x:f>
        <x:v>249900</x:v>
      </x:c>
      <x:c r="Q96" s="647" t="str">
        <x:f>""</x:f>
      </x:c>
      <x:c r="R96" s="647" t="n">
        <x:f>O96-E96</x:f>
        <x:v>50000</x:v>
      </x:c>
      <x:c r="S96" s="647" t="n">
        <x:f>IF(P96&gt;0,P96-E96,"")</x:f>
        <x:v>20000</x:v>
      </x:c>
      <x:c r="T96" s="647" t="str">
        <x:f>IF(Q96&gt;0,Q96-E96,"")</x:f>
      </x:c>
      <x:c r="U96" s="648" t="n">
        <x:f>IF(R96&lt;30000,N96,0)</x:f>
        <x:v>0</x:v>
      </x:c>
      <x:c r="V96" s="648" t="n">
        <x:f>IF(P96&gt;0,N96,0)</x:f>
        <x:v>0.0010499999999999952</x:v>
      </x:c>
      <x:c r="W96" s="648" t="n">
        <x:f>IF(AND(P96&gt;0,S96&lt;0),N96,0)</x:f>
        <x:v>0</x:v>
      </x:c>
      <x:c r="X96" s="648" t="n">
        <x:f>IF(AND(P96&gt;0,S96=0),N96,0)</x:f>
        <x:v>0</x:v>
      </x:c>
      <x:c r="Y96" s="648" t="n">
        <x:f>IF(Q96&gt;0,N96,0)</x:f>
        <x:v>0</x:v>
      </x:c>
      <x:c r="Z96" s="647" t="n">
        <x:f>IF(P96&gt;0,N96*S96,0)</x:f>
        <x:v>20.999999999999904</x:v>
      </x:c>
      <x:c r="AA96" s="647" t="n">
        <x:f>IF(Q96&gt;0,N96*T96,0)</x:f>
        <x:v>0</x:v>
      </x:c>
      <x:c r="AB96" s="647" t="n">
        <x:f>N96*R96</x:f>
        <x:v>52.49999999999976</x:v>
      </x:c>
      <x:c r="AC96" s="647" t="n">
        <x:f>IF(N96&gt;0,R96,999999)</x:f>
        <x:v>50000</x:v>
      </x:c>
      <x:c r="AD96" s="647" t="n">
        <x:f>IF(AND(N96&gt;0,P96&gt;0),S96,999999)</x:f>
        <x:v>20000</x:v>
      </x:c>
      <x:c r="AE96" s="647" t="n">
        <x:f>IF(AND(N96&gt;0,Q96&gt;0),T96,999999)</x:f>
        <x:v>999999</x:v>
      </x:c>
      <x:c r="AF96" s="648" t="n">
        <x:f>B96*D96*F96*J96</x:f>
        <x:v>0.00009449999999999998</x:v>
      </x:c>
      <x:c r="AG96" s="648" t="n">
        <x:f>IF(P96&gt;0,AF96,0)</x:f>
        <x:v>0.00009449999999999998</x:v>
      </x:c>
      <x:c r="AH96" s="648" t="n">
        <x:f>IF(AND(P96&gt;0,S96&lt;0),AF96,0)</x:f>
        <x:v>0</x:v>
      </x:c>
      <x:c r="AI96" s="648" t="n">
        <x:f>IF(AND(P96&gt;0,S96=0),AF96,0)</x:f>
        <x:v>0</x:v>
      </x:c>
      <x:c r="AJ96" s="648" t="n">
        <x:f>IF(R96&lt;30000,AF96,0)</x:f>
        <x:v>0</x:v>
      </x:c>
      <x:c r="AK96" s="647" t="n">
        <x:f>IF(P96&gt;0,AF96*S96,0)</x:f>
        <x:v>1.8899999999999997</x:v>
      </x:c>
    </x:row>
    <x:row r="97" ht="22" customHeight="1">
      <x:c r="A97" s="19" t="str">
        <x:v>保守</x:v>
      </x:c>
      <x:c r="B97" s="23" t="n">
        <x:f>'114_降本系数'!B26</x:f>
        <x:v>0.35</x:v>
      </x:c>
      <x:c r="C97" s="19" t="str">
        <x:v>L1A</x:v>
      </x:c>
      <x:c r="D97" s="23" t="n">
        <x:f>'130_联合算法'!C17</x:f>
        <x:v>0.15</x:v>
      </x:c>
      <x:c r="E97" s="460" t="n">
        <x:f>'117_价格概率传导'!A11</x:f>
        <x:v>219900</x:v>
      </x:c>
      <x:c r="F97" s="23" t="n">
        <x:f>'117_价格概率传导'!C11</x:f>
        <x:v>0.01</x:v>
      </x:c>
      <x:c r="G97" s="23" t="n">
        <x:f>SUM('117_价格概率传导'!$C$6:$C$10)</x:f>
        <x:v>0.99</x:v>
      </x:c>
      <x:c r="H97" s="23" t="n">
        <x:f>SUM('117_价格概率传导'!$C$6:$C$11)</x:f>
        <x:v>1</x:v>
      </x:c>
      <x:c r="I97" s="460" t="n">
        <x:f>'117_价格概率传导'!A16</x:f>
        <x:v>299900</x:v>
      </x:c>
      <x:c r="J97" s="23" t="n">
        <x:f>'117_价格概率传导'!C16</x:f>
        <x:v>0.05</x:v>
      </x:c>
      <x:c r="K97" s="23" t="n">
        <x:f>0</x:f>
        <x:v>0</x:v>
      </x:c>
      <x:c r="L97" s="23" t="n">
        <x:f>SUM('117_价格概率传导'!$C$16:$C$16)</x:f>
        <x:v>0.05</x:v>
      </x:c>
      <x:c r="M97" s="23" t="n">
        <x:f>MAX(0,MIN(H97,L97)-MAX(G97,K97))</x:f>
        <x:v>0</x:v>
      </x:c>
      <x:c r="N97" s="23" t="n">
        <x:f>B97*D97*M97</x:f>
        <x:v>0</x:v>
      </x:c>
      <x:c r="O97" s="460" t="n">
        <x:f>MIN(299900,I97+20000)</x:f>
        <x:v>299900</x:v>
      </x:c>
      <x:c r="P97" s="460" t="n">
        <x:f>O97-30000</x:f>
        <x:v>269900</x:v>
      </x:c>
      <x:c r="Q97" s="460" t="str">
        <x:f>""</x:f>
      </x:c>
      <x:c r="R97" s="460" t="n">
        <x:f>O97-E97</x:f>
        <x:v>80000</x:v>
      </x:c>
      <x:c r="S97" s="460" t="n">
        <x:f>IF(P97&gt;0,P97-E97,"")</x:f>
        <x:v>50000</x:v>
      </x:c>
      <x:c r="T97" s="460" t="str">
        <x:f>IF(Q97&gt;0,Q97-E97,"")</x:f>
      </x:c>
      <x:c r="U97" s="23" t="n">
        <x:f>IF(R97&lt;30000,N97,0)</x:f>
        <x:v>0</x:v>
      </x:c>
      <x:c r="V97" s="23" t="n">
        <x:f>IF(P97&gt;0,N97,0)</x:f>
        <x:v>0</x:v>
      </x:c>
      <x:c r="W97" s="23" t="n">
        <x:f>IF(AND(P97&gt;0,S97&lt;0),N97,0)</x:f>
        <x:v>0</x:v>
      </x:c>
      <x:c r="X97" s="23" t="n">
        <x:f>IF(AND(P97&gt;0,S97=0),N97,0)</x:f>
        <x:v>0</x:v>
      </x:c>
      <x:c r="Y97" s="23" t="n">
        <x:f>IF(Q97&gt;0,N97,0)</x:f>
        <x:v>0</x:v>
      </x:c>
      <x:c r="Z97" s="460" t="n">
        <x:f>IF(P97&gt;0,N97*S97,0)</x:f>
        <x:v>0</x:v>
      </x:c>
      <x:c r="AA97" s="460" t="n">
        <x:f>IF(Q97&gt;0,N97*T97,0)</x:f>
        <x:v>0</x:v>
      </x:c>
      <x:c r="AB97" s="460" t="n">
        <x:f>N97*R97</x:f>
        <x:v>0</x:v>
      </x:c>
      <x:c r="AC97" s="460" t="n">
        <x:f>IF(N97&gt;0,R97,999999)</x:f>
        <x:v>999999</x:v>
      </x:c>
      <x:c r="AD97" s="460" t="n">
        <x:f>IF(AND(N97&gt;0,P97&gt;0),S97,999999)</x:f>
        <x:v>999999</x:v>
      </x:c>
      <x:c r="AE97" s="460" t="n">
        <x:f>IF(AND(N97&gt;0,Q97&gt;0),T97,999999)</x:f>
        <x:v>999999</x:v>
      </x:c>
      <x:c r="AF97" s="23" t="n">
        <x:f>B97*D97*F97*J97</x:f>
        <x:v>0.00002625</x:v>
      </x:c>
      <x:c r="AG97" s="23" t="n">
        <x:f>IF(P97&gt;0,AF97,0)</x:f>
        <x:v>0.00002625</x:v>
      </x:c>
      <x:c r="AH97" s="23" t="n">
        <x:f>IF(AND(P97&gt;0,S97&lt;0),AF97,0)</x:f>
        <x:v>0</x:v>
      </x:c>
      <x:c r="AI97" s="23" t="n">
        <x:f>IF(AND(P97&gt;0,S97=0),AF97,0)</x:f>
        <x:v>0</x:v>
      </x:c>
      <x:c r="AJ97" s="23" t="n">
        <x:f>IF(R97&lt;30000,AF97,0)</x:f>
        <x:v>0</x:v>
      </x:c>
      <x:c r="AK97" s="460" t="n">
        <x:f>IF(P97&gt;0,AF97*S97,0)</x:f>
        <x:v>1.3125</x:v>
      </x:c>
    </x:row>
    <x:row r="98" ht="22" customHeight="1">
      <x:c r="A98" s="643" t="str">
        <x:v>保守</x:v>
      </x:c>
      <x:c r="B98" s="648" t="n">
        <x:f>'114_降本系数'!B26</x:f>
        <x:v>0.35</x:v>
      </x:c>
      <x:c r="C98" s="643" t="str">
        <x:v>L1A</x:v>
      </x:c>
      <x:c r="D98" s="648" t="n">
        <x:f>'130_联合算法'!C17</x:f>
        <x:v>0.15</x:v>
      </x:c>
      <x:c r="E98" s="647" t="n">
        <x:f>'117_价格概率传导'!A11</x:f>
        <x:v>219900</x:v>
      </x:c>
      <x:c r="F98" s="648" t="n">
        <x:f>'117_价格概率传导'!C11</x:f>
        <x:v>0.01</x:v>
      </x:c>
      <x:c r="G98" s="648" t="n">
        <x:f>SUM('117_价格概率传导'!$C$6:$C$10)</x:f>
        <x:v>0.99</x:v>
      </x:c>
      <x:c r="H98" s="648" t="n">
        <x:f>SUM('117_价格概率传导'!$C$6:$C$11)</x:f>
        <x:v>1</x:v>
      </x:c>
      <x:c r="I98" s="647" t="n">
        <x:f>'117_价格概率传导'!A17</x:f>
        <x:v>293900</x:v>
      </x:c>
      <x:c r="J98" s="648" t="n">
        <x:f>'117_价格概率传导'!C17</x:f>
        <x:v>0.06</x:v>
      </x:c>
      <x:c r="K98" s="648" t="n">
        <x:f>SUM('117_价格概率传导'!$C$16:$C$16)</x:f>
        <x:v>0.05</x:v>
      </x:c>
      <x:c r="L98" s="648" t="n">
        <x:f>SUM('117_价格概率传导'!$C$16:$C$17)</x:f>
        <x:v>0.11</x:v>
      </x:c>
      <x:c r="M98" s="648" t="n">
        <x:f>MAX(0,MIN(H98,L98)-MAX(G98,K98))</x:f>
        <x:v>0</x:v>
      </x:c>
      <x:c r="N98" s="648" t="n">
        <x:f>B98*D98*M98</x:f>
        <x:v>0</x:v>
      </x:c>
      <x:c r="O98" s="647" t="n">
        <x:f>MIN(299900,I98+20000)</x:f>
        <x:v>299900</x:v>
      </x:c>
      <x:c r="P98" s="647" t="n">
        <x:f>O98-30000</x:f>
        <x:v>269900</x:v>
      </x:c>
      <x:c r="Q98" s="647" t="str">
        <x:f>""</x:f>
      </x:c>
      <x:c r="R98" s="647" t="n">
        <x:f>O98-E98</x:f>
        <x:v>80000</x:v>
      </x:c>
      <x:c r="S98" s="647" t="n">
        <x:f>IF(P98&gt;0,P98-E98,"")</x:f>
        <x:v>50000</x:v>
      </x:c>
      <x:c r="T98" s="647" t="str">
        <x:f>IF(Q98&gt;0,Q98-E98,"")</x:f>
      </x:c>
      <x:c r="U98" s="648" t="n">
        <x:f>IF(R98&lt;30000,N98,0)</x:f>
        <x:v>0</x:v>
      </x:c>
      <x:c r="V98" s="648" t="n">
        <x:f>IF(P98&gt;0,N98,0)</x:f>
        <x:v>0</x:v>
      </x:c>
      <x:c r="W98" s="648" t="n">
        <x:f>IF(AND(P98&gt;0,S98&lt;0),N98,0)</x:f>
        <x:v>0</x:v>
      </x:c>
      <x:c r="X98" s="648" t="n">
        <x:f>IF(AND(P98&gt;0,S98=0),N98,0)</x:f>
        <x:v>0</x:v>
      </x:c>
      <x:c r="Y98" s="648" t="n">
        <x:f>IF(Q98&gt;0,N98,0)</x:f>
        <x:v>0</x:v>
      </x:c>
      <x:c r="Z98" s="647" t="n">
        <x:f>IF(P98&gt;0,N98*S98,0)</x:f>
        <x:v>0</x:v>
      </x:c>
      <x:c r="AA98" s="647" t="n">
        <x:f>IF(Q98&gt;0,N98*T98,0)</x:f>
        <x:v>0</x:v>
      </x:c>
      <x:c r="AB98" s="647" t="n">
        <x:f>N98*R98</x:f>
        <x:v>0</x:v>
      </x:c>
      <x:c r="AC98" s="647" t="n">
        <x:f>IF(N98&gt;0,R98,999999)</x:f>
        <x:v>999999</x:v>
      </x:c>
      <x:c r="AD98" s="647" t="n">
        <x:f>IF(AND(N98&gt;0,P98&gt;0),S98,999999)</x:f>
        <x:v>999999</x:v>
      </x:c>
      <x:c r="AE98" s="647" t="n">
        <x:f>IF(AND(N98&gt;0,Q98&gt;0),T98,999999)</x:f>
        <x:v>999999</x:v>
      </x:c>
      <x:c r="AF98" s="648" t="n">
        <x:f>B98*D98*F98*J98</x:f>
        <x:v>0.0000315</x:v>
      </x:c>
      <x:c r="AG98" s="648" t="n">
        <x:f>IF(P98&gt;0,AF98,0)</x:f>
        <x:v>0.0000315</x:v>
      </x:c>
      <x:c r="AH98" s="648" t="n">
        <x:f>IF(AND(P98&gt;0,S98&lt;0),AF98,0)</x:f>
        <x:v>0</x:v>
      </x:c>
      <x:c r="AI98" s="648" t="n">
        <x:f>IF(AND(P98&gt;0,S98=0),AF98,0)</x:f>
        <x:v>0</x:v>
      </x:c>
      <x:c r="AJ98" s="648" t="n">
        <x:f>IF(R98&lt;30000,AF98,0)</x:f>
        <x:v>0</x:v>
      </x:c>
      <x:c r="AK98" s="647" t="n">
        <x:f>IF(P98&gt;0,AF98*S98,0)</x:f>
        <x:v>1.575</x:v>
      </x:c>
    </x:row>
    <x:row r="99" ht="22" customHeight="1">
      <x:c r="A99" s="19" t="str">
        <x:v>保守</x:v>
      </x:c>
      <x:c r="B99" s="23" t="n">
        <x:f>'114_降本系数'!B26</x:f>
        <x:v>0.35</x:v>
      </x:c>
      <x:c r="C99" s="19" t="str">
        <x:v>L1A</x:v>
      </x:c>
      <x:c r="D99" s="23" t="n">
        <x:f>'130_联合算法'!C17</x:f>
        <x:v>0.15</x:v>
      </x:c>
      <x:c r="E99" s="460" t="n">
        <x:f>'117_价格概率传导'!A11</x:f>
        <x:v>219900</x:v>
      </x:c>
      <x:c r="F99" s="23" t="n">
        <x:f>'117_价格概率传导'!C11</x:f>
        <x:v>0.01</x:v>
      </x:c>
      <x:c r="G99" s="23" t="n">
        <x:f>SUM('117_价格概率传导'!$C$6:$C$10)</x:f>
        <x:v>0.99</x:v>
      </x:c>
      <x:c r="H99" s="23" t="n">
        <x:f>SUM('117_价格概率传导'!$C$6:$C$11)</x:f>
        <x:v>1</x:v>
      </x:c>
      <x:c r="I99" s="460" t="n">
        <x:f>'117_价格概率传导'!A18</x:f>
        <x:v>289900</x:v>
      </x:c>
      <x:c r="J99" s="23" t="n">
        <x:f>'117_价格概率传导'!C18</x:f>
        <x:v>0.34</x:v>
      </x:c>
      <x:c r="K99" s="23" t="n">
        <x:f>SUM('117_价格概率传导'!$C$16:$C$17)</x:f>
        <x:v>0.11</x:v>
      </x:c>
      <x:c r="L99" s="23" t="n">
        <x:f>SUM('117_价格概率传导'!$C$16:$C$18)</x:f>
        <x:v>0.45</x:v>
      </x:c>
      <x:c r="M99" s="23" t="n">
        <x:f>MAX(0,MIN(H99,L99)-MAX(G99,K99))</x:f>
        <x:v>0</x:v>
      </x:c>
      <x:c r="N99" s="23" t="n">
        <x:f>B99*D99*M99</x:f>
        <x:v>0</x:v>
      </x:c>
      <x:c r="O99" s="460" t="n">
        <x:f>MIN(299900,I99+20000)</x:f>
        <x:v>299900</x:v>
      </x:c>
      <x:c r="P99" s="460" t="n">
        <x:f>O99-30000</x:f>
        <x:v>269900</x:v>
      </x:c>
      <x:c r="Q99" s="460" t="str">
        <x:f>""</x:f>
      </x:c>
      <x:c r="R99" s="460" t="n">
        <x:f>O99-E99</x:f>
        <x:v>80000</x:v>
      </x:c>
      <x:c r="S99" s="460" t="n">
        <x:f>IF(P99&gt;0,P99-E99,"")</x:f>
        <x:v>50000</x:v>
      </x:c>
      <x:c r="T99" s="460" t="str">
        <x:f>IF(Q99&gt;0,Q99-E99,"")</x:f>
      </x:c>
      <x:c r="U99" s="23" t="n">
        <x:f>IF(R99&lt;30000,N99,0)</x:f>
        <x:v>0</x:v>
      </x:c>
      <x:c r="V99" s="23" t="n">
        <x:f>IF(P99&gt;0,N99,0)</x:f>
        <x:v>0</x:v>
      </x:c>
      <x:c r="W99" s="23" t="n">
        <x:f>IF(AND(P99&gt;0,S99&lt;0),N99,0)</x:f>
        <x:v>0</x:v>
      </x:c>
      <x:c r="X99" s="23" t="n">
        <x:f>IF(AND(P99&gt;0,S99=0),N99,0)</x:f>
        <x:v>0</x:v>
      </x:c>
      <x:c r="Y99" s="23" t="n">
        <x:f>IF(Q99&gt;0,N99,0)</x:f>
        <x:v>0</x:v>
      </x:c>
      <x:c r="Z99" s="460" t="n">
        <x:f>IF(P99&gt;0,N99*S99,0)</x:f>
        <x:v>0</x:v>
      </x:c>
      <x:c r="AA99" s="460" t="n">
        <x:f>IF(Q99&gt;0,N99*T99,0)</x:f>
        <x:v>0</x:v>
      </x:c>
      <x:c r="AB99" s="460" t="n">
        <x:f>N99*R99</x:f>
        <x:v>0</x:v>
      </x:c>
      <x:c r="AC99" s="460" t="n">
        <x:f>IF(N99&gt;0,R99,999999)</x:f>
        <x:v>999999</x:v>
      </x:c>
      <x:c r="AD99" s="460" t="n">
        <x:f>IF(AND(N99&gt;0,P99&gt;0),S99,999999)</x:f>
        <x:v>999999</x:v>
      </x:c>
      <x:c r="AE99" s="460" t="n">
        <x:f>IF(AND(N99&gt;0,Q99&gt;0),T99,999999)</x:f>
        <x:v>999999</x:v>
      </x:c>
      <x:c r="AF99" s="23" t="n">
        <x:f>B99*D99*F99*J99</x:f>
        <x:v>0.0001785</x:v>
      </x:c>
      <x:c r="AG99" s="23" t="n">
        <x:f>IF(P99&gt;0,AF99,0)</x:f>
        <x:v>0.0001785</x:v>
      </x:c>
      <x:c r="AH99" s="23" t="n">
        <x:f>IF(AND(P99&gt;0,S99&lt;0),AF99,0)</x:f>
        <x:v>0</x:v>
      </x:c>
      <x:c r="AI99" s="23" t="n">
        <x:f>IF(AND(P99&gt;0,S99=0),AF99,0)</x:f>
        <x:v>0</x:v>
      </x:c>
      <x:c r="AJ99" s="23" t="n">
        <x:f>IF(R99&lt;30000,AF99,0)</x:f>
        <x:v>0</x:v>
      </x:c>
      <x:c r="AK99" s="460" t="n">
        <x:f>IF(P99&gt;0,AF99*S99,0)</x:f>
        <x:v>8.925</x:v>
      </x:c>
    </x:row>
    <x:row r="100" ht="22" customHeight="1">
      <x:c r="A100" s="643" t="str">
        <x:v>保守</x:v>
      </x:c>
      <x:c r="B100" s="648" t="n">
        <x:f>'114_降本系数'!B26</x:f>
        <x:v>0.35</x:v>
      </x:c>
      <x:c r="C100" s="643" t="str">
        <x:v>L1A</x:v>
      </x:c>
      <x:c r="D100" s="648" t="n">
        <x:f>'130_联合算法'!C17</x:f>
        <x:v>0.15</x:v>
      </x:c>
      <x:c r="E100" s="647" t="n">
        <x:f>'117_价格概率传导'!A11</x:f>
        <x:v>219900</x:v>
      </x:c>
      <x:c r="F100" s="648" t="n">
        <x:f>'117_价格概率传导'!C11</x:f>
        <x:v>0.01</x:v>
      </x:c>
      <x:c r="G100" s="648" t="n">
        <x:f>SUM('117_价格概率传导'!$C$6:$C$10)</x:f>
        <x:v>0.99</x:v>
      </x:c>
      <x:c r="H100" s="648" t="n">
        <x:f>SUM('117_价格概率传导'!$C$6:$C$11)</x:f>
        <x:v>1</x:v>
      </x:c>
      <x:c r="I100" s="647" t="n">
        <x:f>'117_价格概率传导'!A19</x:f>
        <x:v>279900</x:v>
      </x:c>
      <x:c r="J100" s="648" t="n">
        <x:f>'117_价格概率传导'!C19</x:f>
        <x:v>0.39</x:v>
      </x:c>
      <x:c r="K100" s="648" t="n">
        <x:f>SUM('117_价格概率传导'!$C$16:$C$18)</x:f>
        <x:v>0.45</x:v>
      </x:c>
      <x:c r="L100" s="648" t="n">
        <x:f>SUM('117_价格概率传导'!$C$16:$C$19)</x:f>
        <x:v>0.8400000000000001</x:v>
      </x:c>
      <x:c r="M100" s="648" t="n">
        <x:f>MAX(0,MIN(H100,L100)-MAX(G100,K100))</x:f>
        <x:v>0</x:v>
      </x:c>
      <x:c r="N100" s="648" t="n">
        <x:f>B100*D100*M100</x:f>
        <x:v>0</x:v>
      </x:c>
      <x:c r="O100" s="647" t="n">
        <x:f>MIN(299900,I100+20000)</x:f>
        <x:v>299900</x:v>
      </x:c>
      <x:c r="P100" s="647" t="n">
        <x:f>O100-30000</x:f>
        <x:v>269900</x:v>
      </x:c>
      <x:c r="Q100" s="647" t="str">
        <x:f>""</x:f>
      </x:c>
      <x:c r="R100" s="647" t="n">
        <x:f>O100-E100</x:f>
        <x:v>80000</x:v>
      </x:c>
      <x:c r="S100" s="647" t="n">
        <x:f>IF(P100&gt;0,P100-E100,"")</x:f>
        <x:v>50000</x:v>
      </x:c>
      <x:c r="T100" s="647" t="str">
        <x:f>IF(Q100&gt;0,Q100-E100,"")</x:f>
      </x:c>
      <x:c r="U100" s="648" t="n">
        <x:f>IF(R100&lt;30000,N100,0)</x:f>
        <x:v>0</x:v>
      </x:c>
      <x:c r="V100" s="648" t="n">
        <x:f>IF(P100&gt;0,N100,0)</x:f>
        <x:v>0</x:v>
      </x:c>
      <x:c r="W100" s="648" t="n">
        <x:f>IF(AND(P100&gt;0,S100&lt;0),N100,0)</x:f>
        <x:v>0</x:v>
      </x:c>
      <x:c r="X100" s="648" t="n">
        <x:f>IF(AND(P100&gt;0,S100=0),N100,0)</x:f>
        <x:v>0</x:v>
      </x:c>
      <x:c r="Y100" s="648" t="n">
        <x:f>IF(Q100&gt;0,N100,0)</x:f>
        <x:v>0</x:v>
      </x:c>
      <x:c r="Z100" s="647" t="n">
        <x:f>IF(P100&gt;0,N100*S100,0)</x:f>
        <x:v>0</x:v>
      </x:c>
      <x:c r="AA100" s="647" t="n">
        <x:f>IF(Q100&gt;0,N100*T100,0)</x:f>
        <x:v>0</x:v>
      </x:c>
      <x:c r="AB100" s="647" t="n">
        <x:f>N100*R100</x:f>
        <x:v>0</x:v>
      </x:c>
      <x:c r="AC100" s="647" t="n">
        <x:f>IF(N100&gt;0,R100,999999)</x:f>
        <x:v>999999</x:v>
      </x:c>
      <x:c r="AD100" s="647" t="n">
        <x:f>IF(AND(N100&gt;0,P100&gt;0),S100,999999)</x:f>
        <x:v>999999</x:v>
      </x:c>
      <x:c r="AE100" s="647" t="n">
        <x:f>IF(AND(N100&gt;0,Q100&gt;0),T100,999999)</x:f>
        <x:v>999999</x:v>
      </x:c>
      <x:c r="AF100" s="648" t="n">
        <x:f>B100*D100*F100*J100</x:f>
        <x:v>0.00020475</x:v>
      </x:c>
      <x:c r="AG100" s="648" t="n">
        <x:f>IF(P100&gt;0,AF100,0)</x:f>
        <x:v>0.00020475</x:v>
      </x:c>
      <x:c r="AH100" s="648" t="n">
        <x:f>IF(AND(P100&gt;0,S100&lt;0),AF100,0)</x:f>
        <x:v>0</x:v>
      </x:c>
      <x:c r="AI100" s="648" t="n">
        <x:f>IF(AND(P100&gt;0,S100=0),AF100,0)</x:f>
        <x:v>0</x:v>
      </x:c>
      <x:c r="AJ100" s="648" t="n">
        <x:f>IF(R100&lt;30000,AF100,0)</x:f>
        <x:v>0</x:v>
      </x:c>
      <x:c r="AK100" s="647" t="n">
        <x:f>IF(P100&gt;0,AF100*S100,0)</x:f>
        <x:v>10.237499999999999</x:v>
      </x:c>
    </x:row>
    <x:row r="101" ht="22" customHeight="1">
      <x:c r="A101" s="19" t="str">
        <x:v>保守</x:v>
      </x:c>
      <x:c r="B101" s="23" t="n">
        <x:f>'114_降本系数'!B26</x:f>
        <x:v>0.35</x:v>
      </x:c>
      <x:c r="C101" s="19" t="str">
        <x:v>L1A</x:v>
      </x:c>
      <x:c r="D101" s="23" t="n">
        <x:f>'130_联合算法'!C17</x:f>
        <x:v>0.15</x:v>
      </x:c>
      <x:c r="E101" s="460" t="n">
        <x:f>'117_价格概率传导'!A11</x:f>
        <x:v>219900</x:v>
      </x:c>
      <x:c r="F101" s="23" t="n">
        <x:f>'117_价格概率传导'!C11</x:f>
        <x:v>0.01</x:v>
      </x:c>
      <x:c r="G101" s="23" t="n">
        <x:f>SUM('117_价格概率传导'!$C$6:$C$10)</x:f>
        <x:v>0.99</x:v>
      </x:c>
      <x:c r="H101" s="23" t="n">
        <x:f>SUM('117_价格概率传导'!$C$6:$C$11)</x:f>
        <x:v>1</x:v>
      </x:c>
      <x:c r="I101" s="460" t="n">
        <x:f>'117_价格概率传导'!A20</x:f>
        <x:v>269900</x:v>
      </x:c>
      <x:c r="J101" s="23" t="n">
        <x:f>'117_价格概率传导'!C20</x:f>
        <x:v>0.13</x:v>
      </x:c>
      <x:c r="K101" s="23" t="n">
        <x:f>SUM('117_价格概率传导'!$C$16:$C$19)</x:f>
        <x:v>0.8400000000000001</x:v>
      </x:c>
      <x:c r="L101" s="23" t="n">
        <x:f>SUM('117_价格概率传导'!$C$16:$C$20)</x:f>
        <x:v>0.9700000000000001</x:v>
      </x:c>
      <x:c r="M101" s="23" t="n">
        <x:f>MAX(0,MIN(H101,L101)-MAX(G101,K101))</x:f>
        <x:v>0</x:v>
      </x:c>
      <x:c r="N101" s="23" t="n">
        <x:f>B101*D101*M101</x:f>
        <x:v>0</x:v>
      </x:c>
      <x:c r="O101" s="460" t="n">
        <x:f>MIN(299900,I101+20000)</x:f>
        <x:v>289900</x:v>
      </x:c>
      <x:c r="P101" s="460" t="n">
        <x:f>O101-30000</x:f>
        <x:v>259900</x:v>
      </x:c>
      <x:c r="Q101" s="460" t="str">
        <x:f>""</x:f>
      </x:c>
      <x:c r="R101" s="460" t="n">
        <x:f>O101-E101</x:f>
        <x:v>70000</x:v>
      </x:c>
      <x:c r="S101" s="460" t="n">
        <x:f>IF(P101&gt;0,P101-E101,"")</x:f>
        <x:v>40000</x:v>
      </x:c>
      <x:c r="T101" s="460" t="str">
        <x:f>IF(Q101&gt;0,Q101-E101,"")</x:f>
      </x:c>
      <x:c r="U101" s="23" t="n">
        <x:f>IF(R101&lt;30000,N101,0)</x:f>
        <x:v>0</x:v>
      </x:c>
      <x:c r="V101" s="23" t="n">
        <x:f>IF(P101&gt;0,N101,0)</x:f>
        <x:v>0</x:v>
      </x:c>
      <x:c r="W101" s="23" t="n">
        <x:f>IF(AND(P101&gt;0,S101&lt;0),N101,0)</x:f>
        <x:v>0</x:v>
      </x:c>
      <x:c r="X101" s="23" t="n">
        <x:f>IF(AND(P101&gt;0,S101=0),N101,0)</x:f>
        <x:v>0</x:v>
      </x:c>
      <x:c r="Y101" s="23" t="n">
        <x:f>IF(Q101&gt;0,N101,0)</x:f>
        <x:v>0</x:v>
      </x:c>
      <x:c r="Z101" s="460" t="n">
        <x:f>IF(P101&gt;0,N101*S101,0)</x:f>
        <x:v>0</x:v>
      </x:c>
      <x:c r="AA101" s="460" t="n">
        <x:f>IF(Q101&gt;0,N101*T101,0)</x:f>
        <x:v>0</x:v>
      </x:c>
      <x:c r="AB101" s="460" t="n">
        <x:f>N101*R101</x:f>
        <x:v>0</x:v>
      </x:c>
      <x:c r="AC101" s="460" t="n">
        <x:f>IF(N101&gt;0,R101,999999)</x:f>
        <x:v>999999</x:v>
      </x:c>
      <x:c r="AD101" s="460" t="n">
        <x:f>IF(AND(N101&gt;0,P101&gt;0),S101,999999)</x:f>
        <x:v>999999</x:v>
      </x:c>
      <x:c r="AE101" s="460" t="n">
        <x:f>IF(AND(N101&gt;0,Q101&gt;0),T101,999999)</x:f>
        <x:v>999999</x:v>
      </x:c>
      <x:c r="AF101" s="23" t="n">
        <x:f>B101*D101*F101*J101</x:f>
        <x:v>0.00006824999999999999</x:v>
      </x:c>
      <x:c r="AG101" s="23" t="n">
        <x:f>IF(P101&gt;0,AF101,0)</x:f>
        <x:v>0.00006824999999999999</x:v>
      </x:c>
      <x:c r="AH101" s="23" t="n">
        <x:f>IF(AND(P101&gt;0,S101&lt;0),AF101,0)</x:f>
        <x:v>0</x:v>
      </x:c>
      <x:c r="AI101" s="23" t="n">
        <x:f>IF(AND(P101&gt;0,S101=0),AF101,0)</x:f>
        <x:v>0</x:v>
      </x:c>
      <x:c r="AJ101" s="23" t="n">
        <x:f>IF(R101&lt;30000,AF101,0)</x:f>
        <x:v>0</x:v>
      </x:c>
      <x:c r="AK101" s="460" t="n">
        <x:f>IF(P101&gt;0,AF101*S101,0)</x:f>
        <x:v>2.7299999999999995</x:v>
      </x:c>
    </x:row>
    <x:row r="102" ht="22" customHeight="1">
      <x:c r="A102" s="643" t="str">
        <x:v>保守</x:v>
      </x:c>
      <x:c r="B102" s="648" t="n">
        <x:f>'114_降本系数'!B26</x:f>
        <x:v>0.35</x:v>
      </x:c>
      <x:c r="C102" s="643" t="str">
        <x:v>L1A</x:v>
      </x:c>
      <x:c r="D102" s="648" t="n">
        <x:f>'130_联合算法'!C17</x:f>
        <x:v>0.15</x:v>
      </x:c>
      <x:c r="E102" s="647" t="n">
        <x:f>'117_价格概率传导'!A11</x:f>
        <x:v>219900</x:v>
      </x:c>
      <x:c r="F102" s="648" t="n">
        <x:f>'117_价格概率传导'!C11</x:f>
        <x:v>0.01</x:v>
      </x:c>
      <x:c r="G102" s="648" t="n">
        <x:f>SUM('117_价格概率传导'!$C$6:$C$10)</x:f>
        <x:v>0.99</x:v>
      </x:c>
      <x:c r="H102" s="648" t="n">
        <x:f>SUM('117_价格概率传导'!$C$6:$C$11)</x:f>
        <x:v>1</x:v>
      </x:c>
      <x:c r="I102" s="647" t="n">
        <x:f>'117_价格概率传导'!A21</x:f>
        <x:v>259900</x:v>
      </x:c>
      <x:c r="J102" s="648" t="n">
        <x:f>'117_价格概率传导'!C21</x:f>
        <x:v>0.03</x:v>
      </x:c>
      <x:c r="K102" s="648" t="n">
        <x:f>SUM('117_价格概率传导'!$C$16:$C$20)</x:f>
        <x:v>0.9700000000000001</x:v>
      </x:c>
      <x:c r="L102" s="648" t="n">
        <x:f>SUM('117_价格概率传导'!$C$16:$C$21)</x:f>
        <x:v>1</x:v>
      </x:c>
      <x:c r="M102" s="648" t="n">
        <x:f>MAX(0,MIN(H102,L102)-MAX(G102,K102))</x:f>
        <x:v>0.010000000000000009</x:v>
      </x:c>
      <x:c r="N102" s="648" t="n">
        <x:f>B102*D102*M102</x:f>
        <x:v>0.0005250000000000004</x:v>
      </x:c>
      <x:c r="O102" s="647" t="n">
        <x:f>MIN(299900,I102+20000)</x:f>
        <x:v>279900</x:v>
      </x:c>
      <x:c r="P102" s="647" t="n">
        <x:f>O102-30000</x:f>
        <x:v>249900</x:v>
      </x:c>
      <x:c r="Q102" s="647" t="str">
        <x:f>""</x:f>
      </x:c>
      <x:c r="R102" s="647" t="n">
        <x:f>O102-E102</x:f>
        <x:v>60000</x:v>
      </x:c>
      <x:c r="S102" s="647" t="n">
        <x:f>IF(P102&gt;0,P102-E102,"")</x:f>
        <x:v>30000</x:v>
      </x:c>
      <x:c r="T102" s="647" t="str">
        <x:f>IF(Q102&gt;0,Q102-E102,"")</x:f>
      </x:c>
      <x:c r="U102" s="648" t="n">
        <x:f>IF(R102&lt;30000,N102,0)</x:f>
        <x:v>0</x:v>
      </x:c>
      <x:c r="V102" s="648" t="n">
        <x:f>IF(P102&gt;0,N102,0)</x:f>
        <x:v>0.0005250000000000004</x:v>
      </x:c>
      <x:c r="W102" s="648" t="n">
        <x:f>IF(AND(P102&gt;0,S102&lt;0),N102,0)</x:f>
        <x:v>0</x:v>
      </x:c>
      <x:c r="X102" s="648" t="n">
        <x:f>IF(AND(P102&gt;0,S102=0),N102,0)</x:f>
        <x:v>0</x:v>
      </x:c>
      <x:c r="Y102" s="648" t="n">
        <x:f>IF(Q102&gt;0,N102,0)</x:f>
        <x:v>0</x:v>
      </x:c>
      <x:c r="Z102" s="647" t="n">
        <x:f>IF(P102&gt;0,N102*S102,0)</x:f>
        <x:v>15.750000000000012</x:v>
      </x:c>
      <x:c r="AA102" s="647" t="n">
        <x:f>IF(Q102&gt;0,N102*T102,0)</x:f>
        <x:v>0</x:v>
      </x:c>
      <x:c r="AB102" s="647" t="n">
        <x:f>N102*R102</x:f>
        <x:v>31.500000000000025</x:v>
      </x:c>
      <x:c r="AC102" s="647" t="n">
        <x:f>IF(N102&gt;0,R102,999999)</x:f>
        <x:v>60000</x:v>
      </x:c>
      <x:c r="AD102" s="647" t="n">
        <x:f>IF(AND(N102&gt;0,P102&gt;0),S102,999999)</x:f>
        <x:v>30000</x:v>
      </x:c>
      <x:c r="AE102" s="647" t="n">
        <x:f>IF(AND(N102&gt;0,Q102&gt;0),T102,999999)</x:f>
        <x:v>999999</x:v>
      </x:c>
      <x:c r="AF102" s="648" t="n">
        <x:f>B102*D102*F102*J102</x:f>
        <x:v>0.00001575</x:v>
      </x:c>
      <x:c r="AG102" s="648" t="n">
        <x:f>IF(P102&gt;0,AF102,0)</x:f>
        <x:v>0.00001575</x:v>
      </x:c>
      <x:c r="AH102" s="648" t="n">
        <x:f>IF(AND(P102&gt;0,S102&lt;0),AF102,0)</x:f>
        <x:v>0</x:v>
      </x:c>
      <x:c r="AI102" s="648" t="n">
        <x:f>IF(AND(P102&gt;0,S102=0),AF102,0)</x:f>
        <x:v>0</x:v>
      </x:c>
      <x:c r="AJ102" s="648" t="n">
        <x:f>IF(R102&lt;30000,AF102,0)</x:f>
        <x:v>0</x:v>
      </x:c>
      <x:c r="AK102" s="647" t="n">
        <x:f>IF(P102&gt;0,AF102*S102,0)</x:f>
        <x:v>0.4725</x:v>
      </x:c>
    </x:row>
    <x:row r="103" ht="22" customHeight="1">
      <x:c r="A103" s="19" t="str">
        <x:v>保守</x:v>
      </x:c>
      <x:c r="B103" s="23" t="n">
        <x:f>'114_降本系数'!B26</x:f>
        <x:v>0.35</x:v>
      </x:c>
      <x:c r="C103" s="19" t="str">
        <x:v>L1B</x:v>
      </x:c>
      <x:c r="D103" s="23" t="n">
        <x:f>'130_联合算法'!C18</x:f>
        <x:v>0.1</x:v>
      </x:c>
      <x:c r="E103" s="460" t="n">
        <x:f>'117_价格概率传导'!A6</x:f>
        <x:v>259900</x:v>
      </x:c>
      <x:c r="F103" s="23" t="n">
        <x:f>'117_价格概率传导'!C6</x:f>
        <x:v>0.06</x:v>
      </x:c>
      <x:c r="G103" s="23" t="n">
        <x:f>0</x:f>
        <x:v>0</x:v>
      </x:c>
      <x:c r="H103" s="23" t="n">
        <x:f>SUM('117_价格概率传导'!$C$6:$C$6)</x:f>
        <x:v>0.06</x:v>
      </x:c>
      <x:c r="I103" s="460" t="n">
        <x:f>'117_价格概率传导'!A16</x:f>
        <x:v>299900</x:v>
      </x:c>
      <x:c r="J103" s="23" t="n">
        <x:f>'117_价格概率传导'!C16</x:f>
        <x:v>0.05</x:v>
      </x:c>
      <x:c r="K103" s="23" t="n">
        <x:f>0</x:f>
        <x:v>0</x:v>
      </x:c>
      <x:c r="L103" s="23" t="n">
        <x:f>SUM('117_价格概率传导'!$C$16:$C$16)</x:f>
        <x:v>0.05</x:v>
      </x:c>
      <x:c r="M103" s="23" t="n">
        <x:f>MAX(0,MIN(H103,L103)-MAX(G103,K103))</x:f>
        <x:v>0.05</x:v>
      </x:c>
      <x:c r="N103" s="23" t="n">
        <x:f>B103*D103*M103</x:f>
        <x:v>0.0017499999999999998</x:v>
      </x:c>
      <x:c r="O103" s="460" t="n">
        <x:f>MIN(289900,I103+10000)</x:f>
        <x:v>289900</x:v>
      </x:c>
      <x:c r="P103" s="460" t="n">
        <x:f>O103-30000</x:f>
        <x:v>259900</x:v>
      </x:c>
      <x:c r="Q103" s="460" t="str">
        <x:f>""</x:f>
      </x:c>
      <x:c r="R103" s="460" t="n">
        <x:f>O103-E103</x:f>
        <x:v>30000</x:v>
      </x:c>
      <x:c r="S103" s="460" t="n">
        <x:f>IF(P103&gt;0,P103-E103,"")</x:f>
        <x:v>0</x:v>
      </x:c>
      <x:c r="T103" s="460" t="str">
        <x:f>IF(Q103&gt;0,Q103-E103,"")</x:f>
      </x:c>
      <x:c r="U103" s="23" t="n">
        <x:f>IF(R103&lt;30000,N103,0)</x:f>
        <x:v>0</x:v>
      </x:c>
      <x:c r="V103" s="23" t="n">
        <x:f>IF(P103&gt;0,N103,0)</x:f>
        <x:v>0.0017499999999999998</x:v>
      </x:c>
      <x:c r="W103" s="23" t="n">
        <x:f>IF(AND(P103&gt;0,S103&lt;0),N103,0)</x:f>
        <x:v>0</x:v>
      </x:c>
      <x:c r="X103" s="23" t="n">
        <x:f>IF(AND(P103&gt;0,S103=0),N103,0)</x:f>
        <x:v>0.0017499999999999998</x:v>
      </x:c>
      <x:c r="Y103" s="23" t="n">
        <x:f>IF(Q103&gt;0,N103,0)</x:f>
        <x:v>0</x:v>
      </x:c>
      <x:c r="Z103" s="460" t="n">
        <x:f>IF(P103&gt;0,N103*S103,0)</x:f>
        <x:v>0</x:v>
      </x:c>
      <x:c r="AA103" s="460" t="n">
        <x:f>IF(Q103&gt;0,N103*T103,0)</x:f>
        <x:v>0</x:v>
      </x:c>
      <x:c r="AB103" s="460" t="n">
        <x:f>N103*R103</x:f>
        <x:v>52.49999999999999</x:v>
      </x:c>
      <x:c r="AC103" s="460" t="n">
        <x:f>IF(N103&gt;0,R103,999999)</x:f>
        <x:v>30000</x:v>
      </x:c>
      <x:c r="AD103" s="460" t="n">
        <x:f>IF(AND(N103&gt;0,P103&gt;0),S103,999999)</x:f>
        <x:v>0</x:v>
      </x:c>
      <x:c r="AE103" s="460" t="n">
        <x:f>IF(AND(N103&gt;0,Q103&gt;0),T103,999999)</x:f>
        <x:v>999999</x:v>
      </x:c>
      <x:c r="AF103" s="23" t="n">
        <x:f>B103*D103*F103*J103</x:f>
        <x:v>0.000105</x:v>
      </x:c>
      <x:c r="AG103" s="23" t="n">
        <x:f>IF(P103&gt;0,AF103,0)</x:f>
        <x:v>0.000105</x:v>
      </x:c>
      <x:c r="AH103" s="23" t="n">
        <x:f>IF(AND(P103&gt;0,S103&lt;0),AF103,0)</x:f>
        <x:v>0</x:v>
      </x:c>
      <x:c r="AI103" s="23" t="n">
        <x:f>IF(AND(P103&gt;0,S103=0),AF103,0)</x:f>
        <x:v>0.000105</x:v>
      </x:c>
      <x:c r="AJ103" s="23" t="n">
        <x:f>IF(R103&lt;30000,AF103,0)</x:f>
        <x:v>0</x:v>
      </x:c>
      <x:c r="AK103" s="460" t="n">
        <x:f>IF(P103&gt;0,AF103*S103,0)</x:f>
        <x:v>0</x:v>
      </x:c>
    </x:row>
    <x:row r="104" ht="22" customHeight="1">
      <x:c r="A104" s="643" t="str">
        <x:v>保守</x:v>
      </x:c>
      <x:c r="B104" s="648" t="n">
        <x:f>'114_降本系数'!B26</x:f>
        <x:v>0.35</x:v>
      </x:c>
      <x:c r="C104" s="643" t="str">
        <x:v>L1B</x:v>
      </x:c>
      <x:c r="D104" s="648" t="n">
        <x:f>'130_联合算法'!C18</x:f>
        <x:v>0.1</x:v>
      </x:c>
      <x:c r="E104" s="647" t="n">
        <x:f>'117_价格概率传导'!A6</x:f>
        <x:v>259900</x:v>
      </x:c>
      <x:c r="F104" s="648" t="n">
        <x:f>'117_价格概率传导'!C6</x:f>
        <x:v>0.06</x:v>
      </x:c>
      <x:c r="G104" s="648" t="n">
        <x:f>0</x:f>
        <x:v>0</x:v>
      </x:c>
      <x:c r="H104" s="648" t="n">
        <x:f>SUM('117_价格概率传导'!$C$6:$C$6)</x:f>
        <x:v>0.06</x:v>
      </x:c>
      <x:c r="I104" s="647" t="n">
        <x:f>'117_价格概率传导'!A17</x:f>
        <x:v>293900</x:v>
      </x:c>
      <x:c r="J104" s="648" t="n">
        <x:f>'117_价格概率传导'!C17</x:f>
        <x:v>0.06</x:v>
      </x:c>
      <x:c r="K104" s="648" t="n">
        <x:f>SUM('117_价格概率传导'!$C$16:$C$16)</x:f>
        <x:v>0.05</x:v>
      </x:c>
      <x:c r="L104" s="648" t="n">
        <x:f>SUM('117_价格概率传导'!$C$16:$C$17)</x:f>
        <x:v>0.11</x:v>
      </x:c>
      <x:c r="M104" s="648" t="n">
        <x:f>MAX(0,MIN(H104,L104)-MAX(G104,K104))</x:f>
        <x:v>0.009999999999999995</x:v>
      </x:c>
      <x:c r="N104" s="648" t="n">
        <x:f>B104*D104*M104</x:f>
        <x:v>0.0003499999999999998</x:v>
      </x:c>
      <x:c r="O104" s="647" t="n">
        <x:f>MIN(289900,I104+10000)</x:f>
        <x:v>289900</x:v>
      </x:c>
      <x:c r="P104" s="647" t="n">
        <x:f>O104-30000</x:f>
        <x:v>259900</x:v>
      </x:c>
      <x:c r="Q104" s="647" t="str">
        <x:f>""</x:f>
      </x:c>
      <x:c r="R104" s="647" t="n">
        <x:f>O104-E104</x:f>
        <x:v>30000</x:v>
      </x:c>
      <x:c r="S104" s="647" t="n">
        <x:f>IF(P104&gt;0,P104-E104,"")</x:f>
        <x:v>0</x:v>
      </x:c>
      <x:c r="T104" s="647" t="str">
        <x:f>IF(Q104&gt;0,Q104-E104,"")</x:f>
      </x:c>
      <x:c r="U104" s="648" t="n">
        <x:f>IF(R104&lt;30000,N104,0)</x:f>
        <x:v>0</x:v>
      </x:c>
      <x:c r="V104" s="648" t="n">
        <x:f>IF(P104&gt;0,N104,0)</x:f>
        <x:v>0.0003499999999999998</x:v>
      </x:c>
      <x:c r="W104" s="648" t="n">
        <x:f>IF(AND(P104&gt;0,S104&lt;0),N104,0)</x:f>
        <x:v>0</x:v>
      </x:c>
      <x:c r="X104" s="648" t="n">
        <x:f>IF(AND(P104&gt;0,S104=0),N104,0)</x:f>
        <x:v>0.0003499999999999998</x:v>
      </x:c>
      <x:c r="Y104" s="648" t="n">
        <x:f>IF(Q104&gt;0,N104,0)</x:f>
        <x:v>0</x:v>
      </x:c>
      <x:c r="Z104" s="647" t="n">
        <x:f>IF(P104&gt;0,N104*S104,0)</x:f>
        <x:v>0</x:v>
      </x:c>
      <x:c r="AA104" s="647" t="n">
        <x:f>IF(Q104&gt;0,N104*T104,0)</x:f>
        <x:v>0</x:v>
      </x:c>
      <x:c r="AB104" s="647" t="n">
        <x:f>N104*R104</x:f>
        <x:v>10.499999999999993</x:v>
      </x:c>
      <x:c r="AC104" s="647" t="n">
        <x:f>IF(N104&gt;0,R104,999999)</x:f>
        <x:v>30000</x:v>
      </x:c>
      <x:c r="AD104" s="647" t="n">
        <x:f>IF(AND(N104&gt;0,P104&gt;0),S104,999999)</x:f>
        <x:v>0</x:v>
      </x:c>
      <x:c r="AE104" s="647" t="n">
        <x:f>IF(AND(N104&gt;0,Q104&gt;0),T104,999999)</x:f>
        <x:v>999999</x:v>
      </x:c>
      <x:c r="AF104" s="648" t="n">
        <x:f>B104*D104*F104*J104</x:f>
        <x:v>0.000126</x:v>
      </x:c>
      <x:c r="AG104" s="648" t="n">
        <x:f>IF(P104&gt;0,AF104,0)</x:f>
        <x:v>0.000126</x:v>
      </x:c>
      <x:c r="AH104" s="648" t="n">
        <x:f>IF(AND(P104&gt;0,S104&lt;0),AF104,0)</x:f>
        <x:v>0</x:v>
      </x:c>
      <x:c r="AI104" s="648" t="n">
        <x:f>IF(AND(P104&gt;0,S104=0),AF104,0)</x:f>
        <x:v>0.000126</x:v>
      </x:c>
      <x:c r="AJ104" s="648" t="n">
        <x:f>IF(R104&lt;30000,AF104,0)</x:f>
        <x:v>0</x:v>
      </x:c>
      <x:c r="AK104" s="647" t="n">
        <x:f>IF(P104&gt;0,AF104*S104,0)</x:f>
        <x:v>0</x:v>
      </x:c>
    </x:row>
    <x:row r="105" ht="22" customHeight="1">
      <x:c r="A105" s="19" t="str">
        <x:v>保守</x:v>
      </x:c>
      <x:c r="B105" s="23" t="n">
        <x:f>'114_降本系数'!B26</x:f>
        <x:v>0.35</x:v>
      </x:c>
      <x:c r="C105" s="19" t="str">
        <x:v>L1B</x:v>
      </x:c>
      <x:c r="D105" s="23" t="n">
        <x:f>'130_联合算法'!C18</x:f>
        <x:v>0.1</x:v>
      </x:c>
      <x:c r="E105" s="460" t="n">
        <x:f>'117_价格概率传导'!A6</x:f>
        <x:v>259900</x:v>
      </x:c>
      <x:c r="F105" s="23" t="n">
        <x:f>'117_价格概率传导'!C6</x:f>
        <x:v>0.06</x:v>
      </x:c>
      <x:c r="G105" s="23" t="n">
        <x:f>0</x:f>
        <x:v>0</x:v>
      </x:c>
      <x:c r="H105" s="23" t="n">
        <x:f>SUM('117_价格概率传导'!$C$6:$C$6)</x:f>
        <x:v>0.06</x:v>
      </x:c>
      <x:c r="I105" s="460" t="n">
        <x:f>'117_价格概率传导'!A18</x:f>
        <x:v>289900</x:v>
      </x:c>
      <x:c r="J105" s="23" t="n">
        <x:f>'117_价格概率传导'!C18</x:f>
        <x:v>0.34</x:v>
      </x:c>
      <x:c r="K105" s="23" t="n">
        <x:f>SUM('117_价格概率传导'!$C$16:$C$17)</x:f>
        <x:v>0.11</x:v>
      </x:c>
      <x:c r="L105" s="23" t="n">
        <x:f>SUM('117_价格概率传导'!$C$16:$C$18)</x:f>
        <x:v>0.45</x:v>
      </x:c>
      <x:c r="M105" s="23" t="n">
        <x:f>MAX(0,MIN(H105,L105)-MAX(G105,K105))</x:f>
        <x:v>0</x:v>
      </x:c>
      <x:c r="N105" s="23" t="n">
        <x:f>B105*D105*M105</x:f>
        <x:v>0</x:v>
      </x:c>
      <x:c r="O105" s="460" t="n">
        <x:f>MIN(289900,I105+10000)</x:f>
        <x:v>289900</x:v>
      </x:c>
      <x:c r="P105" s="460" t="n">
        <x:f>O105-30000</x:f>
        <x:v>259900</x:v>
      </x:c>
      <x:c r="Q105" s="460" t="str">
        <x:f>""</x:f>
      </x:c>
      <x:c r="R105" s="460" t="n">
        <x:f>O105-E105</x:f>
        <x:v>30000</x:v>
      </x:c>
      <x:c r="S105" s="460" t="n">
        <x:f>IF(P105&gt;0,P105-E105,"")</x:f>
        <x:v>0</x:v>
      </x:c>
      <x:c r="T105" s="460" t="str">
        <x:f>IF(Q105&gt;0,Q105-E105,"")</x:f>
      </x:c>
      <x:c r="U105" s="23" t="n">
        <x:f>IF(R105&lt;30000,N105,0)</x:f>
        <x:v>0</x:v>
      </x:c>
      <x:c r="V105" s="23" t="n">
        <x:f>IF(P105&gt;0,N105,0)</x:f>
        <x:v>0</x:v>
      </x:c>
      <x:c r="W105" s="23" t="n">
        <x:f>IF(AND(P105&gt;0,S105&lt;0),N105,0)</x:f>
        <x:v>0</x:v>
      </x:c>
      <x:c r="X105" s="23" t="n">
        <x:f>IF(AND(P105&gt;0,S105=0),N105,0)</x:f>
        <x:v>0</x:v>
      </x:c>
      <x:c r="Y105" s="23" t="n">
        <x:f>IF(Q105&gt;0,N105,0)</x:f>
        <x:v>0</x:v>
      </x:c>
      <x:c r="Z105" s="460" t="n">
        <x:f>IF(P105&gt;0,N105*S105,0)</x:f>
        <x:v>0</x:v>
      </x:c>
      <x:c r="AA105" s="460" t="n">
        <x:f>IF(Q105&gt;0,N105*T105,0)</x:f>
        <x:v>0</x:v>
      </x:c>
      <x:c r="AB105" s="460" t="n">
        <x:f>N105*R105</x:f>
        <x:v>0</x:v>
      </x:c>
      <x:c r="AC105" s="460" t="n">
        <x:f>IF(N105&gt;0,R105,999999)</x:f>
        <x:v>999999</x:v>
      </x:c>
      <x:c r="AD105" s="460" t="n">
        <x:f>IF(AND(N105&gt;0,P105&gt;0),S105,999999)</x:f>
        <x:v>999999</x:v>
      </x:c>
      <x:c r="AE105" s="460" t="n">
        <x:f>IF(AND(N105&gt;0,Q105&gt;0),T105,999999)</x:f>
        <x:v>999999</x:v>
      </x:c>
      <x:c r="AF105" s="23" t="n">
        <x:f>B105*D105*F105*J105</x:f>
        <x:v>0.000714</x:v>
      </x:c>
      <x:c r="AG105" s="23" t="n">
        <x:f>IF(P105&gt;0,AF105,0)</x:f>
        <x:v>0.000714</x:v>
      </x:c>
      <x:c r="AH105" s="23" t="n">
        <x:f>IF(AND(P105&gt;0,S105&lt;0),AF105,0)</x:f>
        <x:v>0</x:v>
      </x:c>
      <x:c r="AI105" s="23" t="n">
        <x:f>IF(AND(P105&gt;0,S105=0),AF105,0)</x:f>
        <x:v>0.000714</x:v>
      </x:c>
      <x:c r="AJ105" s="23" t="n">
        <x:f>IF(R105&lt;30000,AF105,0)</x:f>
        <x:v>0</x:v>
      </x:c>
      <x:c r="AK105" s="460" t="n">
        <x:f>IF(P105&gt;0,AF105*S105,0)</x:f>
        <x:v>0</x:v>
      </x:c>
    </x:row>
    <x:row r="106" ht="22" customHeight="1">
      <x:c r="A106" s="643" t="str">
        <x:v>保守</x:v>
      </x:c>
      <x:c r="B106" s="648" t="n">
        <x:f>'114_降本系数'!B26</x:f>
        <x:v>0.35</x:v>
      </x:c>
      <x:c r="C106" s="643" t="str">
        <x:v>L1B</x:v>
      </x:c>
      <x:c r="D106" s="648" t="n">
        <x:f>'130_联合算法'!C18</x:f>
        <x:v>0.1</x:v>
      </x:c>
      <x:c r="E106" s="647" t="n">
        <x:f>'117_价格概率传导'!A6</x:f>
        <x:v>259900</x:v>
      </x:c>
      <x:c r="F106" s="648" t="n">
        <x:f>'117_价格概率传导'!C6</x:f>
        <x:v>0.06</x:v>
      </x:c>
      <x:c r="G106" s="648" t="n">
        <x:f>0</x:f>
        <x:v>0</x:v>
      </x:c>
      <x:c r="H106" s="648" t="n">
        <x:f>SUM('117_价格概率传导'!$C$6:$C$6)</x:f>
        <x:v>0.06</x:v>
      </x:c>
      <x:c r="I106" s="647" t="n">
        <x:f>'117_价格概率传导'!A19</x:f>
        <x:v>279900</x:v>
      </x:c>
      <x:c r="J106" s="648" t="n">
        <x:f>'117_价格概率传导'!C19</x:f>
        <x:v>0.39</x:v>
      </x:c>
      <x:c r="K106" s="648" t="n">
        <x:f>SUM('117_价格概率传导'!$C$16:$C$18)</x:f>
        <x:v>0.45</x:v>
      </x:c>
      <x:c r="L106" s="648" t="n">
        <x:f>SUM('117_价格概率传导'!$C$16:$C$19)</x:f>
        <x:v>0.8400000000000001</x:v>
      </x:c>
      <x:c r="M106" s="648" t="n">
        <x:f>MAX(0,MIN(H106,L106)-MAX(G106,K106))</x:f>
        <x:v>0</x:v>
      </x:c>
      <x:c r="N106" s="648" t="n">
        <x:f>B106*D106*M106</x:f>
        <x:v>0</x:v>
      </x:c>
      <x:c r="O106" s="647" t="n">
        <x:f>MIN(289900,I106+10000)</x:f>
        <x:v>289900</x:v>
      </x:c>
      <x:c r="P106" s="647" t="n">
        <x:f>O106-30000</x:f>
        <x:v>259900</x:v>
      </x:c>
      <x:c r="Q106" s="647" t="str">
        <x:f>""</x:f>
      </x:c>
      <x:c r="R106" s="647" t="n">
        <x:f>O106-E106</x:f>
        <x:v>30000</x:v>
      </x:c>
      <x:c r="S106" s="647" t="n">
        <x:f>IF(P106&gt;0,P106-E106,"")</x:f>
        <x:v>0</x:v>
      </x:c>
      <x:c r="T106" s="647" t="str">
        <x:f>IF(Q106&gt;0,Q106-E106,"")</x:f>
      </x:c>
      <x:c r="U106" s="648" t="n">
        <x:f>IF(R106&lt;30000,N106,0)</x:f>
        <x:v>0</x:v>
      </x:c>
      <x:c r="V106" s="648" t="n">
        <x:f>IF(P106&gt;0,N106,0)</x:f>
        <x:v>0</x:v>
      </x:c>
      <x:c r="W106" s="648" t="n">
        <x:f>IF(AND(P106&gt;0,S106&lt;0),N106,0)</x:f>
        <x:v>0</x:v>
      </x:c>
      <x:c r="X106" s="648" t="n">
        <x:f>IF(AND(P106&gt;0,S106=0),N106,0)</x:f>
        <x:v>0</x:v>
      </x:c>
      <x:c r="Y106" s="648" t="n">
        <x:f>IF(Q106&gt;0,N106,0)</x:f>
        <x:v>0</x:v>
      </x:c>
      <x:c r="Z106" s="647" t="n">
        <x:f>IF(P106&gt;0,N106*S106,0)</x:f>
        <x:v>0</x:v>
      </x:c>
      <x:c r="AA106" s="647" t="n">
        <x:f>IF(Q106&gt;0,N106*T106,0)</x:f>
        <x:v>0</x:v>
      </x:c>
      <x:c r="AB106" s="647" t="n">
        <x:f>N106*R106</x:f>
        <x:v>0</x:v>
      </x:c>
      <x:c r="AC106" s="647" t="n">
        <x:f>IF(N106&gt;0,R106,999999)</x:f>
        <x:v>999999</x:v>
      </x:c>
      <x:c r="AD106" s="647" t="n">
        <x:f>IF(AND(N106&gt;0,P106&gt;0),S106,999999)</x:f>
        <x:v>999999</x:v>
      </x:c>
      <x:c r="AE106" s="647" t="n">
        <x:f>IF(AND(N106&gt;0,Q106&gt;0),T106,999999)</x:f>
        <x:v>999999</x:v>
      </x:c>
      <x:c r="AF106" s="648" t="n">
        <x:f>B106*D106*F106*J106</x:f>
        <x:v>0.000819</x:v>
      </x:c>
      <x:c r="AG106" s="648" t="n">
        <x:f>IF(P106&gt;0,AF106,0)</x:f>
        <x:v>0.000819</x:v>
      </x:c>
      <x:c r="AH106" s="648" t="n">
        <x:f>IF(AND(P106&gt;0,S106&lt;0),AF106,0)</x:f>
        <x:v>0</x:v>
      </x:c>
      <x:c r="AI106" s="648" t="n">
        <x:f>IF(AND(P106&gt;0,S106=0),AF106,0)</x:f>
        <x:v>0.000819</x:v>
      </x:c>
      <x:c r="AJ106" s="648" t="n">
        <x:f>IF(R106&lt;30000,AF106,0)</x:f>
        <x:v>0</x:v>
      </x:c>
      <x:c r="AK106" s="647" t="n">
        <x:f>IF(P106&gt;0,AF106*S106,0)</x:f>
        <x:v>0</x:v>
      </x:c>
    </x:row>
    <x:row r="107" ht="22" customHeight="1">
      <x:c r="A107" s="19" t="str">
        <x:v>保守</x:v>
      </x:c>
      <x:c r="B107" s="23" t="n">
        <x:f>'114_降本系数'!B26</x:f>
        <x:v>0.35</x:v>
      </x:c>
      <x:c r="C107" s="19" t="str">
        <x:v>L1B</x:v>
      </x:c>
      <x:c r="D107" s="23" t="n">
        <x:f>'130_联合算法'!C18</x:f>
        <x:v>0.1</x:v>
      </x:c>
      <x:c r="E107" s="460" t="n">
        <x:f>'117_价格概率传导'!A6</x:f>
        <x:v>259900</x:v>
      </x:c>
      <x:c r="F107" s="23" t="n">
        <x:f>'117_价格概率传导'!C6</x:f>
        <x:v>0.06</x:v>
      </x:c>
      <x:c r="G107" s="23" t="n">
        <x:f>0</x:f>
        <x:v>0</x:v>
      </x:c>
      <x:c r="H107" s="23" t="n">
        <x:f>SUM('117_价格概率传导'!$C$6:$C$6)</x:f>
        <x:v>0.06</x:v>
      </x:c>
      <x:c r="I107" s="460" t="n">
        <x:f>'117_价格概率传导'!A20</x:f>
        <x:v>269900</x:v>
      </x:c>
      <x:c r="J107" s="23" t="n">
        <x:f>'117_价格概率传导'!C20</x:f>
        <x:v>0.13</x:v>
      </x:c>
      <x:c r="K107" s="23" t="n">
        <x:f>SUM('117_价格概率传导'!$C$16:$C$19)</x:f>
        <x:v>0.8400000000000001</x:v>
      </x:c>
      <x:c r="L107" s="23" t="n">
        <x:f>SUM('117_价格概率传导'!$C$16:$C$20)</x:f>
        <x:v>0.9700000000000001</x:v>
      </x:c>
      <x:c r="M107" s="23" t="n">
        <x:f>MAX(0,MIN(H107,L107)-MAX(G107,K107))</x:f>
        <x:v>0</x:v>
      </x:c>
      <x:c r="N107" s="23" t="n">
        <x:f>B107*D107*M107</x:f>
        <x:v>0</x:v>
      </x:c>
      <x:c r="O107" s="460" t="n">
        <x:f>MIN(289900,I107+10000)</x:f>
        <x:v>279900</x:v>
      </x:c>
      <x:c r="P107" s="460" t="n">
        <x:f>O107-30000</x:f>
        <x:v>249900</x:v>
      </x:c>
      <x:c r="Q107" s="460" t="str">
        <x:f>""</x:f>
      </x:c>
      <x:c r="R107" s="460" t="n">
        <x:f>O107-E107</x:f>
        <x:v>20000</x:v>
      </x:c>
      <x:c r="S107" s="460" t="n">
        <x:f>IF(P107&gt;0,P107-E107,"")</x:f>
        <x:v>-10000</x:v>
      </x:c>
      <x:c r="T107" s="460" t="str">
        <x:f>IF(Q107&gt;0,Q107-E107,"")</x:f>
      </x:c>
      <x:c r="U107" s="23" t="n">
        <x:f>IF(R107&lt;30000,N107,0)</x:f>
        <x:v>0</x:v>
      </x:c>
      <x:c r="V107" s="23" t="n">
        <x:f>IF(P107&gt;0,N107,0)</x:f>
        <x:v>0</x:v>
      </x:c>
      <x:c r="W107" s="23" t="n">
        <x:f>IF(AND(P107&gt;0,S107&lt;0),N107,0)</x:f>
        <x:v>0</x:v>
      </x:c>
      <x:c r="X107" s="23" t="n">
        <x:f>IF(AND(P107&gt;0,S107=0),N107,0)</x:f>
        <x:v>0</x:v>
      </x:c>
      <x:c r="Y107" s="23" t="n">
        <x:f>IF(Q107&gt;0,N107,0)</x:f>
        <x:v>0</x:v>
      </x:c>
      <x:c r="Z107" s="460" t="n">
        <x:f>IF(P107&gt;0,N107*S107,0)</x:f>
        <x:v>0</x:v>
      </x:c>
      <x:c r="AA107" s="460" t="n">
        <x:f>IF(Q107&gt;0,N107*T107,0)</x:f>
        <x:v>0</x:v>
      </x:c>
      <x:c r="AB107" s="460" t="n">
        <x:f>N107*R107</x:f>
        <x:v>0</x:v>
      </x:c>
      <x:c r="AC107" s="460" t="n">
        <x:f>IF(N107&gt;0,R107,999999)</x:f>
        <x:v>999999</x:v>
      </x:c>
      <x:c r="AD107" s="460" t="n">
        <x:f>IF(AND(N107&gt;0,P107&gt;0),S107,999999)</x:f>
        <x:v>999999</x:v>
      </x:c>
      <x:c r="AE107" s="460" t="n">
        <x:f>IF(AND(N107&gt;0,Q107&gt;0),T107,999999)</x:f>
        <x:v>999999</x:v>
      </x:c>
      <x:c r="AF107" s="23" t="n">
        <x:f>B107*D107*F107*J107</x:f>
        <x:v>0.00027299999999999997</x:v>
      </x:c>
      <x:c r="AG107" s="23" t="n">
        <x:f>IF(P107&gt;0,AF107,0)</x:f>
        <x:v>0.00027299999999999997</x:v>
      </x:c>
      <x:c r="AH107" s="23" t="n">
        <x:f>IF(AND(P107&gt;0,S107&lt;0),AF107,0)</x:f>
        <x:v>0.00027299999999999997</x:v>
      </x:c>
      <x:c r="AI107" s="23" t="n">
        <x:f>IF(AND(P107&gt;0,S107=0),AF107,0)</x:f>
        <x:v>0</x:v>
      </x:c>
      <x:c r="AJ107" s="23" t="n">
        <x:f>IF(R107&lt;30000,AF107,0)</x:f>
        <x:v>0.00027299999999999997</x:v>
      </x:c>
      <x:c r="AK107" s="460" t="n">
        <x:f>IF(P107&gt;0,AF107*S107,0)</x:f>
        <x:v>-2.7299999999999995</x:v>
      </x:c>
    </x:row>
    <x:row r="108" ht="22" customHeight="1">
      <x:c r="A108" s="643" t="str">
        <x:v>保守</x:v>
      </x:c>
      <x:c r="B108" s="648" t="n">
        <x:f>'114_降本系数'!B26</x:f>
        <x:v>0.35</x:v>
      </x:c>
      <x:c r="C108" s="643" t="str">
        <x:v>L1B</x:v>
      </x:c>
      <x:c r="D108" s="648" t="n">
        <x:f>'130_联合算法'!C18</x:f>
        <x:v>0.1</x:v>
      </x:c>
      <x:c r="E108" s="647" t="n">
        <x:f>'117_价格概率传导'!A6</x:f>
        <x:v>259900</x:v>
      </x:c>
      <x:c r="F108" s="648" t="n">
        <x:f>'117_价格概率传导'!C6</x:f>
        <x:v>0.06</x:v>
      </x:c>
      <x:c r="G108" s="648" t="n">
        <x:f>0</x:f>
        <x:v>0</x:v>
      </x:c>
      <x:c r="H108" s="648" t="n">
        <x:f>SUM('117_价格概率传导'!$C$6:$C$6)</x:f>
        <x:v>0.06</x:v>
      </x:c>
      <x:c r="I108" s="647" t="n">
        <x:f>'117_价格概率传导'!A21</x:f>
        <x:v>259900</x:v>
      </x:c>
      <x:c r="J108" s="648" t="n">
        <x:f>'117_价格概率传导'!C21</x:f>
        <x:v>0.03</x:v>
      </x:c>
      <x:c r="K108" s="648" t="n">
        <x:f>SUM('117_价格概率传导'!$C$16:$C$20)</x:f>
        <x:v>0.9700000000000001</x:v>
      </x:c>
      <x:c r="L108" s="648" t="n">
        <x:f>SUM('117_价格概率传导'!$C$16:$C$21)</x:f>
        <x:v>1</x:v>
      </x:c>
      <x:c r="M108" s="648" t="n">
        <x:f>MAX(0,MIN(H108,L108)-MAX(G108,K108))</x:f>
        <x:v>0</x:v>
      </x:c>
      <x:c r="N108" s="648" t="n">
        <x:f>B108*D108*M108</x:f>
        <x:v>0</x:v>
      </x:c>
      <x:c r="O108" s="647" t="n">
        <x:f>MIN(289900,I108+10000)</x:f>
        <x:v>269900</x:v>
      </x:c>
      <x:c r="P108" s="647" t="n">
        <x:f>O108-30000</x:f>
        <x:v>239900</x:v>
      </x:c>
      <x:c r="Q108" s="647" t="str">
        <x:f>""</x:f>
      </x:c>
      <x:c r="R108" s="647" t="n">
        <x:f>O108-E108</x:f>
        <x:v>10000</x:v>
      </x:c>
      <x:c r="S108" s="647" t="n">
        <x:f>IF(P108&gt;0,P108-E108,"")</x:f>
        <x:v>-20000</x:v>
      </x:c>
      <x:c r="T108" s="647" t="str">
        <x:f>IF(Q108&gt;0,Q108-E108,"")</x:f>
      </x:c>
      <x:c r="U108" s="648" t="n">
        <x:f>IF(R108&lt;30000,N108,0)</x:f>
        <x:v>0</x:v>
      </x:c>
      <x:c r="V108" s="648" t="n">
        <x:f>IF(P108&gt;0,N108,0)</x:f>
        <x:v>0</x:v>
      </x:c>
      <x:c r="W108" s="648" t="n">
        <x:f>IF(AND(P108&gt;0,S108&lt;0),N108,0)</x:f>
        <x:v>0</x:v>
      </x:c>
      <x:c r="X108" s="648" t="n">
        <x:f>IF(AND(P108&gt;0,S108=0),N108,0)</x:f>
        <x:v>0</x:v>
      </x:c>
      <x:c r="Y108" s="648" t="n">
        <x:f>IF(Q108&gt;0,N108,0)</x:f>
        <x:v>0</x:v>
      </x:c>
      <x:c r="Z108" s="647" t="n">
        <x:f>IF(P108&gt;0,N108*S108,0)</x:f>
        <x:v>0</x:v>
      </x:c>
      <x:c r="AA108" s="647" t="n">
        <x:f>IF(Q108&gt;0,N108*T108,0)</x:f>
        <x:v>0</x:v>
      </x:c>
      <x:c r="AB108" s="647" t="n">
        <x:f>N108*R108</x:f>
        <x:v>0</x:v>
      </x:c>
      <x:c r="AC108" s="647" t="n">
        <x:f>IF(N108&gt;0,R108,999999)</x:f>
        <x:v>999999</x:v>
      </x:c>
      <x:c r="AD108" s="647" t="n">
        <x:f>IF(AND(N108&gt;0,P108&gt;0),S108,999999)</x:f>
        <x:v>999999</x:v>
      </x:c>
      <x:c r="AE108" s="647" t="n">
        <x:f>IF(AND(N108&gt;0,Q108&gt;0),T108,999999)</x:f>
        <x:v>999999</x:v>
      </x:c>
      <x:c r="AF108" s="648" t="n">
        <x:f>B108*D108*F108*J108</x:f>
        <x:v>0.000063</x:v>
      </x:c>
      <x:c r="AG108" s="648" t="n">
        <x:f>IF(P108&gt;0,AF108,0)</x:f>
        <x:v>0.000063</x:v>
      </x:c>
      <x:c r="AH108" s="648" t="n">
        <x:f>IF(AND(P108&gt;0,S108&lt;0),AF108,0)</x:f>
        <x:v>0.000063</x:v>
      </x:c>
      <x:c r="AI108" s="648" t="n">
        <x:f>IF(AND(P108&gt;0,S108=0),AF108,0)</x:f>
        <x:v>0</x:v>
      </x:c>
      <x:c r="AJ108" s="648" t="n">
        <x:f>IF(R108&lt;30000,AF108,0)</x:f>
        <x:v>0.000063</x:v>
      </x:c>
      <x:c r="AK108" s="647" t="n">
        <x:f>IF(P108&gt;0,AF108*S108,0)</x:f>
        <x:v>-1.26</x:v>
      </x:c>
    </x:row>
    <x:row r="109" ht="22" customHeight="1">
      <x:c r="A109" s="19" t="str">
        <x:v>保守</x:v>
      </x:c>
      <x:c r="B109" s="23" t="n">
        <x:f>'114_降本系数'!B26</x:f>
        <x:v>0.35</x:v>
      </x:c>
      <x:c r="C109" s="19" t="str">
        <x:v>L1B</x:v>
      </x:c>
      <x:c r="D109" s="23" t="n">
        <x:f>'130_联合算法'!C18</x:f>
        <x:v>0.1</x:v>
      </x:c>
      <x:c r="E109" s="460" t="n">
        <x:f>'117_价格概率传导'!A7</x:f>
        <x:v>253900</x:v>
      </x:c>
      <x:c r="F109" s="23" t="n">
        <x:f>'117_价格概率传导'!C7</x:f>
        <x:v>0.07</x:v>
      </x:c>
      <x:c r="G109" s="23" t="n">
        <x:f>SUM('117_价格概率传导'!$C$6:$C$6)</x:f>
        <x:v>0.06</x:v>
      </x:c>
      <x:c r="H109" s="23" t="n">
        <x:f>SUM('117_价格概率传导'!$C$6:$C$7)</x:f>
        <x:v>0.13</x:v>
      </x:c>
      <x:c r="I109" s="460" t="n">
        <x:f>'117_价格概率传导'!A16</x:f>
        <x:v>299900</x:v>
      </x:c>
      <x:c r="J109" s="23" t="n">
        <x:f>'117_价格概率传导'!C16</x:f>
        <x:v>0.05</x:v>
      </x:c>
      <x:c r="K109" s="23" t="n">
        <x:f>0</x:f>
        <x:v>0</x:v>
      </x:c>
      <x:c r="L109" s="23" t="n">
        <x:f>SUM('117_价格概率传导'!$C$16:$C$16)</x:f>
        <x:v>0.05</x:v>
      </x:c>
      <x:c r="M109" s="23" t="n">
        <x:f>MAX(0,MIN(H109,L109)-MAX(G109,K109))</x:f>
        <x:v>0</x:v>
      </x:c>
      <x:c r="N109" s="23" t="n">
        <x:f>B109*D109*M109</x:f>
        <x:v>0</x:v>
      </x:c>
      <x:c r="O109" s="460" t="n">
        <x:f>MIN(289900,I109+10000)</x:f>
        <x:v>289900</x:v>
      </x:c>
      <x:c r="P109" s="460" t="n">
        <x:f>O109-30000</x:f>
        <x:v>259900</x:v>
      </x:c>
      <x:c r="Q109" s="460" t="str">
        <x:f>""</x:f>
      </x:c>
      <x:c r="R109" s="460" t="n">
        <x:f>O109-E109</x:f>
        <x:v>36000</x:v>
      </x:c>
      <x:c r="S109" s="460" t="n">
        <x:f>IF(P109&gt;0,P109-E109,"")</x:f>
        <x:v>6000</x:v>
      </x:c>
      <x:c r="T109" s="460" t="str">
        <x:f>IF(Q109&gt;0,Q109-E109,"")</x:f>
      </x:c>
      <x:c r="U109" s="23" t="n">
        <x:f>IF(R109&lt;30000,N109,0)</x:f>
        <x:v>0</x:v>
      </x:c>
      <x:c r="V109" s="23" t="n">
        <x:f>IF(P109&gt;0,N109,0)</x:f>
        <x:v>0</x:v>
      </x:c>
      <x:c r="W109" s="23" t="n">
        <x:f>IF(AND(P109&gt;0,S109&lt;0),N109,0)</x:f>
        <x:v>0</x:v>
      </x:c>
      <x:c r="X109" s="23" t="n">
        <x:f>IF(AND(P109&gt;0,S109=0),N109,0)</x:f>
        <x:v>0</x:v>
      </x:c>
      <x:c r="Y109" s="23" t="n">
        <x:f>IF(Q109&gt;0,N109,0)</x:f>
        <x:v>0</x:v>
      </x:c>
      <x:c r="Z109" s="460" t="n">
        <x:f>IF(P109&gt;0,N109*S109,0)</x:f>
        <x:v>0</x:v>
      </x:c>
      <x:c r="AA109" s="460" t="n">
        <x:f>IF(Q109&gt;0,N109*T109,0)</x:f>
        <x:v>0</x:v>
      </x:c>
      <x:c r="AB109" s="460" t="n">
        <x:f>N109*R109</x:f>
        <x:v>0</x:v>
      </x:c>
      <x:c r="AC109" s="460" t="n">
        <x:f>IF(N109&gt;0,R109,999999)</x:f>
        <x:v>999999</x:v>
      </x:c>
      <x:c r="AD109" s="460" t="n">
        <x:f>IF(AND(N109&gt;0,P109&gt;0),S109,999999)</x:f>
        <x:v>999999</x:v>
      </x:c>
      <x:c r="AE109" s="460" t="n">
        <x:f>IF(AND(N109&gt;0,Q109&gt;0),T109,999999)</x:f>
        <x:v>999999</x:v>
      </x:c>
      <x:c r="AF109" s="23" t="n">
        <x:f>B109*D109*F109*J109</x:f>
        <x:v>0.0001225</x:v>
      </x:c>
      <x:c r="AG109" s="23" t="n">
        <x:f>IF(P109&gt;0,AF109,0)</x:f>
        <x:v>0.0001225</x:v>
      </x:c>
      <x:c r="AH109" s="23" t="n">
        <x:f>IF(AND(P109&gt;0,S109&lt;0),AF109,0)</x:f>
        <x:v>0</x:v>
      </x:c>
      <x:c r="AI109" s="23" t="n">
        <x:f>IF(AND(P109&gt;0,S109=0),AF109,0)</x:f>
        <x:v>0</x:v>
      </x:c>
      <x:c r="AJ109" s="23" t="n">
        <x:f>IF(R109&lt;30000,AF109,0)</x:f>
        <x:v>0</x:v>
      </x:c>
      <x:c r="AK109" s="460" t="n">
        <x:f>IF(P109&gt;0,AF109*S109,0)</x:f>
        <x:v>0.735</x:v>
      </x:c>
    </x:row>
    <x:row r="110" ht="22" customHeight="1">
      <x:c r="A110" s="643" t="str">
        <x:v>保守</x:v>
      </x:c>
      <x:c r="B110" s="648" t="n">
        <x:f>'114_降本系数'!B26</x:f>
        <x:v>0.35</x:v>
      </x:c>
      <x:c r="C110" s="643" t="str">
        <x:v>L1B</x:v>
      </x:c>
      <x:c r="D110" s="648" t="n">
        <x:f>'130_联合算法'!C18</x:f>
        <x:v>0.1</x:v>
      </x:c>
      <x:c r="E110" s="647" t="n">
        <x:f>'117_价格概率传导'!A7</x:f>
        <x:v>253900</x:v>
      </x:c>
      <x:c r="F110" s="648" t="n">
        <x:f>'117_价格概率传导'!C7</x:f>
        <x:v>0.07</x:v>
      </x:c>
      <x:c r="G110" s="648" t="n">
        <x:f>SUM('117_价格概率传导'!$C$6:$C$6)</x:f>
        <x:v>0.06</x:v>
      </x:c>
      <x:c r="H110" s="648" t="n">
        <x:f>SUM('117_价格概率传导'!$C$6:$C$7)</x:f>
        <x:v>0.13</x:v>
      </x:c>
      <x:c r="I110" s="647" t="n">
        <x:f>'117_价格概率传导'!A17</x:f>
        <x:v>293900</x:v>
      </x:c>
      <x:c r="J110" s="648" t="n">
        <x:f>'117_价格概率传导'!C17</x:f>
        <x:v>0.06</x:v>
      </x:c>
      <x:c r="K110" s="648" t="n">
        <x:f>SUM('117_价格概率传导'!$C$16:$C$16)</x:f>
        <x:v>0.05</x:v>
      </x:c>
      <x:c r="L110" s="648" t="n">
        <x:f>SUM('117_价格概率传导'!$C$16:$C$17)</x:f>
        <x:v>0.11</x:v>
      </x:c>
      <x:c r="M110" s="648" t="n">
        <x:f>MAX(0,MIN(H110,L110)-MAX(G110,K110))</x:f>
        <x:v>0.05</x:v>
      </x:c>
      <x:c r="N110" s="648" t="n">
        <x:f>B110*D110*M110</x:f>
        <x:v>0.0017499999999999998</x:v>
      </x:c>
      <x:c r="O110" s="647" t="n">
        <x:f>MIN(289900,I110+10000)</x:f>
        <x:v>289900</x:v>
      </x:c>
      <x:c r="P110" s="647" t="n">
        <x:f>O110-30000</x:f>
        <x:v>259900</x:v>
      </x:c>
      <x:c r="Q110" s="647" t="str">
        <x:f>""</x:f>
      </x:c>
      <x:c r="R110" s="647" t="n">
        <x:f>O110-E110</x:f>
        <x:v>36000</x:v>
      </x:c>
      <x:c r="S110" s="647" t="n">
        <x:f>IF(P110&gt;0,P110-E110,"")</x:f>
        <x:v>6000</x:v>
      </x:c>
      <x:c r="T110" s="647" t="str">
        <x:f>IF(Q110&gt;0,Q110-E110,"")</x:f>
      </x:c>
      <x:c r="U110" s="648" t="n">
        <x:f>IF(R110&lt;30000,N110,0)</x:f>
        <x:v>0</x:v>
      </x:c>
      <x:c r="V110" s="648" t="n">
        <x:f>IF(P110&gt;0,N110,0)</x:f>
        <x:v>0.0017499999999999998</x:v>
      </x:c>
      <x:c r="W110" s="648" t="n">
        <x:f>IF(AND(P110&gt;0,S110&lt;0),N110,0)</x:f>
        <x:v>0</x:v>
      </x:c>
      <x:c r="X110" s="648" t="n">
        <x:f>IF(AND(P110&gt;0,S110=0),N110,0)</x:f>
        <x:v>0</x:v>
      </x:c>
      <x:c r="Y110" s="648" t="n">
        <x:f>IF(Q110&gt;0,N110,0)</x:f>
        <x:v>0</x:v>
      </x:c>
      <x:c r="Z110" s="647" t="n">
        <x:f>IF(P110&gt;0,N110*S110,0)</x:f>
        <x:v>10.499999999999998</x:v>
      </x:c>
      <x:c r="AA110" s="647" t="n">
        <x:f>IF(Q110&gt;0,N110*T110,0)</x:f>
        <x:v>0</x:v>
      </x:c>
      <x:c r="AB110" s="647" t="n">
        <x:f>N110*R110</x:f>
        <x:v>62.99999999999999</x:v>
      </x:c>
      <x:c r="AC110" s="647" t="n">
        <x:f>IF(N110&gt;0,R110,999999)</x:f>
        <x:v>36000</x:v>
      </x:c>
      <x:c r="AD110" s="647" t="n">
        <x:f>IF(AND(N110&gt;0,P110&gt;0),S110,999999)</x:f>
        <x:v>6000</x:v>
      </x:c>
      <x:c r="AE110" s="647" t="n">
        <x:f>IF(AND(N110&gt;0,Q110&gt;0),T110,999999)</x:f>
        <x:v>999999</x:v>
      </x:c>
      <x:c r="AF110" s="648" t="n">
        <x:f>B110*D110*F110*J110</x:f>
        <x:v>0.000147</x:v>
      </x:c>
      <x:c r="AG110" s="648" t="n">
        <x:f>IF(P110&gt;0,AF110,0)</x:f>
        <x:v>0.000147</x:v>
      </x:c>
      <x:c r="AH110" s="648" t="n">
        <x:f>IF(AND(P110&gt;0,S110&lt;0),AF110,0)</x:f>
        <x:v>0</x:v>
      </x:c>
      <x:c r="AI110" s="648" t="n">
        <x:f>IF(AND(P110&gt;0,S110=0),AF110,0)</x:f>
        <x:v>0</x:v>
      </x:c>
      <x:c r="AJ110" s="648" t="n">
        <x:f>IF(R110&lt;30000,AF110,0)</x:f>
        <x:v>0</x:v>
      </x:c>
      <x:c r="AK110" s="647" t="n">
        <x:f>IF(P110&gt;0,AF110*S110,0)</x:f>
        <x:v>0.882</x:v>
      </x:c>
    </x:row>
    <x:row r="111" ht="22" customHeight="1">
      <x:c r="A111" s="19" t="str">
        <x:v>保守</x:v>
      </x:c>
      <x:c r="B111" s="23" t="n">
        <x:f>'114_降本系数'!B26</x:f>
        <x:v>0.35</x:v>
      </x:c>
      <x:c r="C111" s="19" t="str">
        <x:v>L1B</x:v>
      </x:c>
      <x:c r="D111" s="23" t="n">
        <x:f>'130_联合算法'!C18</x:f>
        <x:v>0.1</x:v>
      </x:c>
      <x:c r="E111" s="460" t="n">
        <x:f>'117_价格概率传导'!A7</x:f>
        <x:v>253900</x:v>
      </x:c>
      <x:c r="F111" s="23" t="n">
        <x:f>'117_价格概率传导'!C7</x:f>
        <x:v>0.07</x:v>
      </x:c>
      <x:c r="G111" s="23" t="n">
        <x:f>SUM('117_价格概率传导'!$C$6:$C$6)</x:f>
        <x:v>0.06</x:v>
      </x:c>
      <x:c r="H111" s="23" t="n">
        <x:f>SUM('117_价格概率传导'!$C$6:$C$7)</x:f>
        <x:v>0.13</x:v>
      </x:c>
      <x:c r="I111" s="460" t="n">
        <x:f>'117_价格概率传导'!A18</x:f>
        <x:v>289900</x:v>
      </x:c>
      <x:c r="J111" s="23" t="n">
        <x:f>'117_价格概率传导'!C18</x:f>
        <x:v>0.34</x:v>
      </x:c>
      <x:c r="K111" s="23" t="n">
        <x:f>SUM('117_价格概率传导'!$C$16:$C$17)</x:f>
        <x:v>0.11</x:v>
      </x:c>
      <x:c r="L111" s="23" t="n">
        <x:f>SUM('117_价格概率传导'!$C$16:$C$18)</x:f>
        <x:v>0.45</x:v>
      </x:c>
      <x:c r="M111" s="23" t="n">
        <x:f>MAX(0,MIN(H111,L111)-MAX(G111,K111))</x:f>
        <x:v>0.020000000000000004</x:v>
      </x:c>
      <x:c r="N111" s="23" t="n">
        <x:f>B111*D111*M111</x:f>
        <x:v>0.0007000000000000001</x:v>
      </x:c>
      <x:c r="O111" s="460" t="n">
        <x:f>MIN(289900,I111+10000)</x:f>
        <x:v>289900</x:v>
      </x:c>
      <x:c r="P111" s="460" t="n">
        <x:f>O111-30000</x:f>
        <x:v>259900</x:v>
      </x:c>
      <x:c r="Q111" s="460" t="str">
        <x:f>""</x:f>
      </x:c>
      <x:c r="R111" s="460" t="n">
        <x:f>O111-E111</x:f>
        <x:v>36000</x:v>
      </x:c>
      <x:c r="S111" s="460" t="n">
        <x:f>IF(P111&gt;0,P111-E111,"")</x:f>
        <x:v>6000</x:v>
      </x:c>
      <x:c r="T111" s="460" t="str">
        <x:f>IF(Q111&gt;0,Q111-E111,"")</x:f>
      </x:c>
      <x:c r="U111" s="23" t="n">
        <x:f>IF(R111&lt;30000,N111,0)</x:f>
        <x:v>0</x:v>
      </x:c>
      <x:c r="V111" s="23" t="n">
        <x:f>IF(P111&gt;0,N111,0)</x:f>
        <x:v>0.0007000000000000001</x:v>
      </x:c>
      <x:c r="W111" s="23" t="n">
        <x:f>IF(AND(P111&gt;0,S111&lt;0),N111,0)</x:f>
        <x:v>0</x:v>
      </x:c>
      <x:c r="X111" s="23" t="n">
        <x:f>IF(AND(P111&gt;0,S111=0),N111,0)</x:f>
        <x:v>0</x:v>
      </x:c>
      <x:c r="Y111" s="23" t="n">
        <x:f>IF(Q111&gt;0,N111,0)</x:f>
        <x:v>0</x:v>
      </x:c>
      <x:c r="Z111" s="460" t="n">
        <x:f>IF(P111&gt;0,N111*S111,0)</x:f>
        <x:v>4.2</x:v>
      </x:c>
      <x:c r="AA111" s="460" t="n">
        <x:f>IF(Q111&gt;0,N111*T111,0)</x:f>
        <x:v>0</x:v>
      </x:c>
      <x:c r="AB111" s="460" t="n">
        <x:f>N111*R111</x:f>
        <x:v>25.200000000000003</x:v>
      </x:c>
      <x:c r="AC111" s="460" t="n">
        <x:f>IF(N111&gt;0,R111,999999)</x:f>
        <x:v>36000</x:v>
      </x:c>
      <x:c r="AD111" s="460" t="n">
        <x:f>IF(AND(N111&gt;0,P111&gt;0),S111,999999)</x:f>
        <x:v>6000</x:v>
      </x:c>
      <x:c r="AE111" s="460" t="n">
        <x:f>IF(AND(N111&gt;0,Q111&gt;0),T111,999999)</x:f>
        <x:v>999999</x:v>
      </x:c>
      <x:c r="AF111" s="23" t="n">
        <x:f>B111*D111*F111*J111</x:f>
        <x:v>0.0008330000000000001</x:v>
      </x:c>
      <x:c r="AG111" s="23" t="n">
        <x:f>IF(P111&gt;0,AF111,0)</x:f>
        <x:v>0.0008330000000000001</x:v>
      </x:c>
      <x:c r="AH111" s="23" t="n">
        <x:f>IF(AND(P111&gt;0,S111&lt;0),AF111,0)</x:f>
        <x:v>0</x:v>
      </x:c>
      <x:c r="AI111" s="23" t="n">
        <x:f>IF(AND(P111&gt;0,S111=0),AF111,0)</x:f>
        <x:v>0</x:v>
      </x:c>
      <x:c r="AJ111" s="23" t="n">
        <x:f>IF(R111&lt;30000,AF111,0)</x:f>
        <x:v>0</x:v>
      </x:c>
      <x:c r="AK111" s="460" t="n">
        <x:f>IF(P111&gt;0,AF111*S111,0)</x:f>
        <x:v>4.998</x:v>
      </x:c>
    </x:row>
    <x:row r="112" ht="22" customHeight="1">
      <x:c r="A112" s="643" t="str">
        <x:v>保守</x:v>
      </x:c>
      <x:c r="B112" s="648" t="n">
        <x:f>'114_降本系数'!B26</x:f>
        <x:v>0.35</x:v>
      </x:c>
      <x:c r="C112" s="643" t="str">
        <x:v>L1B</x:v>
      </x:c>
      <x:c r="D112" s="648" t="n">
        <x:f>'130_联合算法'!C18</x:f>
        <x:v>0.1</x:v>
      </x:c>
      <x:c r="E112" s="647" t="n">
        <x:f>'117_价格概率传导'!A7</x:f>
        <x:v>253900</x:v>
      </x:c>
      <x:c r="F112" s="648" t="n">
        <x:f>'117_价格概率传导'!C7</x:f>
        <x:v>0.07</x:v>
      </x:c>
      <x:c r="G112" s="648" t="n">
        <x:f>SUM('117_价格概率传导'!$C$6:$C$6)</x:f>
        <x:v>0.06</x:v>
      </x:c>
      <x:c r="H112" s="648" t="n">
        <x:f>SUM('117_价格概率传导'!$C$6:$C$7)</x:f>
        <x:v>0.13</x:v>
      </x:c>
      <x:c r="I112" s="647" t="n">
        <x:f>'117_价格概率传导'!A19</x:f>
        <x:v>279900</x:v>
      </x:c>
      <x:c r="J112" s="648" t="n">
        <x:f>'117_价格概率传导'!C19</x:f>
        <x:v>0.39</x:v>
      </x:c>
      <x:c r="K112" s="648" t="n">
        <x:f>SUM('117_价格概率传导'!$C$16:$C$18)</x:f>
        <x:v>0.45</x:v>
      </x:c>
      <x:c r="L112" s="648" t="n">
        <x:f>SUM('117_价格概率传导'!$C$16:$C$19)</x:f>
        <x:v>0.8400000000000001</x:v>
      </x:c>
      <x:c r="M112" s="648" t="n">
        <x:f>MAX(0,MIN(H112,L112)-MAX(G112,K112))</x:f>
        <x:v>0</x:v>
      </x:c>
      <x:c r="N112" s="648" t="n">
        <x:f>B112*D112*M112</x:f>
        <x:v>0</x:v>
      </x:c>
      <x:c r="O112" s="647" t="n">
        <x:f>MIN(289900,I112+10000)</x:f>
        <x:v>289900</x:v>
      </x:c>
      <x:c r="P112" s="647" t="n">
        <x:f>O112-30000</x:f>
        <x:v>259900</x:v>
      </x:c>
      <x:c r="Q112" s="647" t="str">
        <x:f>""</x:f>
      </x:c>
      <x:c r="R112" s="647" t="n">
        <x:f>O112-E112</x:f>
        <x:v>36000</x:v>
      </x:c>
      <x:c r="S112" s="647" t="n">
        <x:f>IF(P112&gt;0,P112-E112,"")</x:f>
        <x:v>6000</x:v>
      </x:c>
      <x:c r="T112" s="647" t="str">
        <x:f>IF(Q112&gt;0,Q112-E112,"")</x:f>
      </x:c>
      <x:c r="U112" s="648" t="n">
        <x:f>IF(R112&lt;30000,N112,0)</x:f>
        <x:v>0</x:v>
      </x:c>
      <x:c r="V112" s="648" t="n">
        <x:f>IF(P112&gt;0,N112,0)</x:f>
        <x:v>0</x:v>
      </x:c>
      <x:c r="W112" s="648" t="n">
        <x:f>IF(AND(P112&gt;0,S112&lt;0),N112,0)</x:f>
        <x:v>0</x:v>
      </x:c>
      <x:c r="X112" s="648" t="n">
        <x:f>IF(AND(P112&gt;0,S112=0),N112,0)</x:f>
        <x:v>0</x:v>
      </x:c>
      <x:c r="Y112" s="648" t="n">
        <x:f>IF(Q112&gt;0,N112,0)</x:f>
        <x:v>0</x:v>
      </x:c>
      <x:c r="Z112" s="647" t="n">
        <x:f>IF(P112&gt;0,N112*S112,0)</x:f>
        <x:v>0</x:v>
      </x:c>
      <x:c r="AA112" s="647" t="n">
        <x:f>IF(Q112&gt;0,N112*T112,0)</x:f>
        <x:v>0</x:v>
      </x:c>
      <x:c r="AB112" s="647" t="n">
        <x:f>N112*R112</x:f>
        <x:v>0</x:v>
      </x:c>
      <x:c r="AC112" s="647" t="n">
        <x:f>IF(N112&gt;0,R112,999999)</x:f>
        <x:v>999999</x:v>
      </x:c>
      <x:c r="AD112" s="647" t="n">
        <x:f>IF(AND(N112&gt;0,P112&gt;0),S112,999999)</x:f>
        <x:v>999999</x:v>
      </x:c>
      <x:c r="AE112" s="647" t="n">
        <x:f>IF(AND(N112&gt;0,Q112&gt;0),T112,999999)</x:f>
        <x:v>999999</x:v>
      </x:c>
      <x:c r="AF112" s="648" t="n">
        <x:f>B112*D112*F112*J112</x:f>
        <x:v>0.0009555</x:v>
      </x:c>
      <x:c r="AG112" s="648" t="n">
        <x:f>IF(P112&gt;0,AF112,0)</x:f>
        <x:v>0.0009555</x:v>
      </x:c>
      <x:c r="AH112" s="648" t="n">
        <x:f>IF(AND(P112&gt;0,S112&lt;0),AF112,0)</x:f>
        <x:v>0</x:v>
      </x:c>
      <x:c r="AI112" s="648" t="n">
        <x:f>IF(AND(P112&gt;0,S112=0),AF112,0)</x:f>
        <x:v>0</x:v>
      </x:c>
      <x:c r="AJ112" s="648" t="n">
        <x:f>IF(R112&lt;30000,AF112,0)</x:f>
        <x:v>0</x:v>
      </x:c>
      <x:c r="AK112" s="647" t="n">
        <x:f>IF(P112&gt;0,AF112*S112,0)</x:f>
        <x:v>5.733</x:v>
      </x:c>
    </x:row>
    <x:row r="113" ht="22" customHeight="1">
      <x:c r="A113" s="19" t="str">
        <x:v>保守</x:v>
      </x:c>
      <x:c r="B113" s="23" t="n">
        <x:f>'114_降本系数'!B26</x:f>
        <x:v>0.35</x:v>
      </x:c>
      <x:c r="C113" s="19" t="str">
        <x:v>L1B</x:v>
      </x:c>
      <x:c r="D113" s="23" t="n">
        <x:f>'130_联合算法'!C18</x:f>
        <x:v>0.1</x:v>
      </x:c>
      <x:c r="E113" s="460" t="n">
        <x:f>'117_价格概率传导'!A7</x:f>
        <x:v>253900</x:v>
      </x:c>
      <x:c r="F113" s="23" t="n">
        <x:f>'117_价格概率传导'!C7</x:f>
        <x:v>0.07</x:v>
      </x:c>
      <x:c r="G113" s="23" t="n">
        <x:f>SUM('117_价格概率传导'!$C$6:$C$6)</x:f>
        <x:v>0.06</x:v>
      </x:c>
      <x:c r="H113" s="23" t="n">
        <x:f>SUM('117_价格概率传导'!$C$6:$C$7)</x:f>
        <x:v>0.13</x:v>
      </x:c>
      <x:c r="I113" s="460" t="n">
        <x:f>'117_价格概率传导'!A20</x:f>
        <x:v>269900</x:v>
      </x:c>
      <x:c r="J113" s="23" t="n">
        <x:f>'117_价格概率传导'!C20</x:f>
        <x:v>0.13</x:v>
      </x:c>
      <x:c r="K113" s="23" t="n">
        <x:f>SUM('117_价格概率传导'!$C$16:$C$19)</x:f>
        <x:v>0.8400000000000001</x:v>
      </x:c>
      <x:c r="L113" s="23" t="n">
        <x:f>SUM('117_价格概率传导'!$C$16:$C$20)</x:f>
        <x:v>0.9700000000000001</x:v>
      </x:c>
      <x:c r="M113" s="23" t="n">
        <x:f>MAX(0,MIN(H113,L113)-MAX(G113,K113))</x:f>
        <x:v>0</x:v>
      </x:c>
      <x:c r="N113" s="23" t="n">
        <x:f>B113*D113*M113</x:f>
        <x:v>0</x:v>
      </x:c>
      <x:c r="O113" s="460" t="n">
        <x:f>MIN(289900,I113+10000)</x:f>
        <x:v>279900</x:v>
      </x:c>
      <x:c r="P113" s="460" t="n">
        <x:f>O113-30000</x:f>
        <x:v>249900</x:v>
      </x:c>
      <x:c r="Q113" s="460" t="str">
        <x:f>""</x:f>
      </x:c>
      <x:c r="R113" s="460" t="n">
        <x:f>O113-E113</x:f>
        <x:v>26000</x:v>
      </x:c>
      <x:c r="S113" s="460" t="n">
        <x:f>IF(P113&gt;0,P113-E113,"")</x:f>
        <x:v>-4000</x:v>
      </x:c>
      <x:c r="T113" s="460" t="str">
        <x:f>IF(Q113&gt;0,Q113-E113,"")</x:f>
      </x:c>
      <x:c r="U113" s="23" t="n">
        <x:f>IF(R113&lt;30000,N113,0)</x:f>
        <x:v>0</x:v>
      </x:c>
      <x:c r="V113" s="23" t="n">
        <x:f>IF(P113&gt;0,N113,0)</x:f>
        <x:v>0</x:v>
      </x:c>
      <x:c r="W113" s="23" t="n">
        <x:f>IF(AND(P113&gt;0,S113&lt;0),N113,0)</x:f>
        <x:v>0</x:v>
      </x:c>
      <x:c r="X113" s="23" t="n">
        <x:f>IF(AND(P113&gt;0,S113=0),N113,0)</x:f>
        <x:v>0</x:v>
      </x:c>
      <x:c r="Y113" s="23" t="n">
        <x:f>IF(Q113&gt;0,N113,0)</x:f>
        <x:v>0</x:v>
      </x:c>
      <x:c r="Z113" s="460" t="n">
        <x:f>IF(P113&gt;0,N113*S113,0)</x:f>
        <x:v>0</x:v>
      </x:c>
      <x:c r="AA113" s="460" t="n">
        <x:f>IF(Q113&gt;0,N113*T113,0)</x:f>
        <x:v>0</x:v>
      </x:c>
      <x:c r="AB113" s="460" t="n">
        <x:f>N113*R113</x:f>
        <x:v>0</x:v>
      </x:c>
      <x:c r="AC113" s="460" t="n">
        <x:f>IF(N113&gt;0,R113,999999)</x:f>
        <x:v>999999</x:v>
      </x:c>
      <x:c r="AD113" s="460" t="n">
        <x:f>IF(AND(N113&gt;0,P113&gt;0),S113,999999)</x:f>
        <x:v>999999</x:v>
      </x:c>
      <x:c r="AE113" s="460" t="n">
        <x:f>IF(AND(N113&gt;0,Q113&gt;0),T113,999999)</x:f>
        <x:v>999999</x:v>
      </x:c>
      <x:c r="AF113" s="23" t="n">
        <x:f>B113*D113*F113*J113</x:f>
        <x:v>0.0003185</x:v>
      </x:c>
      <x:c r="AG113" s="23" t="n">
        <x:f>IF(P113&gt;0,AF113,0)</x:f>
        <x:v>0.0003185</x:v>
      </x:c>
      <x:c r="AH113" s="23" t="n">
        <x:f>IF(AND(P113&gt;0,S113&lt;0),AF113,0)</x:f>
        <x:v>0.0003185</x:v>
      </x:c>
      <x:c r="AI113" s="23" t="n">
        <x:f>IF(AND(P113&gt;0,S113=0),AF113,0)</x:f>
        <x:v>0</x:v>
      </x:c>
      <x:c r="AJ113" s="23" t="n">
        <x:f>IF(R113&lt;30000,AF113,0)</x:f>
        <x:v>0.0003185</x:v>
      </x:c>
      <x:c r="AK113" s="460" t="n">
        <x:f>IF(P113&gt;0,AF113*S113,0)</x:f>
        <x:v>-1.274</x:v>
      </x:c>
    </x:row>
    <x:row r="114" ht="22" customHeight="1">
      <x:c r="A114" s="643" t="str">
        <x:v>保守</x:v>
      </x:c>
      <x:c r="B114" s="648" t="n">
        <x:f>'114_降本系数'!B26</x:f>
        <x:v>0.35</x:v>
      </x:c>
      <x:c r="C114" s="643" t="str">
        <x:v>L1B</x:v>
      </x:c>
      <x:c r="D114" s="648" t="n">
        <x:f>'130_联合算法'!C18</x:f>
        <x:v>0.1</x:v>
      </x:c>
      <x:c r="E114" s="647" t="n">
        <x:f>'117_价格概率传导'!A7</x:f>
        <x:v>253900</x:v>
      </x:c>
      <x:c r="F114" s="648" t="n">
        <x:f>'117_价格概率传导'!C7</x:f>
        <x:v>0.07</x:v>
      </x:c>
      <x:c r="G114" s="648" t="n">
        <x:f>SUM('117_价格概率传导'!$C$6:$C$6)</x:f>
        <x:v>0.06</x:v>
      </x:c>
      <x:c r="H114" s="648" t="n">
        <x:f>SUM('117_价格概率传导'!$C$6:$C$7)</x:f>
        <x:v>0.13</x:v>
      </x:c>
      <x:c r="I114" s="647" t="n">
        <x:f>'117_价格概率传导'!A21</x:f>
        <x:v>259900</x:v>
      </x:c>
      <x:c r="J114" s="648" t="n">
        <x:f>'117_价格概率传导'!C21</x:f>
        <x:v>0.03</x:v>
      </x:c>
      <x:c r="K114" s="648" t="n">
        <x:f>SUM('117_价格概率传导'!$C$16:$C$20)</x:f>
        <x:v>0.9700000000000001</x:v>
      </x:c>
      <x:c r="L114" s="648" t="n">
        <x:f>SUM('117_价格概率传导'!$C$16:$C$21)</x:f>
        <x:v>1</x:v>
      </x:c>
      <x:c r="M114" s="648" t="n">
        <x:f>MAX(0,MIN(H114,L114)-MAX(G114,K114))</x:f>
        <x:v>0</x:v>
      </x:c>
      <x:c r="N114" s="648" t="n">
        <x:f>B114*D114*M114</x:f>
        <x:v>0</x:v>
      </x:c>
      <x:c r="O114" s="647" t="n">
        <x:f>MIN(289900,I114+10000)</x:f>
        <x:v>269900</x:v>
      </x:c>
      <x:c r="P114" s="647" t="n">
        <x:f>O114-30000</x:f>
        <x:v>239900</x:v>
      </x:c>
      <x:c r="Q114" s="647" t="str">
        <x:f>""</x:f>
      </x:c>
      <x:c r="R114" s="647" t="n">
        <x:f>O114-E114</x:f>
        <x:v>16000</x:v>
      </x:c>
      <x:c r="S114" s="647" t="n">
        <x:f>IF(P114&gt;0,P114-E114,"")</x:f>
        <x:v>-14000</x:v>
      </x:c>
      <x:c r="T114" s="647" t="str">
        <x:f>IF(Q114&gt;0,Q114-E114,"")</x:f>
      </x:c>
      <x:c r="U114" s="648" t="n">
        <x:f>IF(R114&lt;30000,N114,0)</x:f>
        <x:v>0</x:v>
      </x:c>
      <x:c r="V114" s="648" t="n">
        <x:f>IF(P114&gt;0,N114,0)</x:f>
        <x:v>0</x:v>
      </x:c>
      <x:c r="W114" s="648" t="n">
        <x:f>IF(AND(P114&gt;0,S114&lt;0),N114,0)</x:f>
        <x:v>0</x:v>
      </x:c>
      <x:c r="X114" s="648" t="n">
        <x:f>IF(AND(P114&gt;0,S114=0),N114,0)</x:f>
        <x:v>0</x:v>
      </x:c>
      <x:c r="Y114" s="648" t="n">
        <x:f>IF(Q114&gt;0,N114,0)</x:f>
        <x:v>0</x:v>
      </x:c>
      <x:c r="Z114" s="647" t="n">
        <x:f>IF(P114&gt;0,N114*S114,0)</x:f>
        <x:v>0</x:v>
      </x:c>
      <x:c r="AA114" s="647" t="n">
        <x:f>IF(Q114&gt;0,N114*T114,0)</x:f>
        <x:v>0</x:v>
      </x:c>
      <x:c r="AB114" s="647" t="n">
        <x:f>N114*R114</x:f>
        <x:v>0</x:v>
      </x:c>
      <x:c r="AC114" s="647" t="n">
        <x:f>IF(N114&gt;0,R114,999999)</x:f>
        <x:v>999999</x:v>
      </x:c>
      <x:c r="AD114" s="647" t="n">
        <x:f>IF(AND(N114&gt;0,P114&gt;0),S114,999999)</x:f>
        <x:v>999999</x:v>
      </x:c>
      <x:c r="AE114" s="647" t="n">
        <x:f>IF(AND(N114&gt;0,Q114&gt;0),T114,999999)</x:f>
        <x:v>999999</x:v>
      </x:c>
      <x:c r="AF114" s="648" t="n">
        <x:f>B114*D114*F114*J114</x:f>
        <x:v>0.0000735</x:v>
      </x:c>
      <x:c r="AG114" s="648" t="n">
        <x:f>IF(P114&gt;0,AF114,0)</x:f>
        <x:v>0.0000735</x:v>
      </x:c>
      <x:c r="AH114" s="648" t="n">
        <x:f>IF(AND(P114&gt;0,S114&lt;0),AF114,0)</x:f>
        <x:v>0.0000735</x:v>
      </x:c>
      <x:c r="AI114" s="648" t="n">
        <x:f>IF(AND(P114&gt;0,S114=0),AF114,0)</x:f>
        <x:v>0</x:v>
      </x:c>
      <x:c r="AJ114" s="648" t="n">
        <x:f>IF(R114&lt;30000,AF114,0)</x:f>
        <x:v>0.0000735</x:v>
      </x:c>
      <x:c r="AK114" s="647" t="n">
        <x:f>IF(P114&gt;0,AF114*S114,0)</x:f>
        <x:v>-1.029</x:v>
      </x:c>
    </x:row>
    <x:row r="115" ht="22" customHeight="1">
      <x:c r="A115" s="19" t="str">
        <x:v>保守</x:v>
      </x:c>
      <x:c r="B115" s="23" t="n">
        <x:f>'114_降本系数'!B26</x:f>
        <x:v>0.35</x:v>
      </x:c>
      <x:c r="C115" s="19" t="str">
        <x:v>L1B</x:v>
      </x:c>
      <x:c r="D115" s="23" t="n">
        <x:f>'130_联合算法'!C18</x:f>
        <x:v>0.1</x:v>
      </x:c>
      <x:c r="E115" s="460" t="n">
        <x:f>'117_价格概率传导'!A8</x:f>
        <x:v>249900</x:v>
      </x:c>
      <x:c r="F115" s="23" t="n">
        <x:f>'117_价格概率传导'!C8</x:f>
        <x:v>0.54</x:v>
      </x:c>
      <x:c r="G115" s="23" t="n">
        <x:f>SUM('117_价格概率传导'!$C$6:$C$7)</x:f>
        <x:v>0.13</x:v>
      </x:c>
      <x:c r="H115" s="23" t="n">
        <x:f>SUM('117_价格概率传导'!$C$6:$C$8)</x:f>
        <x:v>0.67</x:v>
      </x:c>
      <x:c r="I115" s="460" t="n">
        <x:f>'117_价格概率传导'!A16</x:f>
        <x:v>299900</x:v>
      </x:c>
      <x:c r="J115" s="23" t="n">
        <x:f>'117_价格概率传导'!C16</x:f>
        <x:v>0.05</x:v>
      </x:c>
      <x:c r="K115" s="23" t="n">
        <x:f>0</x:f>
        <x:v>0</x:v>
      </x:c>
      <x:c r="L115" s="23" t="n">
        <x:f>SUM('117_价格概率传导'!$C$16:$C$16)</x:f>
        <x:v>0.05</x:v>
      </x:c>
      <x:c r="M115" s="23" t="n">
        <x:f>MAX(0,MIN(H115,L115)-MAX(G115,K115))</x:f>
        <x:v>0</x:v>
      </x:c>
      <x:c r="N115" s="23" t="n">
        <x:f>B115*D115*M115</x:f>
        <x:v>0</x:v>
      </x:c>
      <x:c r="O115" s="460" t="n">
        <x:f>MIN(289900,I115+10000)</x:f>
        <x:v>289900</x:v>
      </x:c>
      <x:c r="P115" s="460" t="n">
        <x:f>O115-30000</x:f>
        <x:v>259900</x:v>
      </x:c>
      <x:c r="Q115" s="460" t="str">
        <x:f>""</x:f>
      </x:c>
      <x:c r="R115" s="460" t="n">
        <x:f>O115-E115</x:f>
        <x:v>40000</x:v>
      </x:c>
      <x:c r="S115" s="460" t="n">
        <x:f>IF(P115&gt;0,P115-E115,"")</x:f>
        <x:v>10000</x:v>
      </x:c>
      <x:c r="T115" s="460" t="str">
        <x:f>IF(Q115&gt;0,Q115-E115,"")</x:f>
      </x:c>
      <x:c r="U115" s="23" t="n">
        <x:f>IF(R115&lt;30000,N115,0)</x:f>
        <x:v>0</x:v>
      </x:c>
      <x:c r="V115" s="23" t="n">
        <x:f>IF(P115&gt;0,N115,0)</x:f>
        <x:v>0</x:v>
      </x:c>
      <x:c r="W115" s="23" t="n">
        <x:f>IF(AND(P115&gt;0,S115&lt;0),N115,0)</x:f>
        <x:v>0</x:v>
      </x:c>
      <x:c r="X115" s="23" t="n">
        <x:f>IF(AND(P115&gt;0,S115=0),N115,0)</x:f>
        <x:v>0</x:v>
      </x:c>
      <x:c r="Y115" s="23" t="n">
        <x:f>IF(Q115&gt;0,N115,0)</x:f>
        <x:v>0</x:v>
      </x:c>
      <x:c r="Z115" s="460" t="n">
        <x:f>IF(P115&gt;0,N115*S115,0)</x:f>
        <x:v>0</x:v>
      </x:c>
      <x:c r="AA115" s="460" t="n">
        <x:f>IF(Q115&gt;0,N115*T115,0)</x:f>
        <x:v>0</x:v>
      </x:c>
      <x:c r="AB115" s="460" t="n">
        <x:f>N115*R115</x:f>
        <x:v>0</x:v>
      </x:c>
      <x:c r="AC115" s="460" t="n">
        <x:f>IF(N115&gt;0,R115,999999)</x:f>
        <x:v>999999</x:v>
      </x:c>
      <x:c r="AD115" s="460" t="n">
        <x:f>IF(AND(N115&gt;0,P115&gt;0),S115,999999)</x:f>
        <x:v>999999</x:v>
      </x:c>
      <x:c r="AE115" s="460" t="n">
        <x:f>IF(AND(N115&gt;0,Q115&gt;0),T115,999999)</x:f>
        <x:v>999999</x:v>
      </x:c>
      <x:c r="AF115" s="23" t="n">
        <x:f>B115*D115*F115*J115</x:f>
        <x:v>0.0009450000000000001</x:v>
      </x:c>
      <x:c r="AG115" s="23" t="n">
        <x:f>IF(P115&gt;0,AF115,0)</x:f>
        <x:v>0.0009450000000000001</x:v>
      </x:c>
      <x:c r="AH115" s="23" t="n">
        <x:f>IF(AND(P115&gt;0,S115&lt;0),AF115,0)</x:f>
        <x:v>0</x:v>
      </x:c>
      <x:c r="AI115" s="23" t="n">
        <x:f>IF(AND(P115&gt;0,S115=0),AF115,0)</x:f>
        <x:v>0</x:v>
      </x:c>
      <x:c r="AJ115" s="23" t="n">
        <x:f>IF(R115&lt;30000,AF115,0)</x:f>
        <x:v>0</x:v>
      </x:c>
      <x:c r="AK115" s="460" t="n">
        <x:f>IF(P115&gt;0,AF115*S115,0)</x:f>
        <x:v>9.450000000000001</x:v>
      </x:c>
    </x:row>
    <x:row r="116" ht="22" customHeight="1">
      <x:c r="A116" s="643" t="str">
        <x:v>保守</x:v>
      </x:c>
      <x:c r="B116" s="648" t="n">
        <x:f>'114_降本系数'!B26</x:f>
        <x:v>0.35</x:v>
      </x:c>
      <x:c r="C116" s="643" t="str">
        <x:v>L1B</x:v>
      </x:c>
      <x:c r="D116" s="648" t="n">
        <x:f>'130_联合算法'!C18</x:f>
        <x:v>0.1</x:v>
      </x:c>
      <x:c r="E116" s="647" t="n">
        <x:f>'117_价格概率传导'!A8</x:f>
        <x:v>249900</x:v>
      </x:c>
      <x:c r="F116" s="648" t="n">
        <x:f>'117_价格概率传导'!C8</x:f>
        <x:v>0.54</x:v>
      </x:c>
      <x:c r="G116" s="648" t="n">
        <x:f>SUM('117_价格概率传导'!$C$6:$C$7)</x:f>
        <x:v>0.13</x:v>
      </x:c>
      <x:c r="H116" s="648" t="n">
        <x:f>SUM('117_价格概率传导'!$C$6:$C$8)</x:f>
        <x:v>0.67</x:v>
      </x:c>
      <x:c r="I116" s="647" t="n">
        <x:f>'117_价格概率传导'!A17</x:f>
        <x:v>293900</x:v>
      </x:c>
      <x:c r="J116" s="648" t="n">
        <x:f>'117_价格概率传导'!C17</x:f>
        <x:v>0.06</x:v>
      </x:c>
      <x:c r="K116" s="648" t="n">
        <x:f>SUM('117_价格概率传导'!$C$16:$C$16)</x:f>
        <x:v>0.05</x:v>
      </x:c>
      <x:c r="L116" s="648" t="n">
        <x:f>SUM('117_价格概率传导'!$C$16:$C$17)</x:f>
        <x:v>0.11</x:v>
      </x:c>
      <x:c r="M116" s="648" t="n">
        <x:f>MAX(0,MIN(H116,L116)-MAX(G116,K116))</x:f>
        <x:v>0</x:v>
      </x:c>
      <x:c r="N116" s="648" t="n">
        <x:f>B116*D116*M116</x:f>
        <x:v>0</x:v>
      </x:c>
      <x:c r="O116" s="647" t="n">
        <x:f>MIN(289900,I116+10000)</x:f>
        <x:v>289900</x:v>
      </x:c>
      <x:c r="P116" s="647" t="n">
        <x:f>O116-30000</x:f>
        <x:v>259900</x:v>
      </x:c>
      <x:c r="Q116" s="647" t="str">
        <x:f>""</x:f>
      </x:c>
      <x:c r="R116" s="647" t="n">
        <x:f>O116-E116</x:f>
        <x:v>40000</x:v>
      </x:c>
      <x:c r="S116" s="647" t="n">
        <x:f>IF(P116&gt;0,P116-E116,"")</x:f>
        <x:v>10000</x:v>
      </x:c>
      <x:c r="T116" s="647" t="str">
        <x:f>IF(Q116&gt;0,Q116-E116,"")</x:f>
      </x:c>
      <x:c r="U116" s="648" t="n">
        <x:f>IF(R116&lt;30000,N116,0)</x:f>
        <x:v>0</x:v>
      </x:c>
      <x:c r="V116" s="648" t="n">
        <x:f>IF(P116&gt;0,N116,0)</x:f>
        <x:v>0</x:v>
      </x:c>
      <x:c r="W116" s="648" t="n">
        <x:f>IF(AND(P116&gt;0,S116&lt;0),N116,0)</x:f>
        <x:v>0</x:v>
      </x:c>
      <x:c r="X116" s="648" t="n">
        <x:f>IF(AND(P116&gt;0,S116=0),N116,0)</x:f>
        <x:v>0</x:v>
      </x:c>
      <x:c r="Y116" s="648" t="n">
        <x:f>IF(Q116&gt;0,N116,0)</x:f>
        <x:v>0</x:v>
      </x:c>
      <x:c r="Z116" s="647" t="n">
        <x:f>IF(P116&gt;0,N116*S116,0)</x:f>
        <x:v>0</x:v>
      </x:c>
      <x:c r="AA116" s="647" t="n">
        <x:f>IF(Q116&gt;0,N116*T116,0)</x:f>
        <x:v>0</x:v>
      </x:c>
      <x:c r="AB116" s="647" t="n">
        <x:f>N116*R116</x:f>
        <x:v>0</x:v>
      </x:c>
      <x:c r="AC116" s="647" t="n">
        <x:f>IF(N116&gt;0,R116,999999)</x:f>
        <x:v>999999</x:v>
      </x:c>
      <x:c r="AD116" s="647" t="n">
        <x:f>IF(AND(N116&gt;0,P116&gt;0),S116,999999)</x:f>
        <x:v>999999</x:v>
      </x:c>
      <x:c r="AE116" s="647" t="n">
        <x:f>IF(AND(N116&gt;0,Q116&gt;0),T116,999999)</x:f>
        <x:v>999999</x:v>
      </x:c>
      <x:c r="AF116" s="648" t="n">
        <x:f>B116*D116*F116*J116</x:f>
        <x:v>0.001134</x:v>
      </x:c>
      <x:c r="AG116" s="648" t="n">
        <x:f>IF(P116&gt;0,AF116,0)</x:f>
        <x:v>0.001134</x:v>
      </x:c>
      <x:c r="AH116" s="648" t="n">
        <x:f>IF(AND(P116&gt;0,S116&lt;0),AF116,0)</x:f>
        <x:v>0</x:v>
      </x:c>
      <x:c r="AI116" s="648" t="n">
        <x:f>IF(AND(P116&gt;0,S116=0),AF116,0)</x:f>
        <x:v>0</x:v>
      </x:c>
      <x:c r="AJ116" s="648" t="n">
        <x:f>IF(R116&lt;30000,AF116,0)</x:f>
        <x:v>0</x:v>
      </x:c>
      <x:c r="AK116" s="647" t="n">
        <x:f>IF(P116&gt;0,AF116*S116,0)</x:f>
        <x:v>11.34</x:v>
      </x:c>
    </x:row>
    <x:row r="117" ht="22" customHeight="1">
      <x:c r="A117" s="19" t="str">
        <x:v>保守</x:v>
      </x:c>
      <x:c r="B117" s="23" t="n">
        <x:f>'114_降本系数'!B26</x:f>
        <x:v>0.35</x:v>
      </x:c>
      <x:c r="C117" s="19" t="str">
        <x:v>L1B</x:v>
      </x:c>
      <x:c r="D117" s="23" t="n">
        <x:f>'130_联合算法'!C18</x:f>
        <x:v>0.1</x:v>
      </x:c>
      <x:c r="E117" s="460" t="n">
        <x:f>'117_价格概率传导'!A8</x:f>
        <x:v>249900</x:v>
      </x:c>
      <x:c r="F117" s="23" t="n">
        <x:f>'117_价格概率传导'!C8</x:f>
        <x:v>0.54</x:v>
      </x:c>
      <x:c r="G117" s="23" t="n">
        <x:f>SUM('117_价格概率传导'!$C$6:$C$7)</x:f>
        <x:v>0.13</x:v>
      </x:c>
      <x:c r="H117" s="23" t="n">
        <x:f>SUM('117_价格概率传导'!$C$6:$C$8)</x:f>
        <x:v>0.67</x:v>
      </x:c>
      <x:c r="I117" s="460" t="n">
        <x:f>'117_价格概率传导'!A18</x:f>
        <x:v>289900</x:v>
      </x:c>
      <x:c r="J117" s="23" t="n">
        <x:f>'117_价格概率传导'!C18</x:f>
        <x:v>0.34</x:v>
      </x:c>
      <x:c r="K117" s="23" t="n">
        <x:f>SUM('117_价格概率传导'!$C$16:$C$17)</x:f>
        <x:v>0.11</x:v>
      </x:c>
      <x:c r="L117" s="23" t="n">
        <x:f>SUM('117_价格概率传导'!$C$16:$C$18)</x:f>
        <x:v>0.45</x:v>
      </x:c>
      <x:c r="M117" s="23" t="n">
        <x:f>MAX(0,MIN(H117,L117)-MAX(G117,K117))</x:f>
        <x:v>0.32</x:v>
      </x:c>
      <x:c r="N117" s="23" t="n">
        <x:f>B117*D117*M117</x:f>
        <x:v>0.0112</x:v>
      </x:c>
      <x:c r="O117" s="460" t="n">
        <x:f>MIN(289900,I117+10000)</x:f>
        <x:v>289900</x:v>
      </x:c>
      <x:c r="P117" s="460" t="n">
        <x:f>O117-30000</x:f>
        <x:v>259900</x:v>
      </x:c>
      <x:c r="Q117" s="460" t="str">
        <x:f>""</x:f>
      </x:c>
      <x:c r="R117" s="460" t="n">
        <x:f>O117-E117</x:f>
        <x:v>40000</x:v>
      </x:c>
      <x:c r="S117" s="460" t="n">
        <x:f>IF(P117&gt;0,P117-E117,"")</x:f>
        <x:v>10000</x:v>
      </x:c>
      <x:c r="T117" s="460" t="str">
        <x:f>IF(Q117&gt;0,Q117-E117,"")</x:f>
      </x:c>
      <x:c r="U117" s="23" t="n">
        <x:f>IF(R117&lt;30000,N117,0)</x:f>
        <x:v>0</x:v>
      </x:c>
      <x:c r="V117" s="23" t="n">
        <x:f>IF(P117&gt;0,N117,0)</x:f>
        <x:v>0.0112</x:v>
      </x:c>
      <x:c r="W117" s="23" t="n">
        <x:f>IF(AND(P117&gt;0,S117&lt;0),N117,0)</x:f>
        <x:v>0</x:v>
      </x:c>
      <x:c r="X117" s="23" t="n">
        <x:f>IF(AND(P117&gt;0,S117=0),N117,0)</x:f>
        <x:v>0</x:v>
      </x:c>
      <x:c r="Y117" s="23" t="n">
        <x:f>IF(Q117&gt;0,N117,0)</x:f>
        <x:v>0</x:v>
      </x:c>
      <x:c r="Z117" s="460" t="n">
        <x:f>IF(P117&gt;0,N117*S117,0)</x:f>
        <x:v>112</x:v>
      </x:c>
      <x:c r="AA117" s="460" t="n">
        <x:f>IF(Q117&gt;0,N117*T117,0)</x:f>
        <x:v>0</x:v>
      </x:c>
      <x:c r="AB117" s="460" t="n">
        <x:f>N117*R117</x:f>
        <x:v>448</x:v>
      </x:c>
      <x:c r="AC117" s="460" t="n">
        <x:f>IF(N117&gt;0,R117,999999)</x:f>
        <x:v>40000</x:v>
      </x:c>
      <x:c r="AD117" s="460" t="n">
        <x:f>IF(AND(N117&gt;0,P117&gt;0),S117,999999)</x:f>
        <x:v>10000</x:v>
      </x:c>
      <x:c r="AE117" s="460" t="n">
        <x:f>IF(AND(N117&gt;0,Q117&gt;0),T117,999999)</x:f>
        <x:v>999999</x:v>
      </x:c>
      <x:c r="AF117" s="23" t="n">
        <x:f>B117*D117*F117*J117</x:f>
        <x:v>0.006426</x:v>
      </x:c>
      <x:c r="AG117" s="23" t="n">
        <x:f>IF(P117&gt;0,AF117,0)</x:f>
        <x:v>0.006426</x:v>
      </x:c>
      <x:c r="AH117" s="23" t="n">
        <x:f>IF(AND(P117&gt;0,S117&lt;0),AF117,0)</x:f>
        <x:v>0</x:v>
      </x:c>
      <x:c r="AI117" s="23" t="n">
        <x:f>IF(AND(P117&gt;0,S117=0),AF117,0)</x:f>
        <x:v>0</x:v>
      </x:c>
      <x:c r="AJ117" s="23" t="n">
        <x:f>IF(R117&lt;30000,AF117,0)</x:f>
        <x:v>0</x:v>
      </x:c>
      <x:c r="AK117" s="460" t="n">
        <x:f>IF(P117&gt;0,AF117*S117,0)</x:f>
        <x:v>64.26</x:v>
      </x:c>
    </x:row>
    <x:row r="118" ht="22" customHeight="1">
      <x:c r="A118" s="643" t="str">
        <x:v>保守</x:v>
      </x:c>
      <x:c r="B118" s="648" t="n">
        <x:f>'114_降本系数'!B26</x:f>
        <x:v>0.35</x:v>
      </x:c>
      <x:c r="C118" s="643" t="str">
        <x:v>L1B</x:v>
      </x:c>
      <x:c r="D118" s="648" t="n">
        <x:f>'130_联合算法'!C18</x:f>
        <x:v>0.1</x:v>
      </x:c>
      <x:c r="E118" s="647" t="n">
        <x:f>'117_价格概率传导'!A8</x:f>
        <x:v>249900</x:v>
      </x:c>
      <x:c r="F118" s="648" t="n">
        <x:f>'117_价格概率传导'!C8</x:f>
        <x:v>0.54</x:v>
      </x:c>
      <x:c r="G118" s="648" t="n">
        <x:f>SUM('117_价格概率传导'!$C$6:$C$7)</x:f>
        <x:v>0.13</x:v>
      </x:c>
      <x:c r="H118" s="648" t="n">
        <x:f>SUM('117_价格概率传导'!$C$6:$C$8)</x:f>
        <x:v>0.67</x:v>
      </x:c>
      <x:c r="I118" s="647" t="n">
        <x:f>'117_价格概率传导'!A19</x:f>
        <x:v>279900</x:v>
      </x:c>
      <x:c r="J118" s="648" t="n">
        <x:f>'117_价格概率传导'!C19</x:f>
        <x:v>0.39</x:v>
      </x:c>
      <x:c r="K118" s="648" t="n">
        <x:f>SUM('117_价格概率传导'!$C$16:$C$18)</x:f>
        <x:v>0.45</x:v>
      </x:c>
      <x:c r="L118" s="648" t="n">
        <x:f>SUM('117_价格概率传导'!$C$16:$C$19)</x:f>
        <x:v>0.8400000000000001</x:v>
      </x:c>
      <x:c r="M118" s="648" t="n">
        <x:f>MAX(0,MIN(H118,L118)-MAX(G118,K118))</x:f>
        <x:v>0.22000000000000003</x:v>
      </x:c>
      <x:c r="N118" s="648" t="n">
        <x:f>B118*D118*M118</x:f>
        <x:v>0.0077</x:v>
      </x:c>
      <x:c r="O118" s="647" t="n">
        <x:f>MIN(289900,I118+10000)</x:f>
        <x:v>289900</x:v>
      </x:c>
      <x:c r="P118" s="647" t="n">
        <x:f>O118-30000</x:f>
        <x:v>259900</x:v>
      </x:c>
      <x:c r="Q118" s="647" t="str">
        <x:f>""</x:f>
      </x:c>
      <x:c r="R118" s="647" t="n">
        <x:f>O118-E118</x:f>
        <x:v>40000</x:v>
      </x:c>
      <x:c r="S118" s="647" t="n">
        <x:f>IF(P118&gt;0,P118-E118,"")</x:f>
        <x:v>10000</x:v>
      </x:c>
      <x:c r="T118" s="647" t="str">
        <x:f>IF(Q118&gt;0,Q118-E118,"")</x:f>
      </x:c>
      <x:c r="U118" s="648" t="n">
        <x:f>IF(R118&lt;30000,N118,0)</x:f>
        <x:v>0</x:v>
      </x:c>
      <x:c r="V118" s="648" t="n">
        <x:f>IF(P118&gt;0,N118,0)</x:f>
        <x:v>0.0077</x:v>
      </x:c>
      <x:c r="W118" s="648" t="n">
        <x:f>IF(AND(P118&gt;0,S118&lt;0),N118,0)</x:f>
        <x:v>0</x:v>
      </x:c>
      <x:c r="X118" s="648" t="n">
        <x:f>IF(AND(P118&gt;0,S118=0),N118,0)</x:f>
        <x:v>0</x:v>
      </x:c>
      <x:c r="Y118" s="648" t="n">
        <x:f>IF(Q118&gt;0,N118,0)</x:f>
        <x:v>0</x:v>
      </x:c>
      <x:c r="Z118" s="647" t="n">
        <x:f>IF(P118&gt;0,N118*S118,0)</x:f>
        <x:v>77</x:v>
      </x:c>
      <x:c r="AA118" s="647" t="n">
        <x:f>IF(Q118&gt;0,N118*T118,0)</x:f>
        <x:v>0</x:v>
      </x:c>
      <x:c r="AB118" s="647" t="n">
        <x:f>N118*R118</x:f>
        <x:v>308</x:v>
      </x:c>
      <x:c r="AC118" s="647" t="n">
        <x:f>IF(N118&gt;0,R118,999999)</x:f>
        <x:v>40000</x:v>
      </x:c>
      <x:c r="AD118" s="647" t="n">
        <x:f>IF(AND(N118&gt;0,P118&gt;0),S118,999999)</x:f>
        <x:v>10000</x:v>
      </x:c>
      <x:c r="AE118" s="647" t="n">
        <x:f>IF(AND(N118&gt;0,Q118&gt;0),T118,999999)</x:f>
        <x:v>999999</x:v>
      </x:c>
      <x:c r="AF118" s="648" t="n">
        <x:f>B118*D118*F118*J118</x:f>
        <x:v>0.007371</x:v>
      </x:c>
      <x:c r="AG118" s="648" t="n">
        <x:f>IF(P118&gt;0,AF118,0)</x:f>
        <x:v>0.007371</x:v>
      </x:c>
      <x:c r="AH118" s="648" t="n">
        <x:f>IF(AND(P118&gt;0,S118&lt;0),AF118,0)</x:f>
        <x:v>0</x:v>
      </x:c>
      <x:c r="AI118" s="648" t="n">
        <x:f>IF(AND(P118&gt;0,S118=0),AF118,0)</x:f>
        <x:v>0</x:v>
      </x:c>
      <x:c r="AJ118" s="648" t="n">
        <x:f>IF(R118&lt;30000,AF118,0)</x:f>
        <x:v>0</x:v>
      </x:c>
      <x:c r="AK118" s="647" t="n">
        <x:f>IF(P118&gt;0,AF118*S118,0)</x:f>
        <x:v>73.71</x:v>
      </x:c>
    </x:row>
    <x:row r="119" ht="22" customHeight="1">
      <x:c r="A119" s="19" t="str">
        <x:v>保守</x:v>
      </x:c>
      <x:c r="B119" s="23" t="n">
        <x:f>'114_降本系数'!B26</x:f>
        <x:v>0.35</x:v>
      </x:c>
      <x:c r="C119" s="19" t="str">
        <x:v>L1B</x:v>
      </x:c>
      <x:c r="D119" s="23" t="n">
        <x:f>'130_联合算法'!C18</x:f>
        <x:v>0.1</x:v>
      </x:c>
      <x:c r="E119" s="460" t="n">
        <x:f>'117_价格概率传导'!A8</x:f>
        <x:v>249900</x:v>
      </x:c>
      <x:c r="F119" s="23" t="n">
        <x:f>'117_价格概率传导'!C8</x:f>
        <x:v>0.54</x:v>
      </x:c>
      <x:c r="G119" s="23" t="n">
        <x:f>SUM('117_价格概率传导'!$C$6:$C$7)</x:f>
        <x:v>0.13</x:v>
      </x:c>
      <x:c r="H119" s="23" t="n">
        <x:f>SUM('117_价格概率传导'!$C$6:$C$8)</x:f>
        <x:v>0.67</x:v>
      </x:c>
      <x:c r="I119" s="460" t="n">
        <x:f>'117_价格概率传导'!A20</x:f>
        <x:v>269900</x:v>
      </x:c>
      <x:c r="J119" s="23" t="n">
        <x:f>'117_价格概率传导'!C20</x:f>
        <x:v>0.13</x:v>
      </x:c>
      <x:c r="K119" s="23" t="n">
        <x:f>SUM('117_价格概率传导'!$C$16:$C$19)</x:f>
        <x:v>0.8400000000000001</x:v>
      </x:c>
      <x:c r="L119" s="23" t="n">
        <x:f>SUM('117_价格概率传导'!$C$16:$C$20)</x:f>
        <x:v>0.9700000000000001</x:v>
      </x:c>
      <x:c r="M119" s="23" t="n">
        <x:f>MAX(0,MIN(H119,L119)-MAX(G119,K119))</x:f>
        <x:v>0</x:v>
      </x:c>
      <x:c r="N119" s="23" t="n">
        <x:f>B119*D119*M119</x:f>
        <x:v>0</x:v>
      </x:c>
      <x:c r="O119" s="460" t="n">
        <x:f>MIN(289900,I119+10000)</x:f>
        <x:v>279900</x:v>
      </x:c>
      <x:c r="P119" s="460" t="n">
        <x:f>O119-30000</x:f>
        <x:v>249900</x:v>
      </x:c>
      <x:c r="Q119" s="460" t="str">
        <x:f>""</x:f>
      </x:c>
      <x:c r="R119" s="460" t="n">
        <x:f>O119-E119</x:f>
        <x:v>30000</x:v>
      </x:c>
      <x:c r="S119" s="460" t="n">
        <x:f>IF(P119&gt;0,P119-E119,"")</x:f>
        <x:v>0</x:v>
      </x:c>
      <x:c r="T119" s="460" t="str">
        <x:f>IF(Q119&gt;0,Q119-E119,"")</x:f>
      </x:c>
      <x:c r="U119" s="23" t="n">
        <x:f>IF(R119&lt;30000,N119,0)</x:f>
        <x:v>0</x:v>
      </x:c>
      <x:c r="V119" s="23" t="n">
        <x:f>IF(P119&gt;0,N119,0)</x:f>
        <x:v>0</x:v>
      </x:c>
      <x:c r="W119" s="23" t="n">
        <x:f>IF(AND(P119&gt;0,S119&lt;0),N119,0)</x:f>
        <x:v>0</x:v>
      </x:c>
      <x:c r="X119" s="23" t="n">
        <x:f>IF(AND(P119&gt;0,S119=0),N119,0)</x:f>
        <x:v>0</x:v>
      </x:c>
      <x:c r="Y119" s="23" t="n">
        <x:f>IF(Q119&gt;0,N119,0)</x:f>
        <x:v>0</x:v>
      </x:c>
      <x:c r="Z119" s="460" t="n">
        <x:f>IF(P119&gt;0,N119*S119,0)</x:f>
        <x:v>0</x:v>
      </x:c>
      <x:c r="AA119" s="460" t="n">
        <x:f>IF(Q119&gt;0,N119*T119,0)</x:f>
        <x:v>0</x:v>
      </x:c>
      <x:c r="AB119" s="460" t="n">
        <x:f>N119*R119</x:f>
        <x:v>0</x:v>
      </x:c>
      <x:c r="AC119" s="460" t="n">
        <x:f>IF(N119&gt;0,R119,999999)</x:f>
        <x:v>999999</x:v>
      </x:c>
      <x:c r="AD119" s="460" t="n">
        <x:f>IF(AND(N119&gt;0,P119&gt;0),S119,999999)</x:f>
        <x:v>999999</x:v>
      </x:c>
      <x:c r="AE119" s="460" t="n">
        <x:f>IF(AND(N119&gt;0,Q119&gt;0),T119,999999)</x:f>
        <x:v>999999</x:v>
      </x:c>
      <x:c r="AF119" s="23" t="n">
        <x:f>B119*D119*F119*J119</x:f>
        <x:v>0.002457</x:v>
      </x:c>
      <x:c r="AG119" s="23" t="n">
        <x:f>IF(P119&gt;0,AF119,0)</x:f>
        <x:v>0.002457</x:v>
      </x:c>
      <x:c r="AH119" s="23" t="n">
        <x:f>IF(AND(P119&gt;0,S119&lt;0),AF119,0)</x:f>
        <x:v>0</x:v>
      </x:c>
      <x:c r="AI119" s="23" t="n">
        <x:f>IF(AND(P119&gt;0,S119=0),AF119,0)</x:f>
        <x:v>0.002457</x:v>
      </x:c>
      <x:c r="AJ119" s="23" t="n">
        <x:f>IF(R119&lt;30000,AF119,0)</x:f>
        <x:v>0</x:v>
      </x:c>
      <x:c r="AK119" s="460" t="n">
        <x:f>IF(P119&gt;0,AF119*S119,0)</x:f>
        <x:v>0</x:v>
      </x:c>
    </x:row>
    <x:row r="120" ht="22" customHeight="1">
      <x:c r="A120" s="643" t="str">
        <x:v>保守</x:v>
      </x:c>
      <x:c r="B120" s="648" t="n">
        <x:f>'114_降本系数'!B26</x:f>
        <x:v>0.35</x:v>
      </x:c>
      <x:c r="C120" s="643" t="str">
        <x:v>L1B</x:v>
      </x:c>
      <x:c r="D120" s="648" t="n">
        <x:f>'130_联合算法'!C18</x:f>
        <x:v>0.1</x:v>
      </x:c>
      <x:c r="E120" s="647" t="n">
        <x:f>'117_价格概率传导'!A8</x:f>
        <x:v>249900</x:v>
      </x:c>
      <x:c r="F120" s="648" t="n">
        <x:f>'117_价格概率传导'!C8</x:f>
        <x:v>0.54</x:v>
      </x:c>
      <x:c r="G120" s="648" t="n">
        <x:f>SUM('117_价格概率传导'!$C$6:$C$7)</x:f>
        <x:v>0.13</x:v>
      </x:c>
      <x:c r="H120" s="648" t="n">
        <x:f>SUM('117_价格概率传导'!$C$6:$C$8)</x:f>
        <x:v>0.67</x:v>
      </x:c>
      <x:c r="I120" s="647" t="n">
        <x:f>'117_价格概率传导'!A21</x:f>
        <x:v>259900</x:v>
      </x:c>
      <x:c r="J120" s="648" t="n">
        <x:f>'117_价格概率传导'!C21</x:f>
        <x:v>0.03</x:v>
      </x:c>
      <x:c r="K120" s="648" t="n">
        <x:f>SUM('117_价格概率传导'!$C$16:$C$20)</x:f>
        <x:v>0.9700000000000001</x:v>
      </x:c>
      <x:c r="L120" s="648" t="n">
        <x:f>SUM('117_价格概率传导'!$C$16:$C$21)</x:f>
        <x:v>1</x:v>
      </x:c>
      <x:c r="M120" s="648" t="n">
        <x:f>MAX(0,MIN(H120,L120)-MAX(G120,K120))</x:f>
        <x:v>0</x:v>
      </x:c>
      <x:c r="N120" s="648" t="n">
        <x:f>B120*D120*M120</x:f>
        <x:v>0</x:v>
      </x:c>
      <x:c r="O120" s="647" t="n">
        <x:f>MIN(289900,I120+10000)</x:f>
        <x:v>269900</x:v>
      </x:c>
      <x:c r="P120" s="647" t="n">
        <x:f>O120-30000</x:f>
        <x:v>239900</x:v>
      </x:c>
      <x:c r="Q120" s="647" t="str">
        <x:f>""</x:f>
      </x:c>
      <x:c r="R120" s="647" t="n">
        <x:f>O120-E120</x:f>
        <x:v>20000</x:v>
      </x:c>
      <x:c r="S120" s="647" t="n">
        <x:f>IF(P120&gt;0,P120-E120,"")</x:f>
        <x:v>-10000</x:v>
      </x:c>
      <x:c r="T120" s="647" t="str">
        <x:f>IF(Q120&gt;0,Q120-E120,"")</x:f>
      </x:c>
      <x:c r="U120" s="648" t="n">
        <x:f>IF(R120&lt;30000,N120,0)</x:f>
        <x:v>0</x:v>
      </x:c>
      <x:c r="V120" s="648" t="n">
        <x:f>IF(P120&gt;0,N120,0)</x:f>
        <x:v>0</x:v>
      </x:c>
      <x:c r="W120" s="648" t="n">
        <x:f>IF(AND(P120&gt;0,S120&lt;0),N120,0)</x:f>
        <x:v>0</x:v>
      </x:c>
      <x:c r="X120" s="648" t="n">
        <x:f>IF(AND(P120&gt;0,S120=0),N120,0)</x:f>
        <x:v>0</x:v>
      </x:c>
      <x:c r="Y120" s="648" t="n">
        <x:f>IF(Q120&gt;0,N120,0)</x:f>
        <x:v>0</x:v>
      </x:c>
      <x:c r="Z120" s="647" t="n">
        <x:f>IF(P120&gt;0,N120*S120,0)</x:f>
        <x:v>0</x:v>
      </x:c>
      <x:c r="AA120" s="647" t="n">
        <x:f>IF(Q120&gt;0,N120*T120,0)</x:f>
        <x:v>0</x:v>
      </x:c>
      <x:c r="AB120" s="647" t="n">
        <x:f>N120*R120</x:f>
        <x:v>0</x:v>
      </x:c>
      <x:c r="AC120" s="647" t="n">
        <x:f>IF(N120&gt;0,R120,999999)</x:f>
        <x:v>999999</x:v>
      </x:c>
      <x:c r="AD120" s="647" t="n">
        <x:f>IF(AND(N120&gt;0,P120&gt;0),S120,999999)</x:f>
        <x:v>999999</x:v>
      </x:c>
      <x:c r="AE120" s="647" t="n">
        <x:f>IF(AND(N120&gt;0,Q120&gt;0),T120,999999)</x:f>
        <x:v>999999</x:v>
      </x:c>
      <x:c r="AF120" s="648" t="n">
        <x:f>B120*D120*F120*J120</x:f>
        <x:v>0.000567</x:v>
      </x:c>
      <x:c r="AG120" s="648" t="n">
        <x:f>IF(P120&gt;0,AF120,0)</x:f>
        <x:v>0.000567</x:v>
      </x:c>
      <x:c r="AH120" s="648" t="n">
        <x:f>IF(AND(P120&gt;0,S120&lt;0),AF120,0)</x:f>
        <x:v>0.000567</x:v>
      </x:c>
      <x:c r="AI120" s="648" t="n">
        <x:f>IF(AND(P120&gt;0,S120=0),AF120,0)</x:f>
        <x:v>0</x:v>
      </x:c>
      <x:c r="AJ120" s="648" t="n">
        <x:f>IF(R120&lt;30000,AF120,0)</x:f>
        <x:v>0.000567</x:v>
      </x:c>
      <x:c r="AK120" s="647" t="n">
        <x:f>IF(P120&gt;0,AF120*S120,0)</x:f>
        <x:v>-5.67</x:v>
      </x:c>
    </x:row>
    <x:row r="121" ht="22" customHeight="1">
      <x:c r="A121" s="19" t="str">
        <x:v>保守</x:v>
      </x:c>
      <x:c r="B121" s="23" t="n">
        <x:f>'114_降本系数'!B26</x:f>
        <x:v>0.35</x:v>
      </x:c>
      <x:c r="C121" s="19" t="str">
        <x:v>L1B</x:v>
      </x:c>
      <x:c r="D121" s="23" t="n">
        <x:f>'130_联合算法'!C18</x:f>
        <x:v>0.1</x:v>
      </x:c>
      <x:c r="E121" s="460" t="n">
        <x:f>'117_价格概率传导'!A9</x:f>
        <x:v>239900</x:v>
      </x:c>
      <x:c r="F121" s="23" t="n">
        <x:f>'117_价格概率传导'!C9</x:f>
        <x:v>0.26</x:v>
      </x:c>
      <x:c r="G121" s="23" t="n">
        <x:f>SUM('117_价格概率传导'!$C$6:$C$8)</x:f>
        <x:v>0.67</x:v>
      </x:c>
      <x:c r="H121" s="23" t="n">
        <x:f>SUM('117_价格概率传导'!$C$6:$C$9)</x:f>
        <x:v>0.93</x:v>
      </x:c>
      <x:c r="I121" s="460" t="n">
        <x:f>'117_价格概率传导'!A16</x:f>
        <x:v>299900</x:v>
      </x:c>
      <x:c r="J121" s="23" t="n">
        <x:f>'117_价格概率传导'!C16</x:f>
        <x:v>0.05</x:v>
      </x:c>
      <x:c r="K121" s="23" t="n">
        <x:f>0</x:f>
        <x:v>0</x:v>
      </x:c>
      <x:c r="L121" s="23" t="n">
        <x:f>SUM('117_价格概率传导'!$C$16:$C$16)</x:f>
        <x:v>0.05</x:v>
      </x:c>
      <x:c r="M121" s="23" t="n">
        <x:f>MAX(0,MIN(H121,L121)-MAX(G121,K121))</x:f>
        <x:v>0</x:v>
      </x:c>
      <x:c r="N121" s="23" t="n">
        <x:f>B121*D121*M121</x:f>
        <x:v>0</x:v>
      </x:c>
      <x:c r="O121" s="460" t="n">
        <x:f>MIN(289900,I121+10000)</x:f>
        <x:v>289900</x:v>
      </x:c>
      <x:c r="P121" s="460" t="n">
        <x:f>O121-30000</x:f>
        <x:v>259900</x:v>
      </x:c>
      <x:c r="Q121" s="460" t="str">
        <x:f>""</x:f>
      </x:c>
      <x:c r="R121" s="460" t="n">
        <x:f>O121-E121</x:f>
        <x:v>50000</x:v>
      </x:c>
      <x:c r="S121" s="460" t="n">
        <x:f>IF(P121&gt;0,P121-E121,"")</x:f>
        <x:v>20000</x:v>
      </x:c>
      <x:c r="T121" s="460" t="str">
        <x:f>IF(Q121&gt;0,Q121-E121,"")</x:f>
      </x:c>
      <x:c r="U121" s="23" t="n">
        <x:f>IF(R121&lt;30000,N121,0)</x:f>
        <x:v>0</x:v>
      </x:c>
      <x:c r="V121" s="23" t="n">
        <x:f>IF(P121&gt;0,N121,0)</x:f>
        <x:v>0</x:v>
      </x:c>
      <x:c r="W121" s="23" t="n">
        <x:f>IF(AND(P121&gt;0,S121&lt;0),N121,0)</x:f>
        <x:v>0</x:v>
      </x:c>
      <x:c r="X121" s="23" t="n">
        <x:f>IF(AND(P121&gt;0,S121=0),N121,0)</x:f>
        <x:v>0</x:v>
      </x:c>
      <x:c r="Y121" s="23" t="n">
        <x:f>IF(Q121&gt;0,N121,0)</x:f>
        <x:v>0</x:v>
      </x:c>
      <x:c r="Z121" s="460" t="n">
        <x:f>IF(P121&gt;0,N121*S121,0)</x:f>
        <x:v>0</x:v>
      </x:c>
      <x:c r="AA121" s="460" t="n">
        <x:f>IF(Q121&gt;0,N121*T121,0)</x:f>
        <x:v>0</x:v>
      </x:c>
      <x:c r="AB121" s="460" t="n">
        <x:f>N121*R121</x:f>
        <x:v>0</x:v>
      </x:c>
      <x:c r="AC121" s="460" t="n">
        <x:f>IF(N121&gt;0,R121,999999)</x:f>
        <x:v>999999</x:v>
      </x:c>
      <x:c r="AD121" s="460" t="n">
        <x:f>IF(AND(N121&gt;0,P121&gt;0),S121,999999)</x:f>
        <x:v>999999</x:v>
      </x:c>
      <x:c r="AE121" s="460" t="n">
        <x:f>IF(AND(N121&gt;0,Q121&gt;0),T121,999999)</x:f>
        <x:v>999999</x:v>
      </x:c>
      <x:c r="AF121" s="23" t="n">
        <x:f>B121*D121*F121*J121</x:f>
        <x:v>0.00045499999999999995</x:v>
      </x:c>
      <x:c r="AG121" s="23" t="n">
        <x:f>IF(P121&gt;0,AF121,0)</x:f>
        <x:v>0.00045499999999999995</x:v>
      </x:c>
      <x:c r="AH121" s="23" t="n">
        <x:f>IF(AND(P121&gt;0,S121&lt;0),AF121,0)</x:f>
        <x:v>0</x:v>
      </x:c>
      <x:c r="AI121" s="23" t="n">
        <x:f>IF(AND(P121&gt;0,S121=0),AF121,0)</x:f>
        <x:v>0</x:v>
      </x:c>
      <x:c r="AJ121" s="23" t="n">
        <x:f>IF(R121&lt;30000,AF121,0)</x:f>
        <x:v>0</x:v>
      </x:c>
      <x:c r="AK121" s="460" t="n">
        <x:f>IF(P121&gt;0,AF121*S121,0)</x:f>
        <x:v>9.1</x:v>
      </x:c>
    </x:row>
    <x:row r="122" ht="22" customHeight="1">
      <x:c r="A122" s="643" t="str">
        <x:v>保守</x:v>
      </x:c>
      <x:c r="B122" s="648" t="n">
        <x:f>'114_降本系数'!B26</x:f>
        <x:v>0.35</x:v>
      </x:c>
      <x:c r="C122" s="643" t="str">
        <x:v>L1B</x:v>
      </x:c>
      <x:c r="D122" s="648" t="n">
        <x:f>'130_联合算法'!C18</x:f>
        <x:v>0.1</x:v>
      </x:c>
      <x:c r="E122" s="647" t="n">
        <x:f>'117_价格概率传导'!A9</x:f>
        <x:v>239900</x:v>
      </x:c>
      <x:c r="F122" s="648" t="n">
        <x:f>'117_价格概率传导'!C9</x:f>
        <x:v>0.26</x:v>
      </x:c>
      <x:c r="G122" s="648" t="n">
        <x:f>SUM('117_价格概率传导'!$C$6:$C$8)</x:f>
        <x:v>0.67</x:v>
      </x:c>
      <x:c r="H122" s="648" t="n">
        <x:f>SUM('117_价格概率传导'!$C$6:$C$9)</x:f>
        <x:v>0.93</x:v>
      </x:c>
      <x:c r="I122" s="647" t="n">
        <x:f>'117_价格概率传导'!A17</x:f>
        <x:v>293900</x:v>
      </x:c>
      <x:c r="J122" s="648" t="n">
        <x:f>'117_价格概率传导'!C17</x:f>
        <x:v>0.06</x:v>
      </x:c>
      <x:c r="K122" s="648" t="n">
        <x:f>SUM('117_价格概率传导'!$C$16:$C$16)</x:f>
        <x:v>0.05</x:v>
      </x:c>
      <x:c r="L122" s="648" t="n">
        <x:f>SUM('117_价格概率传导'!$C$16:$C$17)</x:f>
        <x:v>0.11</x:v>
      </x:c>
      <x:c r="M122" s="648" t="n">
        <x:f>MAX(0,MIN(H122,L122)-MAX(G122,K122))</x:f>
        <x:v>0</x:v>
      </x:c>
      <x:c r="N122" s="648" t="n">
        <x:f>B122*D122*M122</x:f>
        <x:v>0</x:v>
      </x:c>
      <x:c r="O122" s="647" t="n">
        <x:f>MIN(289900,I122+10000)</x:f>
        <x:v>289900</x:v>
      </x:c>
      <x:c r="P122" s="647" t="n">
        <x:f>O122-30000</x:f>
        <x:v>259900</x:v>
      </x:c>
      <x:c r="Q122" s="647" t="str">
        <x:f>""</x:f>
      </x:c>
      <x:c r="R122" s="647" t="n">
        <x:f>O122-E122</x:f>
        <x:v>50000</x:v>
      </x:c>
      <x:c r="S122" s="647" t="n">
        <x:f>IF(P122&gt;0,P122-E122,"")</x:f>
        <x:v>20000</x:v>
      </x:c>
      <x:c r="T122" s="647" t="str">
        <x:f>IF(Q122&gt;0,Q122-E122,"")</x:f>
      </x:c>
      <x:c r="U122" s="648" t="n">
        <x:f>IF(R122&lt;30000,N122,0)</x:f>
        <x:v>0</x:v>
      </x:c>
      <x:c r="V122" s="648" t="n">
        <x:f>IF(P122&gt;0,N122,0)</x:f>
        <x:v>0</x:v>
      </x:c>
      <x:c r="W122" s="648" t="n">
        <x:f>IF(AND(P122&gt;0,S122&lt;0),N122,0)</x:f>
        <x:v>0</x:v>
      </x:c>
      <x:c r="X122" s="648" t="n">
        <x:f>IF(AND(P122&gt;0,S122=0),N122,0)</x:f>
        <x:v>0</x:v>
      </x:c>
      <x:c r="Y122" s="648" t="n">
        <x:f>IF(Q122&gt;0,N122,0)</x:f>
        <x:v>0</x:v>
      </x:c>
      <x:c r="Z122" s="647" t="n">
        <x:f>IF(P122&gt;0,N122*S122,0)</x:f>
        <x:v>0</x:v>
      </x:c>
      <x:c r="AA122" s="647" t="n">
        <x:f>IF(Q122&gt;0,N122*T122,0)</x:f>
        <x:v>0</x:v>
      </x:c>
      <x:c r="AB122" s="647" t="n">
        <x:f>N122*R122</x:f>
        <x:v>0</x:v>
      </x:c>
      <x:c r="AC122" s="647" t="n">
        <x:f>IF(N122&gt;0,R122,999999)</x:f>
        <x:v>999999</x:v>
      </x:c>
      <x:c r="AD122" s="647" t="n">
        <x:f>IF(AND(N122&gt;0,P122&gt;0),S122,999999)</x:f>
        <x:v>999999</x:v>
      </x:c>
      <x:c r="AE122" s="647" t="n">
        <x:f>IF(AND(N122&gt;0,Q122&gt;0),T122,999999)</x:f>
        <x:v>999999</x:v>
      </x:c>
      <x:c r="AF122" s="648" t="n">
        <x:f>B122*D122*F122*J122</x:f>
        <x:v>0.0005459999999999999</x:v>
      </x:c>
      <x:c r="AG122" s="648" t="n">
        <x:f>IF(P122&gt;0,AF122,0)</x:f>
        <x:v>0.0005459999999999999</x:v>
      </x:c>
      <x:c r="AH122" s="648" t="n">
        <x:f>IF(AND(P122&gt;0,S122&lt;0),AF122,0)</x:f>
        <x:v>0</x:v>
      </x:c>
      <x:c r="AI122" s="648" t="n">
        <x:f>IF(AND(P122&gt;0,S122=0),AF122,0)</x:f>
        <x:v>0</x:v>
      </x:c>
      <x:c r="AJ122" s="648" t="n">
        <x:f>IF(R122&lt;30000,AF122,0)</x:f>
        <x:v>0</x:v>
      </x:c>
      <x:c r="AK122" s="647" t="n">
        <x:f>IF(P122&gt;0,AF122*S122,0)</x:f>
        <x:v>10.919999999999998</x:v>
      </x:c>
    </x:row>
    <x:row r="123" ht="22" customHeight="1">
      <x:c r="A123" s="19" t="str">
        <x:v>保守</x:v>
      </x:c>
      <x:c r="B123" s="23" t="n">
        <x:f>'114_降本系数'!B26</x:f>
        <x:v>0.35</x:v>
      </x:c>
      <x:c r="C123" s="19" t="str">
        <x:v>L1B</x:v>
      </x:c>
      <x:c r="D123" s="23" t="n">
        <x:f>'130_联合算法'!C18</x:f>
        <x:v>0.1</x:v>
      </x:c>
      <x:c r="E123" s="460" t="n">
        <x:f>'117_价格概率传导'!A9</x:f>
        <x:v>239900</x:v>
      </x:c>
      <x:c r="F123" s="23" t="n">
        <x:f>'117_价格概率传导'!C9</x:f>
        <x:v>0.26</x:v>
      </x:c>
      <x:c r="G123" s="23" t="n">
        <x:f>SUM('117_价格概率传导'!$C$6:$C$8)</x:f>
        <x:v>0.67</x:v>
      </x:c>
      <x:c r="H123" s="23" t="n">
        <x:f>SUM('117_价格概率传导'!$C$6:$C$9)</x:f>
        <x:v>0.93</x:v>
      </x:c>
      <x:c r="I123" s="460" t="n">
        <x:f>'117_价格概率传导'!A18</x:f>
        <x:v>289900</x:v>
      </x:c>
      <x:c r="J123" s="23" t="n">
        <x:f>'117_价格概率传导'!C18</x:f>
        <x:v>0.34</x:v>
      </x:c>
      <x:c r="K123" s="23" t="n">
        <x:f>SUM('117_价格概率传导'!$C$16:$C$17)</x:f>
        <x:v>0.11</x:v>
      </x:c>
      <x:c r="L123" s="23" t="n">
        <x:f>SUM('117_价格概率传导'!$C$16:$C$18)</x:f>
        <x:v>0.45</x:v>
      </x:c>
      <x:c r="M123" s="23" t="n">
        <x:f>MAX(0,MIN(H123,L123)-MAX(G123,K123))</x:f>
        <x:v>0</x:v>
      </x:c>
      <x:c r="N123" s="23" t="n">
        <x:f>B123*D123*M123</x:f>
        <x:v>0</x:v>
      </x:c>
      <x:c r="O123" s="460" t="n">
        <x:f>MIN(289900,I123+10000)</x:f>
        <x:v>289900</x:v>
      </x:c>
      <x:c r="P123" s="460" t="n">
        <x:f>O123-30000</x:f>
        <x:v>259900</x:v>
      </x:c>
      <x:c r="Q123" s="460" t="str">
        <x:f>""</x:f>
      </x:c>
      <x:c r="R123" s="460" t="n">
        <x:f>O123-E123</x:f>
        <x:v>50000</x:v>
      </x:c>
      <x:c r="S123" s="460" t="n">
        <x:f>IF(P123&gt;0,P123-E123,"")</x:f>
        <x:v>20000</x:v>
      </x:c>
      <x:c r="T123" s="460" t="str">
        <x:f>IF(Q123&gt;0,Q123-E123,"")</x:f>
      </x:c>
      <x:c r="U123" s="23" t="n">
        <x:f>IF(R123&lt;30000,N123,0)</x:f>
        <x:v>0</x:v>
      </x:c>
      <x:c r="V123" s="23" t="n">
        <x:f>IF(P123&gt;0,N123,0)</x:f>
        <x:v>0</x:v>
      </x:c>
      <x:c r="W123" s="23" t="n">
        <x:f>IF(AND(P123&gt;0,S123&lt;0),N123,0)</x:f>
        <x:v>0</x:v>
      </x:c>
      <x:c r="X123" s="23" t="n">
        <x:f>IF(AND(P123&gt;0,S123=0),N123,0)</x:f>
        <x:v>0</x:v>
      </x:c>
      <x:c r="Y123" s="23" t="n">
        <x:f>IF(Q123&gt;0,N123,0)</x:f>
        <x:v>0</x:v>
      </x:c>
      <x:c r="Z123" s="460" t="n">
        <x:f>IF(P123&gt;0,N123*S123,0)</x:f>
        <x:v>0</x:v>
      </x:c>
      <x:c r="AA123" s="460" t="n">
        <x:f>IF(Q123&gt;0,N123*T123,0)</x:f>
        <x:v>0</x:v>
      </x:c>
      <x:c r="AB123" s="460" t="n">
        <x:f>N123*R123</x:f>
        <x:v>0</x:v>
      </x:c>
      <x:c r="AC123" s="460" t="n">
        <x:f>IF(N123&gt;0,R123,999999)</x:f>
        <x:v>999999</x:v>
      </x:c>
      <x:c r="AD123" s="460" t="n">
        <x:f>IF(AND(N123&gt;0,P123&gt;0),S123,999999)</x:f>
        <x:v>999999</x:v>
      </x:c>
      <x:c r="AE123" s="460" t="n">
        <x:f>IF(AND(N123&gt;0,Q123&gt;0),T123,999999)</x:f>
        <x:v>999999</x:v>
      </x:c>
      <x:c r="AF123" s="23" t="n">
        <x:f>B123*D123*F123*J123</x:f>
        <x:v>0.003094</x:v>
      </x:c>
      <x:c r="AG123" s="23" t="n">
        <x:f>IF(P123&gt;0,AF123,0)</x:f>
        <x:v>0.003094</x:v>
      </x:c>
      <x:c r="AH123" s="23" t="n">
        <x:f>IF(AND(P123&gt;0,S123&lt;0),AF123,0)</x:f>
        <x:v>0</x:v>
      </x:c>
      <x:c r="AI123" s="23" t="n">
        <x:f>IF(AND(P123&gt;0,S123=0),AF123,0)</x:f>
        <x:v>0</x:v>
      </x:c>
      <x:c r="AJ123" s="23" t="n">
        <x:f>IF(R123&lt;30000,AF123,0)</x:f>
        <x:v>0</x:v>
      </x:c>
      <x:c r="AK123" s="460" t="n">
        <x:f>IF(P123&gt;0,AF123*S123,0)</x:f>
        <x:v>61.88</x:v>
      </x:c>
    </x:row>
    <x:row r="124" ht="22" customHeight="1">
      <x:c r="A124" s="643" t="str">
        <x:v>保守</x:v>
      </x:c>
      <x:c r="B124" s="648" t="n">
        <x:f>'114_降本系数'!B26</x:f>
        <x:v>0.35</x:v>
      </x:c>
      <x:c r="C124" s="643" t="str">
        <x:v>L1B</x:v>
      </x:c>
      <x:c r="D124" s="648" t="n">
        <x:f>'130_联合算法'!C18</x:f>
        <x:v>0.1</x:v>
      </x:c>
      <x:c r="E124" s="647" t="n">
        <x:f>'117_价格概率传导'!A9</x:f>
        <x:v>239900</x:v>
      </x:c>
      <x:c r="F124" s="648" t="n">
        <x:f>'117_价格概率传导'!C9</x:f>
        <x:v>0.26</x:v>
      </x:c>
      <x:c r="G124" s="648" t="n">
        <x:f>SUM('117_价格概率传导'!$C$6:$C$8)</x:f>
        <x:v>0.67</x:v>
      </x:c>
      <x:c r="H124" s="648" t="n">
        <x:f>SUM('117_价格概率传导'!$C$6:$C$9)</x:f>
        <x:v>0.93</x:v>
      </x:c>
      <x:c r="I124" s="647" t="n">
        <x:f>'117_价格概率传导'!A19</x:f>
        <x:v>279900</x:v>
      </x:c>
      <x:c r="J124" s="648" t="n">
        <x:f>'117_价格概率传导'!C19</x:f>
        <x:v>0.39</x:v>
      </x:c>
      <x:c r="K124" s="648" t="n">
        <x:f>SUM('117_价格概率传导'!$C$16:$C$18)</x:f>
        <x:v>0.45</x:v>
      </x:c>
      <x:c r="L124" s="648" t="n">
        <x:f>SUM('117_价格概率传导'!$C$16:$C$19)</x:f>
        <x:v>0.8400000000000001</x:v>
      </x:c>
      <x:c r="M124" s="648" t="n">
        <x:f>MAX(0,MIN(H124,L124)-MAX(G124,K124))</x:f>
        <x:v>0.17000000000000004</x:v>
      </x:c>
      <x:c r="N124" s="648" t="n">
        <x:f>B124*D124*M124</x:f>
        <x:v>0.00595</x:v>
      </x:c>
      <x:c r="O124" s="647" t="n">
        <x:f>MIN(289900,I124+10000)</x:f>
        <x:v>289900</x:v>
      </x:c>
      <x:c r="P124" s="647" t="n">
        <x:f>O124-30000</x:f>
        <x:v>259900</x:v>
      </x:c>
      <x:c r="Q124" s="647" t="str">
        <x:f>""</x:f>
      </x:c>
      <x:c r="R124" s="647" t="n">
        <x:f>O124-E124</x:f>
        <x:v>50000</x:v>
      </x:c>
      <x:c r="S124" s="647" t="n">
        <x:f>IF(P124&gt;0,P124-E124,"")</x:f>
        <x:v>20000</x:v>
      </x:c>
      <x:c r="T124" s="647" t="str">
        <x:f>IF(Q124&gt;0,Q124-E124,"")</x:f>
      </x:c>
      <x:c r="U124" s="648" t="n">
        <x:f>IF(R124&lt;30000,N124,0)</x:f>
        <x:v>0</x:v>
      </x:c>
      <x:c r="V124" s="648" t="n">
        <x:f>IF(P124&gt;0,N124,0)</x:f>
        <x:v>0.00595</x:v>
      </x:c>
      <x:c r="W124" s="648" t="n">
        <x:f>IF(AND(P124&gt;0,S124&lt;0),N124,0)</x:f>
        <x:v>0</x:v>
      </x:c>
      <x:c r="X124" s="648" t="n">
        <x:f>IF(AND(P124&gt;0,S124=0),N124,0)</x:f>
        <x:v>0</x:v>
      </x:c>
      <x:c r="Y124" s="648" t="n">
        <x:f>IF(Q124&gt;0,N124,0)</x:f>
        <x:v>0</x:v>
      </x:c>
      <x:c r="Z124" s="647" t="n">
        <x:f>IF(P124&gt;0,N124*S124,0)</x:f>
        <x:v>119.00000000000001</x:v>
      </x:c>
      <x:c r="AA124" s="647" t="n">
        <x:f>IF(Q124&gt;0,N124*T124,0)</x:f>
        <x:v>0</x:v>
      </x:c>
      <x:c r="AB124" s="647" t="n">
        <x:f>N124*R124</x:f>
        <x:v>297.5</x:v>
      </x:c>
      <x:c r="AC124" s="647" t="n">
        <x:f>IF(N124&gt;0,R124,999999)</x:f>
        <x:v>50000</x:v>
      </x:c>
      <x:c r="AD124" s="647" t="n">
        <x:f>IF(AND(N124&gt;0,P124&gt;0),S124,999999)</x:f>
        <x:v>20000</x:v>
      </x:c>
      <x:c r="AE124" s="647" t="n">
        <x:f>IF(AND(N124&gt;0,Q124&gt;0),T124,999999)</x:f>
        <x:v>999999</x:v>
      </x:c>
      <x:c r="AF124" s="648" t="n">
        <x:f>B124*D124*F124*J124</x:f>
        <x:v>0.0035489999999999996</x:v>
      </x:c>
      <x:c r="AG124" s="648" t="n">
        <x:f>IF(P124&gt;0,AF124,0)</x:f>
        <x:v>0.0035489999999999996</x:v>
      </x:c>
      <x:c r="AH124" s="648" t="n">
        <x:f>IF(AND(P124&gt;0,S124&lt;0),AF124,0)</x:f>
        <x:v>0</x:v>
      </x:c>
      <x:c r="AI124" s="648" t="n">
        <x:f>IF(AND(P124&gt;0,S124=0),AF124,0)</x:f>
        <x:v>0</x:v>
      </x:c>
      <x:c r="AJ124" s="648" t="n">
        <x:f>IF(R124&lt;30000,AF124,0)</x:f>
        <x:v>0</x:v>
      </x:c>
      <x:c r="AK124" s="647" t="n">
        <x:f>IF(P124&gt;0,AF124*S124,0)</x:f>
        <x:v>70.97999999999999</x:v>
      </x:c>
    </x:row>
    <x:row r="125" ht="22" customHeight="1">
      <x:c r="A125" s="19" t="str">
        <x:v>保守</x:v>
      </x:c>
      <x:c r="B125" s="23" t="n">
        <x:f>'114_降本系数'!B26</x:f>
        <x:v>0.35</x:v>
      </x:c>
      <x:c r="C125" s="19" t="str">
        <x:v>L1B</x:v>
      </x:c>
      <x:c r="D125" s="23" t="n">
        <x:f>'130_联合算法'!C18</x:f>
        <x:v>0.1</x:v>
      </x:c>
      <x:c r="E125" s="460" t="n">
        <x:f>'117_价格概率传导'!A9</x:f>
        <x:v>239900</x:v>
      </x:c>
      <x:c r="F125" s="23" t="n">
        <x:f>'117_价格概率传导'!C9</x:f>
        <x:v>0.26</x:v>
      </x:c>
      <x:c r="G125" s="23" t="n">
        <x:f>SUM('117_价格概率传导'!$C$6:$C$8)</x:f>
        <x:v>0.67</x:v>
      </x:c>
      <x:c r="H125" s="23" t="n">
        <x:f>SUM('117_价格概率传导'!$C$6:$C$9)</x:f>
        <x:v>0.93</x:v>
      </x:c>
      <x:c r="I125" s="460" t="n">
        <x:f>'117_价格概率传导'!A20</x:f>
        <x:v>269900</x:v>
      </x:c>
      <x:c r="J125" s="23" t="n">
        <x:f>'117_价格概率传导'!C20</x:f>
        <x:v>0.13</x:v>
      </x:c>
      <x:c r="K125" s="23" t="n">
        <x:f>SUM('117_价格概率传导'!$C$16:$C$19)</x:f>
        <x:v>0.8400000000000001</x:v>
      </x:c>
      <x:c r="L125" s="23" t="n">
        <x:f>SUM('117_价格概率传导'!$C$16:$C$20)</x:f>
        <x:v>0.9700000000000001</x:v>
      </x:c>
      <x:c r="M125" s="23" t="n">
        <x:f>MAX(0,MIN(H125,L125)-MAX(G125,K125))</x:f>
        <x:v>0.08999999999999997</x:v>
      </x:c>
      <x:c r="N125" s="23" t="n">
        <x:f>B125*D125*M125</x:f>
        <x:v>0.0031499999999999987</x:v>
      </x:c>
      <x:c r="O125" s="460" t="n">
        <x:f>MIN(289900,I125+10000)</x:f>
        <x:v>279900</x:v>
      </x:c>
      <x:c r="P125" s="460" t="n">
        <x:f>O125-30000</x:f>
        <x:v>249900</x:v>
      </x:c>
      <x:c r="Q125" s="460" t="str">
        <x:f>""</x:f>
      </x:c>
      <x:c r="R125" s="460" t="n">
        <x:f>O125-E125</x:f>
        <x:v>40000</x:v>
      </x:c>
      <x:c r="S125" s="460" t="n">
        <x:f>IF(P125&gt;0,P125-E125,"")</x:f>
        <x:v>10000</x:v>
      </x:c>
      <x:c r="T125" s="460" t="str">
        <x:f>IF(Q125&gt;0,Q125-E125,"")</x:f>
      </x:c>
      <x:c r="U125" s="23" t="n">
        <x:f>IF(R125&lt;30000,N125,0)</x:f>
        <x:v>0</x:v>
      </x:c>
      <x:c r="V125" s="23" t="n">
        <x:f>IF(P125&gt;0,N125,0)</x:f>
        <x:v>0.0031499999999999987</x:v>
      </x:c>
      <x:c r="W125" s="23" t="n">
        <x:f>IF(AND(P125&gt;0,S125&lt;0),N125,0)</x:f>
        <x:v>0</x:v>
      </x:c>
      <x:c r="X125" s="23" t="n">
        <x:f>IF(AND(P125&gt;0,S125=0),N125,0)</x:f>
        <x:v>0</x:v>
      </x:c>
      <x:c r="Y125" s="23" t="n">
        <x:f>IF(Q125&gt;0,N125,0)</x:f>
        <x:v>0</x:v>
      </x:c>
      <x:c r="Z125" s="460" t="n">
        <x:f>IF(P125&gt;0,N125*S125,0)</x:f>
        <x:v>31.499999999999986</x:v>
      </x:c>
      <x:c r="AA125" s="460" t="n">
        <x:f>IF(Q125&gt;0,N125*T125,0)</x:f>
        <x:v>0</x:v>
      </x:c>
      <x:c r="AB125" s="460" t="n">
        <x:f>N125*R125</x:f>
        <x:v>125.99999999999994</x:v>
      </x:c>
      <x:c r="AC125" s="460" t="n">
        <x:f>IF(N125&gt;0,R125,999999)</x:f>
        <x:v>40000</x:v>
      </x:c>
      <x:c r="AD125" s="460" t="n">
        <x:f>IF(AND(N125&gt;0,P125&gt;0),S125,999999)</x:f>
        <x:v>10000</x:v>
      </x:c>
      <x:c r="AE125" s="460" t="n">
        <x:f>IF(AND(N125&gt;0,Q125&gt;0),T125,999999)</x:f>
        <x:v>999999</x:v>
      </x:c>
      <x:c r="AF125" s="23" t="n">
        <x:f>B125*D125*F125*J125</x:f>
        <x:v>0.0011829999999999998</x:v>
      </x:c>
      <x:c r="AG125" s="23" t="n">
        <x:f>IF(P125&gt;0,AF125,0)</x:f>
        <x:v>0.0011829999999999998</x:v>
      </x:c>
      <x:c r="AH125" s="23" t="n">
        <x:f>IF(AND(P125&gt;0,S125&lt;0),AF125,0)</x:f>
        <x:v>0</x:v>
      </x:c>
      <x:c r="AI125" s="23" t="n">
        <x:f>IF(AND(P125&gt;0,S125=0),AF125,0)</x:f>
        <x:v>0</x:v>
      </x:c>
      <x:c r="AJ125" s="23" t="n">
        <x:f>IF(R125&lt;30000,AF125,0)</x:f>
        <x:v>0</x:v>
      </x:c>
      <x:c r="AK125" s="460" t="n">
        <x:f>IF(P125&gt;0,AF125*S125,0)</x:f>
        <x:v>11.829999999999998</x:v>
      </x:c>
    </x:row>
    <x:row r="126" ht="22" customHeight="1">
      <x:c r="A126" s="643" t="str">
        <x:v>保守</x:v>
      </x:c>
      <x:c r="B126" s="648" t="n">
        <x:f>'114_降本系数'!B26</x:f>
        <x:v>0.35</x:v>
      </x:c>
      <x:c r="C126" s="643" t="str">
        <x:v>L1B</x:v>
      </x:c>
      <x:c r="D126" s="648" t="n">
        <x:f>'130_联合算法'!C18</x:f>
        <x:v>0.1</x:v>
      </x:c>
      <x:c r="E126" s="647" t="n">
        <x:f>'117_价格概率传导'!A9</x:f>
        <x:v>239900</x:v>
      </x:c>
      <x:c r="F126" s="648" t="n">
        <x:f>'117_价格概率传导'!C9</x:f>
        <x:v>0.26</x:v>
      </x:c>
      <x:c r="G126" s="648" t="n">
        <x:f>SUM('117_价格概率传导'!$C$6:$C$8)</x:f>
        <x:v>0.67</x:v>
      </x:c>
      <x:c r="H126" s="648" t="n">
        <x:f>SUM('117_价格概率传导'!$C$6:$C$9)</x:f>
        <x:v>0.93</x:v>
      </x:c>
      <x:c r="I126" s="647" t="n">
        <x:f>'117_价格概率传导'!A21</x:f>
        <x:v>259900</x:v>
      </x:c>
      <x:c r="J126" s="648" t="n">
        <x:f>'117_价格概率传导'!C21</x:f>
        <x:v>0.03</x:v>
      </x:c>
      <x:c r="K126" s="648" t="n">
        <x:f>SUM('117_价格概率传导'!$C$16:$C$20)</x:f>
        <x:v>0.9700000000000001</x:v>
      </x:c>
      <x:c r="L126" s="648" t="n">
        <x:f>SUM('117_价格概率传导'!$C$16:$C$21)</x:f>
        <x:v>1</x:v>
      </x:c>
      <x:c r="M126" s="648" t="n">
        <x:f>MAX(0,MIN(H126,L126)-MAX(G126,K126))</x:f>
        <x:v>0</x:v>
      </x:c>
      <x:c r="N126" s="648" t="n">
        <x:f>B126*D126*M126</x:f>
        <x:v>0</x:v>
      </x:c>
      <x:c r="O126" s="647" t="n">
        <x:f>MIN(289900,I126+10000)</x:f>
        <x:v>269900</x:v>
      </x:c>
      <x:c r="P126" s="647" t="n">
        <x:f>O126-30000</x:f>
        <x:v>239900</x:v>
      </x:c>
      <x:c r="Q126" s="647" t="str">
        <x:f>""</x:f>
      </x:c>
      <x:c r="R126" s="647" t="n">
        <x:f>O126-E126</x:f>
        <x:v>30000</x:v>
      </x:c>
      <x:c r="S126" s="647" t="n">
        <x:f>IF(P126&gt;0,P126-E126,"")</x:f>
        <x:v>0</x:v>
      </x:c>
      <x:c r="T126" s="647" t="str">
        <x:f>IF(Q126&gt;0,Q126-E126,"")</x:f>
      </x:c>
      <x:c r="U126" s="648" t="n">
        <x:f>IF(R126&lt;30000,N126,0)</x:f>
        <x:v>0</x:v>
      </x:c>
      <x:c r="V126" s="648" t="n">
        <x:f>IF(P126&gt;0,N126,0)</x:f>
        <x:v>0</x:v>
      </x:c>
      <x:c r="W126" s="648" t="n">
        <x:f>IF(AND(P126&gt;0,S126&lt;0),N126,0)</x:f>
        <x:v>0</x:v>
      </x:c>
      <x:c r="X126" s="648" t="n">
        <x:f>IF(AND(P126&gt;0,S126=0),N126,0)</x:f>
        <x:v>0</x:v>
      </x:c>
      <x:c r="Y126" s="648" t="n">
        <x:f>IF(Q126&gt;0,N126,0)</x:f>
        <x:v>0</x:v>
      </x:c>
      <x:c r="Z126" s="647" t="n">
        <x:f>IF(P126&gt;0,N126*S126,0)</x:f>
        <x:v>0</x:v>
      </x:c>
      <x:c r="AA126" s="647" t="n">
        <x:f>IF(Q126&gt;0,N126*T126,0)</x:f>
        <x:v>0</x:v>
      </x:c>
      <x:c r="AB126" s="647" t="n">
        <x:f>N126*R126</x:f>
        <x:v>0</x:v>
      </x:c>
      <x:c r="AC126" s="647" t="n">
        <x:f>IF(N126&gt;0,R126,999999)</x:f>
        <x:v>999999</x:v>
      </x:c>
      <x:c r="AD126" s="647" t="n">
        <x:f>IF(AND(N126&gt;0,P126&gt;0),S126,999999)</x:f>
        <x:v>999999</x:v>
      </x:c>
      <x:c r="AE126" s="647" t="n">
        <x:f>IF(AND(N126&gt;0,Q126&gt;0),T126,999999)</x:f>
        <x:v>999999</x:v>
      </x:c>
      <x:c r="AF126" s="648" t="n">
        <x:f>B126*D126*F126*J126</x:f>
        <x:v>0.00027299999999999997</x:v>
      </x:c>
      <x:c r="AG126" s="648" t="n">
        <x:f>IF(P126&gt;0,AF126,0)</x:f>
        <x:v>0.00027299999999999997</x:v>
      </x:c>
      <x:c r="AH126" s="648" t="n">
        <x:f>IF(AND(P126&gt;0,S126&lt;0),AF126,0)</x:f>
        <x:v>0</x:v>
      </x:c>
      <x:c r="AI126" s="648" t="n">
        <x:f>IF(AND(P126&gt;0,S126=0),AF126,0)</x:f>
        <x:v>0.00027299999999999997</x:v>
      </x:c>
      <x:c r="AJ126" s="648" t="n">
        <x:f>IF(R126&lt;30000,AF126,0)</x:f>
        <x:v>0</x:v>
      </x:c>
      <x:c r="AK126" s="647" t="n">
        <x:f>IF(P126&gt;0,AF126*S126,0)</x:f>
        <x:v>0</x:v>
      </x:c>
    </x:row>
    <x:row r="127" ht="22" customHeight="1">
      <x:c r="A127" s="19" t="str">
        <x:v>保守</x:v>
      </x:c>
      <x:c r="B127" s="23" t="n">
        <x:f>'114_降本系数'!B26</x:f>
        <x:v>0.35</x:v>
      </x:c>
      <x:c r="C127" s="19" t="str">
        <x:v>L1B</x:v>
      </x:c>
      <x:c r="D127" s="23" t="n">
        <x:f>'130_联合算法'!C18</x:f>
        <x:v>0.1</x:v>
      </x:c>
      <x:c r="E127" s="460" t="n">
        <x:f>'117_价格概率传导'!A10</x:f>
        <x:v>229900</x:v>
      </x:c>
      <x:c r="F127" s="23" t="n">
        <x:f>'117_价格概率传导'!C10</x:f>
        <x:v>0.06</x:v>
      </x:c>
      <x:c r="G127" s="23" t="n">
        <x:f>SUM('117_价格概率传导'!$C$6:$C$9)</x:f>
        <x:v>0.93</x:v>
      </x:c>
      <x:c r="H127" s="23" t="n">
        <x:f>SUM('117_价格概率传导'!$C$6:$C$10)</x:f>
        <x:v>0.99</x:v>
      </x:c>
      <x:c r="I127" s="460" t="n">
        <x:f>'117_价格概率传导'!A16</x:f>
        <x:v>299900</x:v>
      </x:c>
      <x:c r="J127" s="23" t="n">
        <x:f>'117_价格概率传导'!C16</x:f>
        <x:v>0.05</x:v>
      </x:c>
      <x:c r="K127" s="23" t="n">
        <x:f>0</x:f>
        <x:v>0</x:v>
      </x:c>
      <x:c r="L127" s="23" t="n">
        <x:f>SUM('117_价格概率传导'!$C$16:$C$16)</x:f>
        <x:v>0.05</x:v>
      </x:c>
      <x:c r="M127" s="23" t="n">
        <x:f>MAX(0,MIN(H127,L127)-MAX(G127,K127))</x:f>
        <x:v>0</x:v>
      </x:c>
      <x:c r="N127" s="23" t="n">
        <x:f>B127*D127*M127</x:f>
        <x:v>0</x:v>
      </x:c>
      <x:c r="O127" s="460" t="n">
        <x:f>MIN(289900,I127+10000)</x:f>
        <x:v>289900</x:v>
      </x:c>
      <x:c r="P127" s="460" t="n">
        <x:f>O127-30000</x:f>
        <x:v>259900</x:v>
      </x:c>
      <x:c r="Q127" s="460" t="str">
        <x:f>""</x:f>
      </x:c>
      <x:c r="R127" s="460" t="n">
        <x:f>O127-E127</x:f>
        <x:v>60000</x:v>
      </x:c>
      <x:c r="S127" s="460" t="n">
        <x:f>IF(P127&gt;0,P127-E127,"")</x:f>
        <x:v>30000</x:v>
      </x:c>
      <x:c r="T127" s="460" t="str">
        <x:f>IF(Q127&gt;0,Q127-E127,"")</x:f>
      </x:c>
      <x:c r="U127" s="23" t="n">
        <x:f>IF(R127&lt;30000,N127,0)</x:f>
        <x:v>0</x:v>
      </x:c>
      <x:c r="V127" s="23" t="n">
        <x:f>IF(P127&gt;0,N127,0)</x:f>
        <x:v>0</x:v>
      </x:c>
      <x:c r="W127" s="23" t="n">
        <x:f>IF(AND(P127&gt;0,S127&lt;0),N127,0)</x:f>
        <x:v>0</x:v>
      </x:c>
      <x:c r="X127" s="23" t="n">
        <x:f>IF(AND(P127&gt;0,S127=0),N127,0)</x:f>
        <x:v>0</x:v>
      </x:c>
      <x:c r="Y127" s="23" t="n">
        <x:f>IF(Q127&gt;0,N127,0)</x:f>
        <x:v>0</x:v>
      </x:c>
      <x:c r="Z127" s="460" t="n">
        <x:f>IF(P127&gt;0,N127*S127,0)</x:f>
        <x:v>0</x:v>
      </x:c>
      <x:c r="AA127" s="460" t="n">
        <x:f>IF(Q127&gt;0,N127*T127,0)</x:f>
        <x:v>0</x:v>
      </x:c>
      <x:c r="AB127" s="460" t="n">
        <x:f>N127*R127</x:f>
        <x:v>0</x:v>
      </x:c>
      <x:c r="AC127" s="460" t="n">
        <x:f>IF(N127&gt;0,R127,999999)</x:f>
        <x:v>999999</x:v>
      </x:c>
      <x:c r="AD127" s="460" t="n">
        <x:f>IF(AND(N127&gt;0,P127&gt;0),S127,999999)</x:f>
        <x:v>999999</x:v>
      </x:c>
      <x:c r="AE127" s="460" t="n">
        <x:f>IF(AND(N127&gt;0,Q127&gt;0),T127,999999)</x:f>
        <x:v>999999</x:v>
      </x:c>
      <x:c r="AF127" s="23" t="n">
        <x:f>B127*D127*F127*J127</x:f>
        <x:v>0.000105</x:v>
      </x:c>
      <x:c r="AG127" s="23" t="n">
        <x:f>IF(P127&gt;0,AF127,0)</x:f>
        <x:v>0.000105</x:v>
      </x:c>
      <x:c r="AH127" s="23" t="n">
        <x:f>IF(AND(P127&gt;0,S127&lt;0),AF127,0)</x:f>
        <x:v>0</x:v>
      </x:c>
      <x:c r="AI127" s="23" t="n">
        <x:f>IF(AND(P127&gt;0,S127=0),AF127,0)</x:f>
        <x:v>0</x:v>
      </x:c>
      <x:c r="AJ127" s="23" t="n">
        <x:f>IF(R127&lt;30000,AF127,0)</x:f>
        <x:v>0</x:v>
      </x:c>
      <x:c r="AK127" s="460" t="n">
        <x:f>IF(P127&gt;0,AF127*S127,0)</x:f>
        <x:v>3.15</x:v>
      </x:c>
    </x:row>
    <x:row r="128" ht="22" customHeight="1">
      <x:c r="A128" s="643" t="str">
        <x:v>保守</x:v>
      </x:c>
      <x:c r="B128" s="648" t="n">
        <x:f>'114_降本系数'!B26</x:f>
        <x:v>0.35</x:v>
      </x:c>
      <x:c r="C128" s="643" t="str">
        <x:v>L1B</x:v>
      </x:c>
      <x:c r="D128" s="648" t="n">
        <x:f>'130_联合算法'!C18</x:f>
        <x:v>0.1</x:v>
      </x:c>
      <x:c r="E128" s="647" t="n">
        <x:f>'117_价格概率传导'!A10</x:f>
        <x:v>229900</x:v>
      </x:c>
      <x:c r="F128" s="648" t="n">
        <x:f>'117_价格概率传导'!C10</x:f>
        <x:v>0.06</x:v>
      </x:c>
      <x:c r="G128" s="648" t="n">
        <x:f>SUM('117_价格概率传导'!$C$6:$C$9)</x:f>
        <x:v>0.93</x:v>
      </x:c>
      <x:c r="H128" s="648" t="n">
        <x:f>SUM('117_价格概率传导'!$C$6:$C$10)</x:f>
        <x:v>0.99</x:v>
      </x:c>
      <x:c r="I128" s="647" t="n">
        <x:f>'117_价格概率传导'!A17</x:f>
        <x:v>293900</x:v>
      </x:c>
      <x:c r="J128" s="648" t="n">
        <x:f>'117_价格概率传导'!C17</x:f>
        <x:v>0.06</x:v>
      </x:c>
      <x:c r="K128" s="648" t="n">
        <x:f>SUM('117_价格概率传导'!$C$16:$C$16)</x:f>
        <x:v>0.05</x:v>
      </x:c>
      <x:c r="L128" s="648" t="n">
        <x:f>SUM('117_价格概率传导'!$C$16:$C$17)</x:f>
        <x:v>0.11</x:v>
      </x:c>
      <x:c r="M128" s="648" t="n">
        <x:f>MAX(0,MIN(H128,L128)-MAX(G128,K128))</x:f>
        <x:v>0</x:v>
      </x:c>
      <x:c r="N128" s="648" t="n">
        <x:f>B128*D128*M128</x:f>
        <x:v>0</x:v>
      </x:c>
      <x:c r="O128" s="647" t="n">
        <x:f>MIN(289900,I128+10000)</x:f>
        <x:v>289900</x:v>
      </x:c>
      <x:c r="P128" s="647" t="n">
        <x:f>O128-30000</x:f>
        <x:v>259900</x:v>
      </x:c>
      <x:c r="Q128" s="647" t="str">
        <x:f>""</x:f>
      </x:c>
      <x:c r="R128" s="647" t="n">
        <x:f>O128-E128</x:f>
        <x:v>60000</x:v>
      </x:c>
      <x:c r="S128" s="647" t="n">
        <x:f>IF(P128&gt;0,P128-E128,"")</x:f>
        <x:v>30000</x:v>
      </x:c>
      <x:c r="T128" s="647" t="str">
        <x:f>IF(Q128&gt;0,Q128-E128,"")</x:f>
      </x:c>
      <x:c r="U128" s="648" t="n">
        <x:f>IF(R128&lt;30000,N128,0)</x:f>
        <x:v>0</x:v>
      </x:c>
      <x:c r="V128" s="648" t="n">
        <x:f>IF(P128&gt;0,N128,0)</x:f>
        <x:v>0</x:v>
      </x:c>
      <x:c r="W128" s="648" t="n">
        <x:f>IF(AND(P128&gt;0,S128&lt;0),N128,0)</x:f>
        <x:v>0</x:v>
      </x:c>
      <x:c r="X128" s="648" t="n">
        <x:f>IF(AND(P128&gt;0,S128=0),N128,0)</x:f>
        <x:v>0</x:v>
      </x:c>
      <x:c r="Y128" s="648" t="n">
        <x:f>IF(Q128&gt;0,N128,0)</x:f>
        <x:v>0</x:v>
      </x:c>
      <x:c r="Z128" s="647" t="n">
        <x:f>IF(P128&gt;0,N128*S128,0)</x:f>
        <x:v>0</x:v>
      </x:c>
      <x:c r="AA128" s="647" t="n">
        <x:f>IF(Q128&gt;0,N128*T128,0)</x:f>
        <x:v>0</x:v>
      </x:c>
      <x:c r="AB128" s="647" t="n">
        <x:f>N128*R128</x:f>
        <x:v>0</x:v>
      </x:c>
      <x:c r="AC128" s="647" t="n">
        <x:f>IF(N128&gt;0,R128,999999)</x:f>
        <x:v>999999</x:v>
      </x:c>
      <x:c r="AD128" s="647" t="n">
        <x:f>IF(AND(N128&gt;0,P128&gt;0),S128,999999)</x:f>
        <x:v>999999</x:v>
      </x:c>
      <x:c r="AE128" s="647" t="n">
        <x:f>IF(AND(N128&gt;0,Q128&gt;0),T128,999999)</x:f>
        <x:v>999999</x:v>
      </x:c>
      <x:c r="AF128" s="648" t="n">
        <x:f>B128*D128*F128*J128</x:f>
        <x:v>0.000126</x:v>
      </x:c>
      <x:c r="AG128" s="648" t="n">
        <x:f>IF(P128&gt;0,AF128,0)</x:f>
        <x:v>0.000126</x:v>
      </x:c>
      <x:c r="AH128" s="648" t="n">
        <x:f>IF(AND(P128&gt;0,S128&lt;0),AF128,0)</x:f>
        <x:v>0</x:v>
      </x:c>
      <x:c r="AI128" s="648" t="n">
        <x:f>IF(AND(P128&gt;0,S128=0),AF128,0)</x:f>
        <x:v>0</x:v>
      </x:c>
      <x:c r="AJ128" s="648" t="n">
        <x:f>IF(R128&lt;30000,AF128,0)</x:f>
        <x:v>0</x:v>
      </x:c>
      <x:c r="AK128" s="647" t="n">
        <x:f>IF(P128&gt;0,AF128*S128,0)</x:f>
        <x:v>3.78</x:v>
      </x:c>
    </x:row>
    <x:row r="129" ht="22" customHeight="1">
      <x:c r="A129" s="19" t="str">
        <x:v>保守</x:v>
      </x:c>
      <x:c r="B129" s="23" t="n">
        <x:f>'114_降本系数'!B26</x:f>
        <x:v>0.35</x:v>
      </x:c>
      <x:c r="C129" s="19" t="str">
        <x:v>L1B</x:v>
      </x:c>
      <x:c r="D129" s="23" t="n">
        <x:f>'130_联合算法'!C18</x:f>
        <x:v>0.1</x:v>
      </x:c>
      <x:c r="E129" s="460" t="n">
        <x:f>'117_价格概率传导'!A10</x:f>
        <x:v>229900</x:v>
      </x:c>
      <x:c r="F129" s="23" t="n">
        <x:f>'117_价格概率传导'!C10</x:f>
        <x:v>0.06</x:v>
      </x:c>
      <x:c r="G129" s="23" t="n">
        <x:f>SUM('117_价格概率传导'!$C$6:$C$9)</x:f>
        <x:v>0.93</x:v>
      </x:c>
      <x:c r="H129" s="23" t="n">
        <x:f>SUM('117_价格概率传导'!$C$6:$C$10)</x:f>
        <x:v>0.99</x:v>
      </x:c>
      <x:c r="I129" s="460" t="n">
        <x:f>'117_价格概率传导'!A18</x:f>
        <x:v>289900</x:v>
      </x:c>
      <x:c r="J129" s="23" t="n">
        <x:f>'117_价格概率传导'!C18</x:f>
        <x:v>0.34</x:v>
      </x:c>
      <x:c r="K129" s="23" t="n">
        <x:f>SUM('117_价格概率传导'!$C$16:$C$17)</x:f>
        <x:v>0.11</x:v>
      </x:c>
      <x:c r="L129" s="23" t="n">
        <x:f>SUM('117_价格概率传导'!$C$16:$C$18)</x:f>
        <x:v>0.45</x:v>
      </x:c>
      <x:c r="M129" s="23" t="n">
        <x:f>MAX(0,MIN(H129,L129)-MAX(G129,K129))</x:f>
        <x:v>0</x:v>
      </x:c>
      <x:c r="N129" s="23" t="n">
        <x:f>B129*D129*M129</x:f>
        <x:v>0</x:v>
      </x:c>
      <x:c r="O129" s="460" t="n">
        <x:f>MIN(289900,I129+10000)</x:f>
        <x:v>289900</x:v>
      </x:c>
      <x:c r="P129" s="460" t="n">
        <x:f>O129-30000</x:f>
        <x:v>259900</x:v>
      </x:c>
      <x:c r="Q129" s="460" t="str">
        <x:f>""</x:f>
      </x:c>
      <x:c r="R129" s="460" t="n">
        <x:f>O129-E129</x:f>
        <x:v>60000</x:v>
      </x:c>
      <x:c r="S129" s="460" t="n">
        <x:f>IF(P129&gt;0,P129-E129,"")</x:f>
        <x:v>30000</x:v>
      </x:c>
      <x:c r="T129" s="460" t="str">
        <x:f>IF(Q129&gt;0,Q129-E129,"")</x:f>
      </x:c>
      <x:c r="U129" s="23" t="n">
        <x:f>IF(R129&lt;30000,N129,0)</x:f>
        <x:v>0</x:v>
      </x:c>
      <x:c r="V129" s="23" t="n">
        <x:f>IF(P129&gt;0,N129,0)</x:f>
        <x:v>0</x:v>
      </x:c>
      <x:c r="W129" s="23" t="n">
        <x:f>IF(AND(P129&gt;0,S129&lt;0),N129,0)</x:f>
        <x:v>0</x:v>
      </x:c>
      <x:c r="X129" s="23" t="n">
        <x:f>IF(AND(P129&gt;0,S129=0),N129,0)</x:f>
        <x:v>0</x:v>
      </x:c>
      <x:c r="Y129" s="23" t="n">
        <x:f>IF(Q129&gt;0,N129,0)</x:f>
        <x:v>0</x:v>
      </x:c>
      <x:c r="Z129" s="460" t="n">
        <x:f>IF(P129&gt;0,N129*S129,0)</x:f>
        <x:v>0</x:v>
      </x:c>
      <x:c r="AA129" s="460" t="n">
        <x:f>IF(Q129&gt;0,N129*T129,0)</x:f>
        <x:v>0</x:v>
      </x:c>
      <x:c r="AB129" s="460" t="n">
        <x:f>N129*R129</x:f>
        <x:v>0</x:v>
      </x:c>
      <x:c r="AC129" s="460" t="n">
        <x:f>IF(N129&gt;0,R129,999999)</x:f>
        <x:v>999999</x:v>
      </x:c>
      <x:c r="AD129" s="460" t="n">
        <x:f>IF(AND(N129&gt;0,P129&gt;0),S129,999999)</x:f>
        <x:v>999999</x:v>
      </x:c>
      <x:c r="AE129" s="460" t="n">
        <x:f>IF(AND(N129&gt;0,Q129&gt;0),T129,999999)</x:f>
        <x:v>999999</x:v>
      </x:c>
      <x:c r="AF129" s="23" t="n">
        <x:f>B129*D129*F129*J129</x:f>
        <x:v>0.000714</x:v>
      </x:c>
      <x:c r="AG129" s="23" t="n">
        <x:f>IF(P129&gt;0,AF129,0)</x:f>
        <x:v>0.000714</x:v>
      </x:c>
      <x:c r="AH129" s="23" t="n">
        <x:f>IF(AND(P129&gt;0,S129&lt;0),AF129,0)</x:f>
        <x:v>0</x:v>
      </x:c>
      <x:c r="AI129" s="23" t="n">
        <x:f>IF(AND(P129&gt;0,S129=0),AF129,0)</x:f>
        <x:v>0</x:v>
      </x:c>
      <x:c r="AJ129" s="23" t="n">
        <x:f>IF(R129&lt;30000,AF129,0)</x:f>
        <x:v>0</x:v>
      </x:c>
      <x:c r="AK129" s="460" t="n">
        <x:f>IF(P129&gt;0,AF129*S129,0)</x:f>
        <x:v>21.42</x:v>
      </x:c>
    </x:row>
    <x:row r="130" ht="22" customHeight="1">
      <x:c r="A130" s="643" t="str">
        <x:v>保守</x:v>
      </x:c>
      <x:c r="B130" s="648" t="n">
        <x:f>'114_降本系数'!B26</x:f>
        <x:v>0.35</x:v>
      </x:c>
      <x:c r="C130" s="643" t="str">
        <x:v>L1B</x:v>
      </x:c>
      <x:c r="D130" s="648" t="n">
        <x:f>'130_联合算法'!C18</x:f>
        <x:v>0.1</x:v>
      </x:c>
      <x:c r="E130" s="647" t="n">
        <x:f>'117_价格概率传导'!A10</x:f>
        <x:v>229900</x:v>
      </x:c>
      <x:c r="F130" s="648" t="n">
        <x:f>'117_价格概率传导'!C10</x:f>
        <x:v>0.06</x:v>
      </x:c>
      <x:c r="G130" s="648" t="n">
        <x:f>SUM('117_价格概率传导'!$C$6:$C$9)</x:f>
        <x:v>0.93</x:v>
      </x:c>
      <x:c r="H130" s="648" t="n">
        <x:f>SUM('117_价格概率传导'!$C$6:$C$10)</x:f>
        <x:v>0.99</x:v>
      </x:c>
      <x:c r="I130" s="647" t="n">
        <x:f>'117_价格概率传导'!A19</x:f>
        <x:v>279900</x:v>
      </x:c>
      <x:c r="J130" s="648" t="n">
        <x:f>'117_价格概率传导'!C19</x:f>
        <x:v>0.39</x:v>
      </x:c>
      <x:c r="K130" s="648" t="n">
        <x:f>SUM('117_价格概率传导'!$C$16:$C$18)</x:f>
        <x:v>0.45</x:v>
      </x:c>
      <x:c r="L130" s="648" t="n">
        <x:f>SUM('117_价格概率传导'!$C$16:$C$19)</x:f>
        <x:v>0.8400000000000001</x:v>
      </x:c>
      <x:c r="M130" s="648" t="n">
        <x:f>MAX(0,MIN(H130,L130)-MAX(G130,K130))</x:f>
        <x:v>0</x:v>
      </x:c>
      <x:c r="N130" s="648" t="n">
        <x:f>B130*D130*M130</x:f>
        <x:v>0</x:v>
      </x:c>
      <x:c r="O130" s="647" t="n">
        <x:f>MIN(289900,I130+10000)</x:f>
        <x:v>289900</x:v>
      </x:c>
      <x:c r="P130" s="647" t="n">
        <x:f>O130-30000</x:f>
        <x:v>259900</x:v>
      </x:c>
      <x:c r="Q130" s="647" t="str">
        <x:f>""</x:f>
      </x:c>
      <x:c r="R130" s="647" t="n">
        <x:f>O130-E130</x:f>
        <x:v>60000</x:v>
      </x:c>
      <x:c r="S130" s="647" t="n">
        <x:f>IF(P130&gt;0,P130-E130,"")</x:f>
        <x:v>30000</x:v>
      </x:c>
      <x:c r="T130" s="647" t="str">
        <x:f>IF(Q130&gt;0,Q130-E130,"")</x:f>
      </x:c>
      <x:c r="U130" s="648" t="n">
        <x:f>IF(R130&lt;30000,N130,0)</x:f>
        <x:v>0</x:v>
      </x:c>
      <x:c r="V130" s="648" t="n">
        <x:f>IF(P130&gt;0,N130,0)</x:f>
        <x:v>0</x:v>
      </x:c>
      <x:c r="W130" s="648" t="n">
        <x:f>IF(AND(P130&gt;0,S130&lt;0),N130,0)</x:f>
        <x:v>0</x:v>
      </x:c>
      <x:c r="X130" s="648" t="n">
        <x:f>IF(AND(P130&gt;0,S130=0),N130,0)</x:f>
        <x:v>0</x:v>
      </x:c>
      <x:c r="Y130" s="648" t="n">
        <x:f>IF(Q130&gt;0,N130,0)</x:f>
        <x:v>0</x:v>
      </x:c>
      <x:c r="Z130" s="647" t="n">
        <x:f>IF(P130&gt;0,N130*S130,0)</x:f>
        <x:v>0</x:v>
      </x:c>
      <x:c r="AA130" s="647" t="n">
        <x:f>IF(Q130&gt;0,N130*T130,0)</x:f>
        <x:v>0</x:v>
      </x:c>
      <x:c r="AB130" s="647" t="n">
        <x:f>N130*R130</x:f>
        <x:v>0</x:v>
      </x:c>
      <x:c r="AC130" s="647" t="n">
        <x:f>IF(N130&gt;0,R130,999999)</x:f>
        <x:v>999999</x:v>
      </x:c>
      <x:c r="AD130" s="647" t="n">
        <x:f>IF(AND(N130&gt;0,P130&gt;0),S130,999999)</x:f>
        <x:v>999999</x:v>
      </x:c>
      <x:c r="AE130" s="647" t="n">
        <x:f>IF(AND(N130&gt;0,Q130&gt;0),T130,999999)</x:f>
        <x:v>999999</x:v>
      </x:c>
      <x:c r="AF130" s="648" t="n">
        <x:f>B130*D130*F130*J130</x:f>
        <x:v>0.000819</x:v>
      </x:c>
      <x:c r="AG130" s="648" t="n">
        <x:f>IF(P130&gt;0,AF130,0)</x:f>
        <x:v>0.000819</x:v>
      </x:c>
      <x:c r="AH130" s="648" t="n">
        <x:f>IF(AND(P130&gt;0,S130&lt;0),AF130,0)</x:f>
        <x:v>0</x:v>
      </x:c>
      <x:c r="AI130" s="648" t="n">
        <x:f>IF(AND(P130&gt;0,S130=0),AF130,0)</x:f>
        <x:v>0</x:v>
      </x:c>
      <x:c r="AJ130" s="648" t="n">
        <x:f>IF(R130&lt;30000,AF130,0)</x:f>
        <x:v>0</x:v>
      </x:c>
      <x:c r="AK130" s="647" t="n">
        <x:f>IF(P130&gt;0,AF130*S130,0)</x:f>
        <x:v>24.57</x:v>
      </x:c>
    </x:row>
    <x:row r="131" ht="22" customHeight="1">
      <x:c r="A131" s="19" t="str">
        <x:v>保守</x:v>
      </x:c>
      <x:c r="B131" s="23" t="n">
        <x:f>'114_降本系数'!B26</x:f>
        <x:v>0.35</x:v>
      </x:c>
      <x:c r="C131" s="19" t="str">
        <x:v>L1B</x:v>
      </x:c>
      <x:c r="D131" s="23" t="n">
        <x:f>'130_联合算法'!C18</x:f>
        <x:v>0.1</x:v>
      </x:c>
      <x:c r="E131" s="460" t="n">
        <x:f>'117_价格概率传导'!A10</x:f>
        <x:v>229900</x:v>
      </x:c>
      <x:c r="F131" s="23" t="n">
        <x:f>'117_价格概率传导'!C10</x:f>
        <x:v>0.06</x:v>
      </x:c>
      <x:c r="G131" s="23" t="n">
        <x:f>SUM('117_价格概率传导'!$C$6:$C$9)</x:f>
        <x:v>0.93</x:v>
      </x:c>
      <x:c r="H131" s="23" t="n">
        <x:f>SUM('117_价格概率传导'!$C$6:$C$10)</x:f>
        <x:v>0.99</x:v>
      </x:c>
      <x:c r="I131" s="460" t="n">
        <x:f>'117_价格概率传导'!A20</x:f>
        <x:v>269900</x:v>
      </x:c>
      <x:c r="J131" s="23" t="n">
        <x:f>'117_价格概率传导'!C20</x:f>
        <x:v>0.13</x:v>
      </x:c>
      <x:c r="K131" s="23" t="n">
        <x:f>SUM('117_价格概率传导'!$C$16:$C$19)</x:f>
        <x:v>0.8400000000000001</x:v>
      </x:c>
      <x:c r="L131" s="23" t="n">
        <x:f>SUM('117_价格概率传导'!$C$16:$C$20)</x:f>
        <x:v>0.9700000000000001</x:v>
      </x:c>
      <x:c r="M131" s="23" t="n">
        <x:f>MAX(0,MIN(H131,L131)-MAX(G131,K131))</x:f>
        <x:v>0.040000000000000036</x:v>
      </x:c>
      <x:c r="N131" s="23" t="n">
        <x:f>B131*D131*M131</x:f>
        <x:v>0.001400000000000001</x:v>
      </x:c>
      <x:c r="O131" s="460" t="n">
        <x:f>MIN(289900,I131+10000)</x:f>
        <x:v>279900</x:v>
      </x:c>
      <x:c r="P131" s="460" t="n">
        <x:f>O131-30000</x:f>
        <x:v>249900</x:v>
      </x:c>
      <x:c r="Q131" s="460" t="str">
        <x:f>""</x:f>
      </x:c>
      <x:c r="R131" s="460" t="n">
        <x:f>O131-E131</x:f>
        <x:v>50000</x:v>
      </x:c>
      <x:c r="S131" s="460" t="n">
        <x:f>IF(P131&gt;0,P131-E131,"")</x:f>
        <x:v>20000</x:v>
      </x:c>
      <x:c r="T131" s="460" t="str">
        <x:f>IF(Q131&gt;0,Q131-E131,"")</x:f>
      </x:c>
      <x:c r="U131" s="23" t="n">
        <x:f>IF(R131&lt;30000,N131,0)</x:f>
        <x:v>0</x:v>
      </x:c>
      <x:c r="V131" s="23" t="n">
        <x:f>IF(P131&gt;0,N131,0)</x:f>
        <x:v>0.001400000000000001</x:v>
      </x:c>
      <x:c r="W131" s="23" t="n">
        <x:f>IF(AND(P131&gt;0,S131&lt;0),N131,0)</x:f>
        <x:v>0</x:v>
      </x:c>
      <x:c r="X131" s="23" t="n">
        <x:f>IF(AND(P131&gt;0,S131=0),N131,0)</x:f>
        <x:v>0</x:v>
      </x:c>
      <x:c r="Y131" s="23" t="n">
        <x:f>IF(Q131&gt;0,N131,0)</x:f>
        <x:v>0</x:v>
      </x:c>
      <x:c r="Z131" s="460" t="n">
        <x:f>IF(P131&gt;0,N131*S131,0)</x:f>
        <x:v>28.00000000000002</x:v>
      </x:c>
      <x:c r="AA131" s="460" t="n">
        <x:f>IF(Q131&gt;0,N131*T131,0)</x:f>
        <x:v>0</x:v>
      </x:c>
      <x:c r="AB131" s="460" t="n">
        <x:f>N131*R131</x:f>
        <x:v>70.00000000000006</x:v>
      </x:c>
      <x:c r="AC131" s="460" t="n">
        <x:f>IF(N131&gt;0,R131,999999)</x:f>
        <x:v>50000</x:v>
      </x:c>
      <x:c r="AD131" s="460" t="n">
        <x:f>IF(AND(N131&gt;0,P131&gt;0),S131,999999)</x:f>
        <x:v>20000</x:v>
      </x:c>
      <x:c r="AE131" s="460" t="n">
        <x:f>IF(AND(N131&gt;0,Q131&gt;0),T131,999999)</x:f>
        <x:v>999999</x:v>
      </x:c>
      <x:c r="AF131" s="23" t="n">
        <x:f>B131*D131*F131*J131</x:f>
        <x:v>0.00027299999999999997</x:v>
      </x:c>
      <x:c r="AG131" s="23" t="n">
        <x:f>IF(P131&gt;0,AF131,0)</x:f>
        <x:v>0.00027299999999999997</x:v>
      </x:c>
      <x:c r="AH131" s="23" t="n">
        <x:f>IF(AND(P131&gt;0,S131&lt;0),AF131,0)</x:f>
        <x:v>0</x:v>
      </x:c>
      <x:c r="AI131" s="23" t="n">
        <x:f>IF(AND(P131&gt;0,S131=0),AF131,0)</x:f>
        <x:v>0</x:v>
      </x:c>
      <x:c r="AJ131" s="23" t="n">
        <x:f>IF(R131&lt;30000,AF131,0)</x:f>
        <x:v>0</x:v>
      </x:c>
      <x:c r="AK131" s="460" t="n">
        <x:f>IF(P131&gt;0,AF131*S131,0)</x:f>
        <x:v>5.459999999999999</x:v>
      </x:c>
    </x:row>
    <x:row r="132" ht="22" customHeight="1">
      <x:c r="A132" s="643" t="str">
        <x:v>保守</x:v>
      </x:c>
      <x:c r="B132" s="648" t="n">
        <x:f>'114_降本系数'!B26</x:f>
        <x:v>0.35</x:v>
      </x:c>
      <x:c r="C132" s="643" t="str">
        <x:v>L1B</x:v>
      </x:c>
      <x:c r="D132" s="648" t="n">
        <x:f>'130_联合算法'!C18</x:f>
        <x:v>0.1</x:v>
      </x:c>
      <x:c r="E132" s="647" t="n">
        <x:f>'117_价格概率传导'!A10</x:f>
        <x:v>229900</x:v>
      </x:c>
      <x:c r="F132" s="648" t="n">
        <x:f>'117_价格概率传导'!C10</x:f>
        <x:v>0.06</x:v>
      </x:c>
      <x:c r="G132" s="648" t="n">
        <x:f>SUM('117_价格概率传导'!$C$6:$C$9)</x:f>
        <x:v>0.93</x:v>
      </x:c>
      <x:c r="H132" s="648" t="n">
        <x:f>SUM('117_价格概率传导'!$C$6:$C$10)</x:f>
        <x:v>0.99</x:v>
      </x:c>
      <x:c r="I132" s="647" t="n">
        <x:f>'117_价格概率传导'!A21</x:f>
        <x:v>259900</x:v>
      </x:c>
      <x:c r="J132" s="648" t="n">
        <x:f>'117_价格概率传导'!C21</x:f>
        <x:v>0.03</x:v>
      </x:c>
      <x:c r="K132" s="648" t="n">
        <x:f>SUM('117_价格概率传导'!$C$16:$C$20)</x:f>
        <x:v>0.9700000000000001</x:v>
      </x:c>
      <x:c r="L132" s="648" t="n">
        <x:f>SUM('117_价格概率传导'!$C$16:$C$21)</x:f>
        <x:v>1</x:v>
      </x:c>
      <x:c r="M132" s="648" t="n">
        <x:f>MAX(0,MIN(H132,L132)-MAX(G132,K132))</x:f>
        <x:v>0.019999999999999907</x:v>
      </x:c>
      <x:c r="N132" s="648" t="n">
        <x:f>B132*D132*M132</x:f>
        <x:v>0.0006999999999999966</x:v>
      </x:c>
      <x:c r="O132" s="647" t="n">
        <x:f>MIN(289900,I132+10000)</x:f>
        <x:v>269900</x:v>
      </x:c>
      <x:c r="P132" s="647" t="n">
        <x:f>O132-30000</x:f>
        <x:v>239900</x:v>
      </x:c>
      <x:c r="Q132" s="647" t="str">
        <x:f>""</x:f>
      </x:c>
      <x:c r="R132" s="647" t="n">
        <x:f>O132-E132</x:f>
        <x:v>40000</x:v>
      </x:c>
      <x:c r="S132" s="647" t="n">
        <x:f>IF(P132&gt;0,P132-E132,"")</x:f>
        <x:v>10000</x:v>
      </x:c>
      <x:c r="T132" s="647" t="str">
        <x:f>IF(Q132&gt;0,Q132-E132,"")</x:f>
      </x:c>
      <x:c r="U132" s="648" t="n">
        <x:f>IF(R132&lt;30000,N132,0)</x:f>
        <x:v>0</x:v>
      </x:c>
      <x:c r="V132" s="648" t="n">
        <x:f>IF(P132&gt;0,N132,0)</x:f>
        <x:v>0.0006999999999999966</x:v>
      </x:c>
      <x:c r="W132" s="648" t="n">
        <x:f>IF(AND(P132&gt;0,S132&lt;0),N132,0)</x:f>
        <x:v>0</x:v>
      </x:c>
      <x:c r="X132" s="648" t="n">
        <x:f>IF(AND(P132&gt;0,S132=0),N132,0)</x:f>
        <x:v>0</x:v>
      </x:c>
      <x:c r="Y132" s="648" t="n">
        <x:f>IF(Q132&gt;0,N132,0)</x:f>
        <x:v>0</x:v>
      </x:c>
      <x:c r="Z132" s="647" t="n">
        <x:f>IF(P132&gt;0,N132*S132,0)</x:f>
        <x:v>6.999999999999966</x:v>
      </x:c>
      <x:c r="AA132" s="647" t="n">
        <x:f>IF(Q132&gt;0,N132*T132,0)</x:f>
        <x:v>0</x:v>
      </x:c>
      <x:c r="AB132" s="647" t="n">
        <x:f>N132*R132</x:f>
        <x:v>27.999999999999865</x:v>
      </x:c>
      <x:c r="AC132" s="647" t="n">
        <x:f>IF(N132&gt;0,R132,999999)</x:f>
        <x:v>40000</x:v>
      </x:c>
      <x:c r="AD132" s="647" t="n">
        <x:f>IF(AND(N132&gt;0,P132&gt;0),S132,999999)</x:f>
        <x:v>10000</x:v>
      </x:c>
      <x:c r="AE132" s="647" t="n">
        <x:f>IF(AND(N132&gt;0,Q132&gt;0),T132,999999)</x:f>
        <x:v>999999</x:v>
      </x:c>
      <x:c r="AF132" s="648" t="n">
        <x:f>B132*D132*F132*J132</x:f>
        <x:v>0.000063</x:v>
      </x:c>
      <x:c r="AG132" s="648" t="n">
        <x:f>IF(P132&gt;0,AF132,0)</x:f>
        <x:v>0.000063</x:v>
      </x:c>
      <x:c r="AH132" s="648" t="n">
        <x:f>IF(AND(P132&gt;0,S132&lt;0),AF132,0)</x:f>
        <x:v>0</x:v>
      </x:c>
      <x:c r="AI132" s="648" t="n">
        <x:f>IF(AND(P132&gt;0,S132=0),AF132,0)</x:f>
        <x:v>0</x:v>
      </x:c>
      <x:c r="AJ132" s="648" t="n">
        <x:f>IF(R132&lt;30000,AF132,0)</x:f>
        <x:v>0</x:v>
      </x:c>
      <x:c r="AK132" s="647" t="n">
        <x:f>IF(P132&gt;0,AF132*S132,0)</x:f>
        <x:v>0.63</x:v>
      </x:c>
    </x:row>
    <x:row r="133" ht="22" customHeight="1">
      <x:c r="A133" s="19" t="str">
        <x:v>保守</x:v>
      </x:c>
      <x:c r="B133" s="23" t="n">
        <x:f>'114_降本系数'!B26</x:f>
        <x:v>0.35</x:v>
      </x:c>
      <x:c r="C133" s="19" t="str">
        <x:v>L1B</x:v>
      </x:c>
      <x:c r="D133" s="23" t="n">
        <x:f>'130_联合算法'!C18</x:f>
        <x:v>0.1</x:v>
      </x:c>
      <x:c r="E133" s="460" t="n">
        <x:f>'117_价格概率传导'!A11</x:f>
        <x:v>219900</x:v>
      </x:c>
      <x:c r="F133" s="23" t="n">
        <x:f>'117_价格概率传导'!C11</x:f>
        <x:v>0.01</x:v>
      </x:c>
      <x:c r="G133" s="23" t="n">
        <x:f>SUM('117_价格概率传导'!$C$6:$C$10)</x:f>
        <x:v>0.99</x:v>
      </x:c>
      <x:c r="H133" s="23" t="n">
        <x:f>SUM('117_价格概率传导'!$C$6:$C$11)</x:f>
        <x:v>1</x:v>
      </x:c>
      <x:c r="I133" s="460" t="n">
        <x:f>'117_价格概率传导'!A16</x:f>
        <x:v>299900</x:v>
      </x:c>
      <x:c r="J133" s="23" t="n">
        <x:f>'117_价格概率传导'!C16</x:f>
        <x:v>0.05</x:v>
      </x:c>
      <x:c r="K133" s="23" t="n">
        <x:f>0</x:f>
        <x:v>0</x:v>
      </x:c>
      <x:c r="L133" s="23" t="n">
        <x:f>SUM('117_价格概率传导'!$C$16:$C$16)</x:f>
        <x:v>0.05</x:v>
      </x:c>
      <x:c r="M133" s="23" t="n">
        <x:f>MAX(0,MIN(H133,L133)-MAX(G133,K133))</x:f>
        <x:v>0</x:v>
      </x:c>
      <x:c r="N133" s="23" t="n">
        <x:f>B133*D133*M133</x:f>
        <x:v>0</x:v>
      </x:c>
      <x:c r="O133" s="460" t="n">
        <x:f>MIN(289900,I133+10000)</x:f>
        <x:v>289900</x:v>
      </x:c>
      <x:c r="P133" s="460" t="n">
        <x:f>O133-30000</x:f>
        <x:v>259900</x:v>
      </x:c>
      <x:c r="Q133" s="460" t="str">
        <x:f>""</x:f>
      </x:c>
      <x:c r="R133" s="460" t="n">
        <x:f>O133-E133</x:f>
        <x:v>70000</x:v>
      </x:c>
      <x:c r="S133" s="460" t="n">
        <x:f>IF(P133&gt;0,P133-E133,"")</x:f>
        <x:v>40000</x:v>
      </x:c>
      <x:c r="T133" s="460" t="str">
        <x:f>IF(Q133&gt;0,Q133-E133,"")</x:f>
      </x:c>
      <x:c r="U133" s="23" t="n">
        <x:f>IF(R133&lt;30000,N133,0)</x:f>
        <x:v>0</x:v>
      </x:c>
      <x:c r="V133" s="23" t="n">
        <x:f>IF(P133&gt;0,N133,0)</x:f>
        <x:v>0</x:v>
      </x:c>
      <x:c r="W133" s="23" t="n">
        <x:f>IF(AND(P133&gt;0,S133&lt;0),N133,0)</x:f>
        <x:v>0</x:v>
      </x:c>
      <x:c r="X133" s="23" t="n">
        <x:f>IF(AND(P133&gt;0,S133=0),N133,0)</x:f>
        <x:v>0</x:v>
      </x:c>
      <x:c r="Y133" s="23" t="n">
        <x:f>IF(Q133&gt;0,N133,0)</x:f>
        <x:v>0</x:v>
      </x:c>
      <x:c r="Z133" s="460" t="n">
        <x:f>IF(P133&gt;0,N133*S133,0)</x:f>
        <x:v>0</x:v>
      </x:c>
      <x:c r="AA133" s="460" t="n">
        <x:f>IF(Q133&gt;0,N133*T133,0)</x:f>
        <x:v>0</x:v>
      </x:c>
      <x:c r="AB133" s="460" t="n">
        <x:f>N133*R133</x:f>
        <x:v>0</x:v>
      </x:c>
      <x:c r="AC133" s="460" t="n">
        <x:f>IF(N133&gt;0,R133,999999)</x:f>
        <x:v>999999</x:v>
      </x:c>
      <x:c r="AD133" s="460" t="n">
        <x:f>IF(AND(N133&gt;0,P133&gt;0),S133,999999)</x:f>
        <x:v>999999</x:v>
      </x:c>
      <x:c r="AE133" s="460" t="n">
        <x:f>IF(AND(N133&gt;0,Q133&gt;0),T133,999999)</x:f>
        <x:v>999999</x:v>
      </x:c>
      <x:c r="AF133" s="23" t="n">
        <x:f>B133*D133*F133*J133</x:f>
        <x:v>0.000017500000000000002</x:v>
      </x:c>
      <x:c r="AG133" s="23" t="n">
        <x:f>IF(P133&gt;0,AF133,0)</x:f>
        <x:v>0.000017500000000000002</x:v>
      </x:c>
      <x:c r="AH133" s="23" t="n">
        <x:f>IF(AND(P133&gt;0,S133&lt;0),AF133,0)</x:f>
        <x:v>0</x:v>
      </x:c>
      <x:c r="AI133" s="23" t="n">
        <x:f>IF(AND(P133&gt;0,S133=0),AF133,0)</x:f>
        <x:v>0</x:v>
      </x:c>
      <x:c r="AJ133" s="23" t="n">
        <x:f>IF(R133&lt;30000,AF133,0)</x:f>
        <x:v>0</x:v>
      </x:c>
      <x:c r="AK133" s="460" t="n">
        <x:f>IF(P133&gt;0,AF133*S133,0)</x:f>
        <x:v>0.7000000000000001</x:v>
      </x:c>
    </x:row>
    <x:row r="134" ht="22" customHeight="1">
      <x:c r="A134" s="643" t="str">
        <x:v>保守</x:v>
      </x:c>
      <x:c r="B134" s="648" t="n">
        <x:f>'114_降本系数'!B26</x:f>
        <x:v>0.35</x:v>
      </x:c>
      <x:c r="C134" s="643" t="str">
        <x:v>L1B</x:v>
      </x:c>
      <x:c r="D134" s="648" t="n">
        <x:f>'130_联合算法'!C18</x:f>
        <x:v>0.1</x:v>
      </x:c>
      <x:c r="E134" s="647" t="n">
        <x:f>'117_价格概率传导'!A11</x:f>
        <x:v>219900</x:v>
      </x:c>
      <x:c r="F134" s="648" t="n">
        <x:f>'117_价格概率传导'!C11</x:f>
        <x:v>0.01</x:v>
      </x:c>
      <x:c r="G134" s="648" t="n">
        <x:f>SUM('117_价格概率传导'!$C$6:$C$10)</x:f>
        <x:v>0.99</x:v>
      </x:c>
      <x:c r="H134" s="648" t="n">
        <x:f>SUM('117_价格概率传导'!$C$6:$C$11)</x:f>
        <x:v>1</x:v>
      </x:c>
      <x:c r="I134" s="647" t="n">
        <x:f>'117_价格概率传导'!A17</x:f>
        <x:v>293900</x:v>
      </x:c>
      <x:c r="J134" s="648" t="n">
        <x:f>'117_价格概率传导'!C17</x:f>
        <x:v>0.06</x:v>
      </x:c>
      <x:c r="K134" s="648" t="n">
        <x:f>SUM('117_价格概率传导'!$C$16:$C$16)</x:f>
        <x:v>0.05</x:v>
      </x:c>
      <x:c r="L134" s="648" t="n">
        <x:f>SUM('117_价格概率传导'!$C$16:$C$17)</x:f>
        <x:v>0.11</x:v>
      </x:c>
      <x:c r="M134" s="648" t="n">
        <x:f>MAX(0,MIN(H134,L134)-MAX(G134,K134))</x:f>
        <x:v>0</x:v>
      </x:c>
      <x:c r="N134" s="648" t="n">
        <x:f>B134*D134*M134</x:f>
        <x:v>0</x:v>
      </x:c>
      <x:c r="O134" s="647" t="n">
        <x:f>MIN(289900,I134+10000)</x:f>
        <x:v>289900</x:v>
      </x:c>
      <x:c r="P134" s="647" t="n">
        <x:f>O134-30000</x:f>
        <x:v>259900</x:v>
      </x:c>
      <x:c r="Q134" s="647" t="str">
        <x:f>""</x:f>
      </x:c>
      <x:c r="R134" s="647" t="n">
        <x:f>O134-E134</x:f>
        <x:v>70000</x:v>
      </x:c>
      <x:c r="S134" s="647" t="n">
        <x:f>IF(P134&gt;0,P134-E134,"")</x:f>
        <x:v>40000</x:v>
      </x:c>
      <x:c r="T134" s="647" t="str">
        <x:f>IF(Q134&gt;0,Q134-E134,"")</x:f>
      </x:c>
      <x:c r="U134" s="648" t="n">
        <x:f>IF(R134&lt;30000,N134,0)</x:f>
        <x:v>0</x:v>
      </x:c>
      <x:c r="V134" s="648" t="n">
        <x:f>IF(P134&gt;0,N134,0)</x:f>
        <x:v>0</x:v>
      </x:c>
      <x:c r="W134" s="648" t="n">
        <x:f>IF(AND(P134&gt;0,S134&lt;0),N134,0)</x:f>
        <x:v>0</x:v>
      </x:c>
      <x:c r="X134" s="648" t="n">
        <x:f>IF(AND(P134&gt;0,S134=0),N134,0)</x:f>
        <x:v>0</x:v>
      </x:c>
      <x:c r="Y134" s="648" t="n">
        <x:f>IF(Q134&gt;0,N134,0)</x:f>
        <x:v>0</x:v>
      </x:c>
      <x:c r="Z134" s="647" t="n">
        <x:f>IF(P134&gt;0,N134*S134,0)</x:f>
        <x:v>0</x:v>
      </x:c>
      <x:c r="AA134" s="647" t="n">
        <x:f>IF(Q134&gt;0,N134*T134,0)</x:f>
        <x:v>0</x:v>
      </x:c>
      <x:c r="AB134" s="647" t="n">
        <x:f>N134*R134</x:f>
        <x:v>0</x:v>
      </x:c>
      <x:c r="AC134" s="647" t="n">
        <x:f>IF(N134&gt;0,R134,999999)</x:f>
        <x:v>999999</x:v>
      </x:c>
      <x:c r="AD134" s="647" t="n">
        <x:f>IF(AND(N134&gt;0,P134&gt;0),S134,999999)</x:f>
        <x:v>999999</x:v>
      </x:c>
      <x:c r="AE134" s="647" t="n">
        <x:f>IF(AND(N134&gt;0,Q134&gt;0),T134,999999)</x:f>
        <x:v>999999</x:v>
      </x:c>
      <x:c r="AF134" s="648" t="n">
        <x:f>B134*D134*F134*J134</x:f>
        <x:v>0.000021</x:v>
      </x:c>
      <x:c r="AG134" s="648" t="n">
        <x:f>IF(P134&gt;0,AF134,0)</x:f>
        <x:v>0.000021</x:v>
      </x:c>
      <x:c r="AH134" s="648" t="n">
        <x:f>IF(AND(P134&gt;0,S134&lt;0),AF134,0)</x:f>
        <x:v>0</x:v>
      </x:c>
      <x:c r="AI134" s="648" t="n">
        <x:f>IF(AND(P134&gt;0,S134=0),AF134,0)</x:f>
        <x:v>0</x:v>
      </x:c>
      <x:c r="AJ134" s="648" t="n">
        <x:f>IF(R134&lt;30000,AF134,0)</x:f>
        <x:v>0</x:v>
      </x:c>
      <x:c r="AK134" s="647" t="n">
        <x:f>IF(P134&gt;0,AF134*S134,0)</x:f>
        <x:v>0.84</x:v>
      </x:c>
    </x:row>
    <x:row r="135" ht="22" customHeight="1">
      <x:c r="A135" s="19" t="str">
        <x:v>保守</x:v>
      </x:c>
      <x:c r="B135" s="23" t="n">
        <x:f>'114_降本系数'!B26</x:f>
        <x:v>0.35</x:v>
      </x:c>
      <x:c r="C135" s="19" t="str">
        <x:v>L1B</x:v>
      </x:c>
      <x:c r="D135" s="23" t="n">
        <x:f>'130_联合算法'!C18</x:f>
        <x:v>0.1</x:v>
      </x:c>
      <x:c r="E135" s="460" t="n">
        <x:f>'117_价格概率传导'!A11</x:f>
        <x:v>219900</x:v>
      </x:c>
      <x:c r="F135" s="23" t="n">
        <x:f>'117_价格概率传导'!C11</x:f>
        <x:v>0.01</x:v>
      </x:c>
      <x:c r="G135" s="23" t="n">
        <x:f>SUM('117_价格概率传导'!$C$6:$C$10)</x:f>
        <x:v>0.99</x:v>
      </x:c>
      <x:c r="H135" s="23" t="n">
        <x:f>SUM('117_价格概率传导'!$C$6:$C$11)</x:f>
        <x:v>1</x:v>
      </x:c>
      <x:c r="I135" s="460" t="n">
        <x:f>'117_价格概率传导'!A18</x:f>
        <x:v>289900</x:v>
      </x:c>
      <x:c r="J135" s="23" t="n">
        <x:f>'117_价格概率传导'!C18</x:f>
        <x:v>0.34</x:v>
      </x:c>
      <x:c r="K135" s="23" t="n">
        <x:f>SUM('117_价格概率传导'!$C$16:$C$17)</x:f>
        <x:v>0.11</x:v>
      </x:c>
      <x:c r="L135" s="23" t="n">
        <x:f>SUM('117_价格概率传导'!$C$16:$C$18)</x:f>
        <x:v>0.45</x:v>
      </x:c>
      <x:c r="M135" s="23" t="n">
        <x:f>MAX(0,MIN(H135,L135)-MAX(G135,K135))</x:f>
        <x:v>0</x:v>
      </x:c>
      <x:c r="N135" s="23" t="n">
        <x:f>B135*D135*M135</x:f>
        <x:v>0</x:v>
      </x:c>
      <x:c r="O135" s="460" t="n">
        <x:f>MIN(289900,I135+10000)</x:f>
        <x:v>289900</x:v>
      </x:c>
      <x:c r="P135" s="460" t="n">
        <x:f>O135-30000</x:f>
        <x:v>259900</x:v>
      </x:c>
      <x:c r="Q135" s="460" t="str">
        <x:f>""</x:f>
      </x:c>
      <x:c r="R135" s="460" t="n">
        <x:f>O135-E135</x:f>
        <x:v>70000</x:v>
      </x:c>
      <x:c r="S135" s="460" t="n">
        <x:f>IF(P135&gt;0,P135-E135,"")</x:f>
        <x:v>40000</x:v>
      </x:c>
      <x:c r="T135" s="460" t="str">
        <x:f>IF(Q135&gt;0,Q135-E135,"")</x:f>
      </x:c>
      <x:c r="U135" s="23" t="n">
        <x:f>IF(R135&lt;30000,N135,0)</x:f>
        <x:v>0</x:v>
      </x:c>
      <x:c r="V135" s="23" t="n">
        <x:f>IF(P135&gt;0,N135,0)</x:f>
        <x:v>0</x:v>
      </x:c>
      <x:c r="W135" s="23" t="n">
        <x:f>IF(AND(P135&gt;0,S135&lt;0),N135,0)</x:f>
        <x:v>0</x:v>
      </x:c>
      <x:c r="X135" s="23" t="n">
        <x:f>IF(AND(P135&gt;0,S135=0),N135,0)</x:f>
        <x:v>0</x:v>
      </x:c>
      <x:c r="Y135" s="23" t="n">
        <x:f>IF(Q135&gt;0,N135,0)</x:f>
        <x:v>0</x:v>
      </x:c>
      <x:c r="Z135" s="460" t="n">
        <x:f>IF(P135&gt;0,N135*S135,0)</x:f>
        <x:v>0</x:v>
      </x:c>
      <x:c r="AA135" s="460" t="n">
        <x:f>IF(Q135&gt;0,N135*T135,0)</x:f>
        <x:v>0</x:v>
      </x:c>
      <x:c r="AB135" s="460" t="n">
        <x:f>N135*R135</x:f>
        <x:v>0</x:v>
      </x:c>
      <x:c r="AC135" s="460" t="n">
        <x:f>IF(N135&gt;0,R135,999999)</x:f>
        <x:v>999999</x:v>
      </x:c>
      <x:c r="AD135" s="460" t="n">
        <x:f>IF(AND(N135&gt;0,P135&gt;0),S135,999999)</x:f>
        <x:v>999999</x:v>
      </x:c>
      <x:c r="AE135" s="460" t="n">
        <x:f>IF(AND(N135&gt;0,Q135&gt;0),T135,999999)</x:f>
        <x:v>999999</x:v>
      </x:c>
      <x:c r="AF135" s="23" t="n">
        <x:f>B135*D135*F135*J135</x:f>
        <x:v>0.000119</x:v>
      </x:c>
      <x:c r="AG135" s="23" t="n">
        <x:f>IF(P135&gt;0,AF135,0)</x:f>
        <x:v>0.000119</x:v>
      </x:c>
      <x:c r="AH135" s="23" t="n">
        <x:f>IF(AND(P135&gt;0,S135&lt;0),AF135,0)</x:f>
        <x:v>0</x:v>
      </x:c>
      <x:c r="AI135" s="23" t="n">
        <x:f>IF(AND(P135&gt;0,S135=0),AF135,0)</x:f>
        <x:v>0</x:v>
      </x:c>
      <x:c r="AJ135" s="23" t="n">
        <x:f>IF(R135&lt;30000,AF135,0)</x:f>
        <x:v>0</x:v>
      </x:c>
      <x:c r="AK135" s="460" t="n">
        <x:f>IF(P135&gt;0,AF135*S135,0)</x:f>
        <x:v>4.760000000000001</x:v>
      </x:c>
    </x:row>
    <x:row r="136" ht="22" customHeight="1">
      <x:c r="A136" s="643" t="str">
        <x:v>保守</x:v>
      </x:c>
      <x:c r="B136" s="648" t="n">
        <x:f>'114_降本系数'!B26</x:f>
        <x:v>0.35</x:v>
      </x:c>
      <x:c r="C136" s="643" t="str">
        <x:v>L1B</x:v>
      </x:c>
      <x:c r="D136" s="648" t="n">
        <x:f>'130_联合算法'!C18</x:f>
        <x:v>0.1</x:v>
      </x:c>
      <x:c r="E136" s="647" t="n">
        <x:f>'117_价格概率传导'!A11</x:f>
        <x:v>219900</x:v>
      </x:c>
      <x:c r="F136" s="648" t="n">
        <x:f>'117_价格概率传导'!C11</x:f>
        <x:v>0.01</x:v>
      </x:c>
      <x:c r="G136" s="648" t="n">
        <x:f>SUM('117_价格概率传导'!$C$6:$C$10)</x:f>
        <x:v>0.99</x:v>
      </x:c>
      <x:c r="H136" s="648" t="n">
        <x:f>SUM('117_价格概率传导'!$C$6:$C$11)</x:f>
        <x:v>1</x:v>
      </x:c>
      <x:c r="I136" s="647" t="n">
        <x:f>'117_价格概率传导'!A19</x:f>
        <x:v>279900</x:v>
      </x:c>
      <x:c r="J136" s="648" t="n">
        <x:f>'117_价格概率传导'!C19</x:f>
        <x:v>0.39</x:v>
      </x:c>
      <x:c r="K136" s="648" t="n">
        <x:f>SUM('117_价格概率传导'!$C$16:$C$18)</x:f>
        <x:v>0.45</x:v>
      </x:c>
      <x:c r="L136" s="648" t="n">
        <x:f>SUM('117_价格概率传导'!$C$16:$C$19)</x:f>
        <x:v>0.8400000000000001</x:v>
      </x:c>
      <x:c r="M136" s="648" t="n">
        <x:f>MAX(0,MIN(H136,L136)-MAX(G136,K136))</x:f>
        <x:v>0</x:v>
      </x:c>
      <x:c r="N136" s="648" t="n">
        <x:f>B136*D136*M136</x:f>
        <x:v>0</x:v>
      </x:c>
      <x:c r="O136" s="647" t="n">
        <x:f>MIN(289900,I136+10000)</x:f>
        <x:v>289900</x:v>
      </x:c>
      <x:c r="P136" s="647" t="n">
        <x:f>O136-30000</x:f>
        <x:v>259900</x:v>
      </x:c>
      <x:c r="Q136" s="647" t="str">
        <x:f>""</x:f>
      </x:c>
      <x:c r="R136" s="647" t="n">
        <x:f>O136-E136</x:f>
        <x:v>70000</x:v>
      </x:c>
      <x:c r="S136" s="647" t="n">
        <x:f>IF(P136&gt;0,P136-E136,"")</x:f>
        <x:v>40000</x:v>
      </x:c>
      <x:c r="T136" s="647" t="str">
        <x:f>IF(Q136&gt;0,Q136-E136,"")</x:f>
      </x:c>
      <x:c r="U136" s="648" t="n">
        <x:f>IF(R136&lt;30000,N136,0)</x:f>
        <x:v>0</x:v>
      </x:c>
      <x:c r="V136" s="648" t="n">
        <x:f>IF(P136&gt;0,N136,0)</x:f>
        <x:v>0</x:v>
      </x:c>
      <x:c r="W136" s="648" t="n">
        <x:f>IF(AND(P136&gt;0,S136&lt;0),N136,0)</x:f>
        <x:v>0</x:v>
      </x:c>
      <x:c r="X136" s="648" t="n">
        <x:f>IF(AND(P136&gt;0,S136=0),N136,0)</x:f>
        <x:v>0</x:v>
      </x:c>
      <x:c r="Y136" s="648" t="n">
        <x:f>IF(Q136&gt;0,N136,0)</x:f>
        <x:v>0</x:v>
      </x:c>
      <x:c r="Z136" s="647" t="n">
        <x:f>IF(P136&gt;0,N136*S136,0)</x:f>
        <x:v>0</x:v>
      </x:c>
      <x:c r="AA136" s="647" t="n">
        <x:f>IF(Q136&gt;0,N136*T136,0)</x:f>
        <x:v>0</x:v>
      </x:c>
      <x:c r="AB136" s="647" t="n">
        <x:f>N136*R136</x:f>
        <x:v>0</x:v>
      </x:c>
      <x:c r="AC136" s="647" t="n">
        <x:f>IF(N136&gt;0,R136,999999)</x:f>
        <x:v>999999</x:v>
      </x:c>
      <x:c r="AD136" s="647" t="n">
        <x:f>IF(AND(N136&gt;0,P136&gt;0),S136,999999)</x:f>
        <x:v>999999</x:v>
      </x:c>
      <x:c r="AE136" s="647" t="n">
        <x:f>IF(AND(N136&gt;0,Q136&gt;0),T136,999999)</x:f>
        <x:v>999999</x:v>
      </x:c>
      <x:c r="AF136" s="648" t="n">
        <x:f>B136*D136*F136*J136</x:f>
        <x:v>0.0001365</x:v>
      </x:c>
      <x:c r="AG136" s="648" t="n">
        <x:f>IF(P136&gt;0,AF136,0)</x:f>
        <x:v>0.0001365</x:v>
      </x:c>
      <x:c r="AH136" s="648" t="n">
        <x:f>IF(AND(P136&gt;0,S136&lt;0),AF136,0)</x:f>
        <x:v>0</x:v>
      </x:c>
      <x:c r="AI136" s="648" t="n">
        <x:f>IF(AND(P136&gt;0,S136=0),AF136,0)</x:f>
        <x:v>0</x:v>
      </x:c>
      <x:c r="AJ136" s="648" t="n">
        <x:f>IF(R136&lt;30000,AF136,0)</x:f>
        <x:v>0</x:v>
      </x:c>
      <x:c r="AK136" s="647" t="n">
        <x:f>IF(P136&gt;0,AF136*S136,0)</x:f>
        <x:v>5.460000000000001</x:v>
      </x:c>
    </x:row>
    <x:row r="137" ht="22" customHeight="1">
      <x:c r="A137" s="19" t="str">
        <x:v>保守</x:v>
      </x:c>
      <x:c r="B137" s="23" t="n">
        <x:f>'114_降本系数'!B26</x:f>
        <x:v>0.35</x:v>
      </x:c>
      <x:c r="C137" s="19" t="str">
        <x:v>L1B</x:v>
      </x:c>
      <x:c r="D137" s="23" t="n">
        <x:f>'130_联合算法'!C18</x:f>
        <x:v>0.1</x:v>
      </x:c>
      <x:c r="E137" s="460" t="n">
        <x:f>'117_价格概率传导'!A11</x:f>
        <x:v>219900</x:v>
      </x:c>
      <x:c r="F137" s="23" t="n">
        <x:f>'117_价格概率传导'!C11</x:f>
        <x:v>0.01</x:v>
      </x:c>
      <x:c r="G137" s="23" t="n">
        <x:f>SUM('117_价格概率传导'!$C$6:$C$10)</x:f>
        <x:v>0.99</x:v>
      </x:c>
      <x:c r="H137" s="23" t="n">
        <x:f>SUM('117_价格概率传导'!$C$6:$C$11)</x:f>
        <x:v>1</x:v>
      </x:c>
      <x:c r="I137" s="460" t="n">
        <x:f>'117_价格概率传导'!A20</x:f>
        <x:v>269900</x:v>
      </x:c>
      <x:c r="J137" s="23" t="n">
        <x:f>'117_价格概率传导'!C20</x:f>
        <x:v>0.13</x:v>
      </x:c>
      <x:c r="K137" s="23" t="n">
        <x:f>SUM('117_价格概率传导'!$C$16:$C$19)</x:f>
        <x:v>0.8400000000000001</x:v>
      </x:c>
      <x:c r="L137" s="23" t="n">
        <x:f>SUM('117_价格概率传导'!$C$16:$C$20)</x:f>
        <x:v>0.9700000000000001</x:v>
      </x:c>
      <x:c r="M137" s="23" t="n">
        <x:f>MAX(0,MIN(H137,L137)-MAX(G137,K137))</x:f>
        <x:v>0</x:v>
      </x:c>
      <x:c r="N137" s="23" t="n">
        <x:f>B137*D137*M137</x:f>
        <x:v>0</x:v>
      </x:c>
      <x:c r="O137" s="460" t="n">
        <x:f>MIN(289900,I137+10000)</x:f>
        <x:v>279900</x:v>
      </x:c>
      <x:c r="P137" s="460" t="n">
        <x:f>O137-30000</x:f>
        <x:v>249900</x:v>
      </x:c>
      <x:c r="Q137" s="460" t="str">
        <x:f>""</x:f>
      </x:c>
      <x:c r="R137" s="460" t="n">
        <x:f>O137-E137</x:f>
        <x:v>60000</x:v>
      </x:c>
      <x:c r="S137" s="460" t="n">
        <x:f>IF(P137&gt;0,P137-E137,"")</x:f>
        <x:v>30000</x:v>
      </x:c>
      <x:c r="T137" s="460" t="str">
        <x:f>IF(Q137&gt;0,Q137-E137,"")</x:f>
      </x:c>
      <x:c r="U137" s="23" t="n">
        <x:f>IF(R137&lt;30000,N137,0)</x:f>
        <x:v>0</x:v>
      </x:c>
      <x:c r="V137" s="23" t="n">
        <x:f>IF(P137&gt;0,N137,0)</x:f>
        <x:v>0</x:v>
      </x:c>
      <x:c r="W137" s="23" t="n">
        <x:f>IF(AND(P137&gt;0,S137&lt;0),N137,0)</x:f>
        <x:v>0</x:v>
      </x:c>
      <x:c r="X137" s="23" t="n">
        <x:f>IF(AND(P137&gt;0,S137=0),N137,0)</x:f>
        <x:v>0</x:v>
      </x:c>
      <x:c r="Y137" s="23" t="n">
        <x:f>IF(Q137&gt;0,N137,0)</x:f>
        <x:v>0</x:v>
      </x:c>
      <x:c r="Z137" s="460" t="n">
        <x:f>IF(P137&gt;0,N137*S137,0)</x:f>
        <x:v>0</x:v>
      </x:c>
      <x:c r="AA137" s="460" t="n">
        <x:f>IF(Q137&gt;0,N137*T137,0)</x:f>
        <x:v>0</x:v>
      </x:c>
      <x:c r="AB137" s="460" t="n">
        <x:f>N137*R137</x:f>
        <x:v>0</x:v>
      </x:c>
      <x:c r="AC137" s="460" t="n">
        <x:f>IF(N137&gt;0,R137,999999)</x:f>
        <x:v>999999</x:v>
      </x:c>
      <x:c r="AD137" s="460" t="n">
        <x:f>IF(AND(N137&gt;0,P137&gt;0),S137,999999)</x:f>
        <x:v>999999</x:v>
      </x:c>
      <x:c r="AE137" s="460" t="n">
        <x:f>IF(AND(N137&gt;0,Q137&gt;0),T137,999999)</x:f>
        <x:v>999999</x:v>
      </x:c>
      <x:c r="AF137" s="23" t="n">
        <x:f>B137*D137*F137*J137</x:f>
        <x:v>0.0000455</x:v>
      </x:c>
      <x:c r="AG137" s="23" t="n">
        <x:f>IF(P137&gt;0,AF137,0)</x:f>
        <x:v>0.0000455</x:v>
      </x:c>
      <x:c r="AH137" s="23" t="n">
        <x:f>IF(AND(P137&gt;0,S137&lt;0),AF137,0)</x:f>
        <x:v>0</x:v>
      </x:c>
      <x:c r="AI137" s="23" t="n">
        <x:f>IF(AND(P137&gt;0,S137=0),AF137,0)</x:f>
        <x:v>0</x:v>
      </x:c>
      <x:c r="AJ137" s="23" t="n">
        <x:f>IF(R137&lt;30000,AF137,0)</x:f>
        <x:v>0</x:v>
      </x:c>
      <x:c r="AK137" s="460" t="n">
        <x:f>IF(P137&gt;0,AF137*S137,0)</x:f>
        <x:v>1.365</x:v>
      </x:c>
    </x:row>
    <x:row r="138" ht="22" customHeight="1">
      <x:c r="A138" s="643" t="str">
        <x:v>保守</x:v>
      </x:c>
      <x:c r="B138" s="648" t="n">
        <x:f>'114_降本系数'!B26</x:f>
        <x:v>0.35</x:v>
      </x:c>
      <x:c r="C138" s="643" t="str">
        <x:v>L1B</x:v>
      </x:c>
      <x:c r="D138" s="648" t="n">
        <x:f>'130_联合算法'!C18</x:f>
        <x:v>0.1</x:v>
      </x:c>
      <x:c r="E138" s="647" t="n">
        <x:f>'117_价格概率传导'!A11</x:f>
        <x:v>219900</x:v>
      </x:c>
      <x:c r="F138" s="648" t="n">
        <x:f>'117_价格概率传导'!C11</x:f>
        <x:v>0.01</x:v>
      </x:c>
      <x:c r="G138" s="648" t="n">
        <x:f>SUM('117_价格概率传导'!$C$6:$C$10)</x:f>
        <x:v>0.99</x:v>
      </x:c>
      <x:c r="H138" s="648" t="n">
        <x:f>SUM('117_价格概率传导'!$C$6:$C$11)</x:f>
        <x:v>1</x:v>
      </x:c>
      <x:c r="I138" s="647" t="n">
        <x:f>'117_价格概率传导'!A21</x:f>
        <x:v>259900</x:v>
      </x:c>
      <x:c r="J138" s="648" t="n">
        <x:f>'117_价格概率传导'!C21</x:f>
        <x:v>0.03</x:v>
      </x:c>
      <x:c r="K138" s="648" t="n">
        <x:f>SUM('117_价格概率传导'!$C$16:$C$20)</x:f>
        <x:v>0.9700000000000001</x:v>
      </x:c>
      <x:c r="L138" s="648" t="n">
        <x:f>SUM('117_价格概率传导'!$C$16:$C$21)</x:f>
        <x:v>1</x:v>
      </x:c>
      <x:c r="M138" s="648" t="n">
        <x:f>MAX(0,MIN(H138,L138)-MAX(G138,K138))</x:f>
        <x:v>0.010000000000000009</x:v>
      </x:c>
      <x:c r="N138" s="648" t="n">
        <x:f>B138*D138*M138</x:f>
        <x:v>0.00035000000000000027</x:v>
      </x:c>
      <x:c r="O138" s="647" t="n">
        <x:f>MIN(289900,I138+10000)</x:f>
        <x:v>269900</x:v>
      </x:c>
      <x:c r="P138" s="647" t="n">
        <x:f>O138-30000</x:f>
        <x:v>239900</x:v>
      </x:c>
      <x:c r="Q138" s="647" t="str">
        <x:f>""</x:f>
      </x:c>
      <x:c r="R138" s="647" t="n">
        <x:f>O138-E138</x:f>
        <x:v>50000</x:v>
      </x:c>
      <x:c r="S138" s="647" t="n">
        <x:f>IF(P138&gt;0,P138-E138,"")</x:f>
        <x:v>20000</x:v>
      </x:c>
      <x:c r="T138" s="647" t="str">
        <x:f>IF(Q138&gt;0,Q138-E138,"")</x:f>
      </x:c>
      <x:c r="U138" s="648" t="n">
        <x:f>IF(R138&lt;30000,N138,0)</x:f>
        <x:v>0</x:v>
      </x:c>
      <x:c r="V138" s="648" t="n">
        <x:f>IF(P138&gt;0,N138,0)</x:f>
        <x:v>0.00035000000000000027</x:v>
      </x:c>
      <x:c r="W138" s="648" t="n">
        <x:f>IF(AND(P138&gt;0,S138&lt;0),N138,0)</x:f>
        <x:v>0</x:v>
      </x:c>
      <x:c r="X138" s="648" t="n">
        <x:f>IF(AND(P138&gt;0,S138=0),N138,0)</x:f>
        <x:v>0</x:v>
      </x:c>
      <x:c r="Y138" s="648" t="n">
        <x:f>IF(Q138&gt;0,N138,0)</x:f>
        <x:v>0</x:v>
      </x:c>
      <x:c r="Z138" s="647" t="n">
        <x:f>IF(P138&gt;0,N138*S138,0)</x:f>
        <x:v>7.000000000000005</x:v>
      </x:c>
      <x:c r="AA138" s="647" t="n">
        <x:f>IF(Q138&gt;0,N138*T138,0)</x:f>
        <x:v>0</x:v>
      </x:c>
      <x:c r="AB138" s="647" t="n">
        <x:f>N138*R138</x:f>
        <x:v>17.500000000000014</x:v>
      </x:c>
      <x:c r="AC138" s="647" t="n">
        <x:f>IF(N138&gt;0,R138,999999)</x:f>
        <x:v>50000</x:v>
      </x:c>
      <x:c r="AD138" s="647" t="n">
        <x:f>IF(AND(N138&gt;0,P138&gt;0),S138,999999)</x:f>
        <x:v>20000</x:v>
      </x:c>
      <x:c r="AE138" s="647" t="n">
        <x:f>IF(AND(N138&gt;0,Q138&gt;0),T138,999999)</x:f>
        <x:v>999999</x:v>
      </x:c>
      <x:c r="AF138" s="648" t="n">
        <x:f>B138*D138*F138*J138</x:f>
        <x:v>0.0000105</x:v>
      </x:c>
      <x:c r="AG138" s="648" t="n">
        <x:f>IF(P138&gt;0,AF138,0)</x:f>
        <x:v>0.0000105</x:v>
      </x:c>
      <x:c r="AH138" s="648" t="n">
        <x:f>IF(AND(P138&gt;0,S138&lt;0),AF138,0)</x:f>
        <x:v>0</x:v>
      </x:c>
      <x:c r="AI138" s="648" t="n">
        <x:f>IF(AND(P138&gt;0,S138=0),AF138,0)</x:f>
        <x:v>0</x:v>
      </x:c>
      <x:c r="AJ138" s="648" t="n">
        <x:f>IF(R138&lt;30000,AF138,0)</x:f>
        <x:v>0</x:v>
      </x:c>
      <x:c r="AK138" s="647" t="n">
        <x:f>IF(P138&gt;0,AF138*S138,0)</x:f>
        <x:v>0.21</x:v>
      </x:c>
    </x:row>
    <x:row r="139" ht="22" customHeight="1">
      <x:c r="A139" s="19" t="str">
        <x:v>保守</x:v>
      </x:c>
      <x:c r="B139" s="23" t="n">
        <x:f>'114_降本系数'!B26</x:f>
        <x:v>0.35</x:v>
      </x:c>
      <x:c r="C139" s="19" t="str">
        <x:v>L2</x:v>
      </x:c>
      <x:c r="D139" s="23" t="n">
        <x:f>'130_联合算法'!C19</x:f>
        <x:v>0.05</x:v>
      </x:c>
      <x:c r="E139" s="460" t="n">
        <x:f>'117_价格概率传导'!A6</x:f>
        <x:v>259900</x:v>
      </x:c>
      <x:c r="F139" s="23" t="n">
        <x:f>'117_价格概率传导'!C6</x:f>
        <x:v>0.06</x:v>
      </x:c>
      <x:c r="G139" s="23" t="n">
        <x:f>0</x:f>
        <x:v>0</x:v>
      </x:c>
      <x:c r="H139" s="23" t="n">
        <x:f>SUM('117_价格概率传导'!$C$6:$C$6)</x:f>
        <x:v>0.06</x:v>
      </x:c>
      <x:c r="I139" s="460" t="n">
        <x:f>'117_价格概率传导'!A16</x:f>
        <x:v>299900</x:v>
      </x:c>
      <x:c r="J139" s="23" t="n">
        <x:f>'117_价格概率传导'!C16</x:f>
        <x:v>0.05</x:v>
      </x:c>
      <x:c r="K139" s="23" t="n">
        <x:f>0</x:f>
        <x:v>0</x:v>
      </x:c>
      <x:c r="L139" s="23" t="n">
        <x:f>SUM('117_价格概率传导'!$C$16:$C$16)</x:f>
        <x:v>0.05</x:v>
      </x:c>
      <x:c r="M139" s="23" t="n">
        <x:f>MAX(0,MIN(H139,L139)-MAX(G139,K139))</x:f>
        <x:v>0.05</x:v>
      </x:c>
      <x:c r="N139" s="23" t="n">
        <x:f>B139*D139*M139</x:f>
        <x:v>0.0008749999999999999</x:v>
      </x:c>
      <x:c r="O139" s="460" t="n">
        <x:f>MIN(299900,I139+20000)</x:f>
        <x:v>299900</x:v>
      </x:c>
      <x:c r="P139" s="460" t="str">
        <x:f>""</x:f>
      </x:c>
      <x:c r="Q139" s="460" t="n">
        <x:f>O139-20000</x:f>
        <x:v>279900</x:v>
      </x:c>
      <x:c r="R139" s="460" t="n">
        <x:f>O139-E139</x:f>
        <x:v>40000</x:v>
      </x:c>
      <x:c r="S139" s="460" t="str">
        <x:f>IF(P139&gt;0,P139-E139,"")</x:f>
      </x:c>
      <x:c r="T139" s="460" t="n">
        <x:f>IF(Q139&gt;0,Q139-E139,"")</x:f>
        <x:v>20000</x:v>
      </x:c>
      <x:c r="U139" s="23" t="n">
        <x:f>IF(R139&lt;30000,N139,0)</x:f>
        <x:v>0</x:v>
      </x:c>
      <x:c r="V139" s="23" t="n">
        <x:f>IF(P139&gt;0,N139,0)</x:f>
        <x:v>0</x:v>
      </x:c>
      <x:c r="W139" s="23" t="n">
        <x:f>IF(AND(P139&gt;0,S139&lt;0),N139,0)</x:f>
        <x:v>0</x:v>
      </x:c>
      <x:c r="X139" s="23" t="n">
        <x:f>IF(AND(P139&gt;0,S139=0),N139,0)</x:f>
        <x:v>0</x:v>
      </x:c>
      <x:c r="Y139" s="23" t="n">
        <x:f>IF(Q139&gt;0,N139,0)</x:f>
        <x:v>0.0008749999999999999</x:v>
      </x:c>
      <x:c r="Z139" s="460" t="n">
        <x:f>IF(P139&gt;0,N139*S139,0)</x:f>
        <x:v>0</x:v>
      </x:c>
      <x:c r="AA139" s="460" t="n">
        <x:f>IF(Q139&gt;0,N139*T139,0)</x:f>
        <x:v>17.499999999999996</x:v>
      </x:c>
      <x:c r="AB139" s="460" t="n">
        <x:f>N139*R139</x:f>
        <x:v>34.99999999999999</x:v>
      </x:c>
      <x:c r="AC139" s="460" t="n">
        <x:f>IF(N139&gt;0,R139,999999)</x:f>
        <x:v>40000</x:v>
      </x:c>
      <x:c r="AD139" s="460" t="n">
        <x:f>IF(AND(N139&gt;0,P139&gt;0),S139,999999)</x:f>
        <x:v>999999</x:v>
      </x:c>
      <x:c r="AE139" s="460" t="n">
        <x:f>IF(AND(N139&gt;0,Q139&gt;0),T139,999999)</x:f>
        <x:v>20000</x:v>
      </x:c>
      <x:c r="AF139" s="23" t="n">
        <x:f>B139*D139*F139*J139</x:f>
        <x:v>0.0000525</x:v>
      </x:c>
      <x:c r="AG139" s="23" t="n">
        <x:f>IF(P139&gt;0,AF139,0)</x:f>
        <x:v>0</x:v>
      </x:c>
      <x:c r="AH139" s="23" t="n">
        <x:f>IF(AND(P139&gt;0,S139&lt;0),AF139,0)</x:f>
        <x:v>0</x:v>
      </x:c>
      <x:c r="AI139" s="23" t="n">
        <x:f>IF(AND(P139&gt;0,S139=0),AF139,0)</x:f>
        <x:v>0</x:v>
      </x:c>
      <x:c r="AJ139" s="23" t="n">
        <x:f>IF(R139&lt;30000,AF139,0)</x:f>
        <x:v>0</x:v>
      </x:c>
      <x:c r="AK139" s="460" t="n">
        <x:f>IF(P139&gt;0,AF139*S139,0)</x:f>
        <x:v>0</x:v>
      </x:c>
    </x:row>
    <x:row r="140" ht="22" customHeight="1">
      <x:c r="A140" s="643" t="str">
        <x:v>保守</x:v>
      </x:c>
      <x:c r="B140" s="648" t="n">
        <x:f>'114_降本系数'!B26</x:f>
        <x:v>0.35</x:v>
      </x:c>
      <x:c r="C140" s="643" t="str">
        <x:v>L2</x:v>
      </x:c>
      <x:c r="D140" s="648" t="n">
        <x:f>'130_联合算法'!C19</x:f>
        <x:v>0.05</x:v>
      </x:c>
      <x:c r="E140" s="647" t="n">
        <x:f>'117_价格概率传导'!A6</x:f>
        <x:v>259900</x:v>
      </x:c>
      <x:c r="F140" s="648" t="n">
        <x:f>'117_价格概率传导'!C6</x:f>
        <x:v>0.06</x:v>
      </x:c>
      <x:c r="G140" s="648" t="n">
        <x:f>0</x:f>
        <x:v>0</x:v>
      </x:c>
      <x:c r="H140" s="648" t="n">
        <x:f>SUM('117_价格概率传导'!$C$6:$C$6)</x:f>
        <x:v>0.06</x:v>
      </x:c>
      <x:c r="I140" s="647" t="n">
        <x:f>'117_价格概率传导'!A17</x:f>
        <x:v>293900</x:v>
      </x:c>
      <x:c r="J140" s="648" t="n">
        <x:f>'117_价格概率传导'!C17</x:f>
        <x:v>0.06</x:v>
      </x:c>
      <x:c r="K140" s="648" t="n">
        <x:f>SUM('117_价格概率传导'!$C$16:$C$16)</x:f>
        <x:v>0.05</x:v>
      </x:c>
      <x:c r="L140" s="648" t="n">
        <x:f>SUM('117_价格概率传导'!$C$16:$C$17)</x:f>
        <x:v>0.11</x:v>
      </x:c>
      <x:c r="M140" s="648" t="n">
        <x:f>MAX(0,MIN(H140,L140)-MAX(G140,K140))</x:f>
        <x:v>0.009999999999999995</x:v>
      </x:c>
      <x:c r="N140" s="648" t="n">
        <x:f>B140*D140*M140</x:f>
        <x:v>0.0001749999999999999</x:v>
      </x:c>
      <x:c r="O140" s="647" t="n">
        <x:f>MIN(299900,I140+20000)</x:f>
        <x:v>299900</x:v>
      </x:c>
      <x:c r="P140" s="647" t="str">
        <x:f>""</x:f>
      </x:c>
      <x:c r="Q140" s="647" t="n">
        <x:f>O140-20000</x:f>
        <x:v>279900</x:v>
      </x:c>
      <x:c r="R140" s="647" t="n">
        <x:f>O140-E140</x:f>
        <x:v>40000</x:v>
      </x:c>
      <x:c r="S140" s="647" t="str">
        <x:f>IF(P140&gt;0,P140-E140,"")</x:f>
      </x:c>
      <x:c r="T140" s="647" t="n">
        <x:f>IF(Q140&gt;0,Q140-E140,"")</x:f>
        <x:v>20000</x:v>
      </x:c>
      <x:c r="U140" s="648" t="n">
        <x:f>IF(R140&lt;30000,N140,0)</x:f>
        <x:v>0</x:v>
      </x:c>
      <x:c r="V140" s="648" t="n">
        <x:f>IF(P140&gt;0,N140,0)</x:f>
        <x:v>0</x:v>
      </x:c>
      <x:c r="W140" s="648" t="n">
        <x:f>IF(AND(P140&gt;0,S140&lt;0),N140,0)</x:f>
        <x:v>0</x:v>
      </x:c>
      <x:c r="X140" s="648" t="n">
        <x:f>IF(AND(P140&gt;0,S140=0),N140,0)</x:f>
        <x:v>0</x:v>
      </x:c>
      <x:c r="Y140" s="648" t="n">
        <x:f>IF(Q140&gt;0,N140,0)</x:f>
        <x:v>0.0001749999999999999</x:v>
      </x:c>
      <x:c r="Z140" s="647" t="n">
        <x:f>IF(P140&gt;0,N140*S140,0)</x:f>
        <x:v>0</x:v>
      </x:c>
      <x:c r="AA140" s="647" t="n">
        <x:f>IF(Q140&gt;0,N140*T140,0)</x:f>
        <x:v>3.499999999999998</x:v>
      </x:c>
      <x:c r="AB140" s="647" t="n">
        <x:f>N140*R140</x:f>
        <x:v>6.999999999999996</x:v>
      </x:c>
      <x:c r="AC140" s="647" t="n">
        <x:f>IF(N140&gt;0,R140,999999)</x:f>
        <x:v>40000</x:v>
      </x:c>
      <x:c r="AD140" s="647" t="n">
        <x:f>IF(AND(N140&gt;0,P140&gt;0),S140,999999)</x:f>
        <x:v>999999</x:v>
      </x:c>
      <x:c r="AE140" s="647" t="n">
        <x:f>IF(AND(N140&gt;0,Q140&gt;0),T140,999999)</x:f>
        <x:v>20000</x:v>
      </x:c>
      <x:c r="AF140" s="648" t="n">
        <x:f>B140*D140*F140*J140</x:f>
        <x:v>0.000063</x:v>
      </x:c>
      <x:c r="AG140" s="648" t="n">
        <x:f>IF(P140&gt;0,AF140,0)</x:f>
        <x:v>0</x:v>
      </x:c>
      <x:c r="AH140" s="648" t="n">
        <x:f>IF(AND(P140&gt;0,S140&lt;0),AF140,0)</x:f>
        <x:v>0</x:v>
      </x:c>
      <x:c r="AI140" s="648" t="n">
        <x:f>IF(AND(P140&gt;0,S140=0),AF140,0)</x:f>
        <x:v>0</x:v>
      </x:c>
      <x:c r="AJ140" s="648" t="n">
        <x:f>IF(R140&lt;30000,AF140,0)</x:f>
        <x:v>0</x:v>
      </x:c>
      <x:c r="AK140" s="647" t="n">
        <x:f>IF(P140&gt;0,AF140*S140,0)</x:f>
        <x:v>0</x:v>
      </x:c>
    </x:row>
    <x:row r="141" ht="22" customHeight="1">
      <x:c r="A141" s="19" t="str">
        <x:v>保守</x:v>
      </x:c>
      <x:c r="B141" s="23" t="n">
        <x:f>'114_降本系数'!B26</x:f>
        <x:v>0.35</x:v>
      </x:c>
      <x:c r="C141" s="19" t="str">
        <x:v>L2</x:v>
      </x:c>
      <x:c r="D141" s="23" t="n">
        <x:f>'130_联合算法'!C19</x:f>
        <x:v>0.05</x:v>
      </x:c>
      <x:c r="E141" s="460" t="n">
        <x:f>'117_价格概率传导'!A6</x:f>
        <x:v>259900</x:v>
      </x:c>
      <x:c r="F141" s="23" t="n">
        <x:f>'117_价格概率传导'!C6</x:f>
        <x:v>0.06</x:v>
      </x:c>
      <x:c r="G141" s="23" t="n">
        <x:f>0</x:f>
        <x:v>0</x:v>
      </x:c>
      <x:c r="H141" s="23" t="n">
        <x:f>SUM('117_价格概率传导'!$C$6:$C$6)</x:f>
        <x:v>0.06</x:v>
      </x:c>
      <x:c r="I141" s="460" t="n">
        <x:f>'117_价格概率传导'!A18</x:f>
        <x:v>289900</x:v>
      </x:c>
      <x:c r="J141" s="23" t="n">
        <x:f>'117_价格概率传导'!C18</x:f>
        <x:v>0.34</x:v>
      </x:c>
      <x:c r="K141" s="23" t="n">
        <x:f>SUM('117_价格概率传导'!$C$16:$C$17)</x:f>
        <x:v>0.11</x:v>
      </x:c>
      <x:c r="L141" s="23" t="n">
        <x:f>SUM('117_价格概率传导'!$C$16:$C$18)</x:f>
        <x:v>0.45</x:v>
      </x:c>
      <x:c r="M141" s="23" t="n">
        <x:f>MAX(0,MIN(H141,L141)-MAX(G141,K141))</x:f>
        <x:v>0</x:v>
      </x:c>
      <x:c r="N141" s="23" t="n">
        <x:f>B141*D141*M141</x:f>
        <x:v>0</x:v>
      </x:c>
      <x:c r="O141" s="460" t="n">
        <x:f>MIN(299900,I141+20000)</x:f>
        <x:v>299900</x:v>
      </x:c>
      <x:c r="P141" s="460" t="str">
        <x:f>""</x:f>
      </x:c>
      <x:c r="Q141" s="460" t="n">
        <x:f>O141-20000</x:f>
        <x:v>279900</x:v>
      </x:c>
      <x:c r="R141" s="460" t="n">
        <x:f>O141-E141</x:f>
        <x:v>40000</x:v>
      </x:c>
      <x:c r="S141" s="460" t="str">
        <x:f>IF(P141&gt;0,P141-E141,"")</x:f>
      </x:c>
      <x:c r="T141" s="460" t="n">
        <x:f>IF(Q141&gt;0,Q141-E141,"")</x:f>
        <x:v>20000</x:v>
      </x:c>
      <x:c r="U141" s="23" t="n">
        <x:f>IF(R141&lt;30000,N141,0)</x:f>
        <x:v>0</x:v>
      </x:c>
      <x:c r="V141" s="23" t="n">
        <x:f>IF(P141&gt;0,N141,0)</x:f>
        <x:v>0</x:v>
      </x:c>
      <x:c r="W141" s="23" t="n">
        <x:f>IF(AND(P141&gt;0,S141&lt;0),N141,0)</x:f>
        <x:v>0</x:v>
      </x:c>
      <x:c r="X141" s="23" t="n">
        <x:f>IF(AND(P141&gt;0,S141=0),N141,0)</x:f>
        <x:v>0</x:v>
      </x:c>
      <x:c r="Y141" s="23" t="n">
        <x:f>IF(Q141&gt;0,N141,0)</x:f>
        <x:v>0</x:v>
      </x:c>
      <x:c r="Z141" s="460" t="n">
        <x:f>IF(P141&gt;0,N141*S141,0)</x:f>
        <x:v>0</x:v>
      </x:c>
      <x:c r="AA141" s="460" t="n">
        <x:f>IF(Q141&gt;0,N141*T141,0)</x:f>
        <x:v>0</x:v>
      </x:c>
      <x:c r="AB141" s="460" t="n">
        <x:f>N141*R141</x:f>
        <x:v>0</x:v>
      </x:c>
      <x:c r="AC141" s="460" t="n">
        <x:f>IF(N141&gt;0,R141,999999)</x:f>
        <x:v>999999</x:v>
      </x:c>
      <x:c r="AD141" s="460" t="n">
        <x:f>IF(AND(N141&gt;0,P141&gt;0),S141,999999)</x:f>
        <x:v>999999</x:v>
      </x:c>
      <x:c r="AE141" s="460" t="n">
        <x:f>IF(AND(N141&gt;0,Q141&gt;0),T141,999999)</x:f>
        <x:v>999999</x:v>
      </x:c>
      <x:c r="AF141" s="23" t="n">
        <x:f>B141*D141*F141*J141</x:f>
        <x:v>0.000357</x:v>
      </x:c>
      <x:c r="AG141" s="23" t="n">
        <x:f>IF(P141&gt;0,AF141,0)</x:f>
        <x:v>0</x:v>
      </x:c>
      <x:c r="AH141" s="23" t="n">
        <x:f>IF(AND(P141&gt;0,S141&lt;0),AF141,0)</x:f>
        <x:v>0</x:v>
      </x:c>
      <x:c r="AI141" s="23" t="n">
        <x:f>IF(AND(P141&gt;0,S141=0),AF141,0)</x:f>
        <x:v>0</x:v>
      </x:c>
      <x:c r="AJ141" s="23" t="n">
        <x:f>IF(R141&lt;30000,AF141,0)</x:f>
        <x:v>0</x:v>
      </x:c>
      <x:c r="AK141" s="460" t="n">
        <x:f>IF(P141&gt;0,AF141*S141,0)</x:f>
        <x:v>0</x:v>
      </x:c>
    </x:row>
    <x:row r="142" ht="22" customHeight="1">
      <x:c r="A142" s="643" t="str">
        <x:v>保守</x:v>
      </x:c>
      <x:c r="B142" s="648" t="n">
        <x:f>'114_降本系数'!B26</x:f>
        <x:v>0.35</x:v>
      </x:c>
      <x:c r="C142" s="643" t="str">
        <x:v>L2</x:v>
      </x:c>
      <x:c r="D142" s="648" t="n">
        <x:f>'130_联合算法'!C19</x:f>
        <x:v>0.05</x:v>
      </x:c>
      <x:c r="E142" s="647" t="n">
        <x:f>'117_价格概率传导'!A6</x:f>
        <x:v>259900</x:v>
      </x:c>
      <x:c r="F142" s="648" t="n">
        <x:f>'117_价格概率传导'!C6</x:f>
        <x:v>0.06</x:v>
      </x:c>
      <x:c r="G142" s="648" t="n">
        <x:f>0</x:f>
        <x:v>0</x:v>
      </x:c>
      <x:c r="H142" s="648" t="n">
        <x:f>SUM('117_价格概率传导'!$C$6:$C$6)</x:f>
        <x:v>0.06</x:v>
      </x:c>
      <x:c r="I142" s="647" t="n">
        <x:f>'117_价格概率传导'!A19</x:f>
        <x:v>279900</x:v>
      </x:c>
      <x:c r="J142" s="648" t="n">
        <x:f>'117_价格概率传导'!C19</x:f>
        <x:v>0.39</x:v>
      </x:c>
      <x:c r="K142" s="648" t="n">
        <x:f>SUM('117_价格概率传导'!$C$16:$C$18)</x:f>
        <x:v>0.45</x:v>
      </x:c>
      <x:c r="L142" s="648" t="n">
        <x:f>SUM('117_价格概率传导'!$C$16:$C$19)</x:f>
        <x:v>0.8400000000000001</x:v>
      </x:c>
      <x:c r="M142" s="648" t="n">
        <x:f>MAX(0,MIN(H142,L142)-MAX(G142,K142))</x:f>
        <x:v>0</x:v>
      </x:c>
      <x:c r="N142" s="648" t="n">
        <x:f>B142*D142*M142</x:f>
        <x:v>0</x:v>
      </x:c>
      <x:c r="O142" s="647" t="n">
        <x:f>MIN(299900,I142+20000)</x:f>
        <x:v>299900</x:v>
      </x:c>
      <x:c r="P142" s="647" t="str">
        <x:f>""</x:f>
      </x:c>
      <x:c r="Q142" s="647" t="n">
        <x:f>O142-20000</x:f>
        <x:v>279900</x:v>
      </x:c>
      <x:c r="R142" s="647" t="n">
        <x:f>O142-E142</x:f>
        <x:v>40000</x:v>
      </x:c>
      <x:c r="S142" s="647" t="str">
        <x:f>IF(P142&gt;0,P142-E142,"")</x:f>
      </x:c>
      <x:c r="T142" s="647" t="n">
        <x:f>IF(Q142&gt;0,Q142-E142,"")</x:f>
        <x:v>20000</x:v>
      </x:c>
      <x:c r="U142" s="648" t="n">
        <x:f>IF(R142&lt;30000,N142,0)</x:f>
        <x:v>0</x:v>
      </x:c>
      <x:c r="V142" s="648" t="n">
        <x:f>IF(P142&gt;0,N142,0)</x:f>
        <x:v>0</x:v>
      </x:c>
      <x:c r="W142" s="648" t="n">
        <x:f>IF(AND(P142&gt;0,S142&lt;0),N142,0)</x:f>
        <x:v>0</x:v>
      </x:c>
      <x:c r="X142" s="648" t="n">
        <x:f>IF(AND(P142&gt;0,S142=0),N142,0)</x:f>
        <x:v>0</x:v>
      </x:c>
      <x:c r="Y142" s="648" t="n">
        <x:f>IF(Q142&gt;0,N142,0)</x:f>
        <x:v>0</x:v>
      </x:c>
      <x:c r="Z142" s="647" t="n">
        <x:f>IF(P142&gt;0,N142*S142,0)</x:f>
        <x:v>0</x:v>
      </x:c>
      <x:c r="AA142" s="647" t="n">
        <x:f>IF(Q142&gt;0,N142*T142,0)</x:f>
        <x:v>0</x:v>
      </x:c>
      <x:c r="AB142" s="647" t="n">
        <x:f>N142*R142</x:f>
        <x:v>0</x:v>
      </x:c>
      <x:c r="AC142" s="647" t="n">
        <x:f>IF(N142&gt;0,R142,999999)</x:f>
        <x:v>999999</x:v>
      </x:c>
      <x:c r="AD142" s="647" t="n">
        <x:f>IF(AND(N142&gt;0,P142&gt;0),S142,999999)</x:f>
        <x:v>999999</x:v>
      </x:c>
      <x:c r="AE142" s="647" t="n">
        <x:f>IF(AND(N142&gt;0,Q142&gt;0),T142,999999)</x:f>
        <x:v>999999</x:v>
      </x:c>
      <x:c r="AF142" s="648" t="n">
        <x:f>B142*D142*F142*J142</x:f>
        <x:v>0.0004095</x:v>
      </x:c>
      <x:c r="AG142" s="648" t="n">
        <x:f>IF(P142&gt;0,AF142,0)</x:f>
        <x:v>0</x:v>
      </x:c>
      <x:c r="AH142" s="648" t="n">
        <x:f>IF(AND(P142&gt;0,S142&lt;0),AF142,0)</x:f>
        <x:v>0</x:v>
      </x:c>
      <x:c r="AI142" s="648" t="n">
        <x:f>IF(AND(P142&gt;0,S142=0),AF142,0)</x:f>
        <x:v>0</x:v>
      </x:c>
      <x:c r="AJ142" s="648" t="n">
        <x:f>IF(R142&lt;30000,AF142,0)</x:f>
        <x:v>0</x:v>
      </x:c>
      <x:c r="AK142" s="647" t="n">
        <x:f>IF(P142&gt;0,AF142*S142,0)</x:f>
        <x:v>0</x:v>
      </x:c>
    </x:row>
    <x:row r="143" ht="22" customHeight="1">
      <x:c r="A143" s="19" t="str">
        <x:v>保守</x:v>
      </x:c>
      <x:c r="B143" s="23" t="n">
        <x:f>'114_降本系数'!B26</x:f>
        <x:v>0.35</x:v>
      </x:c>
      <x:c r="C143" s="19" t="str">
        <x:v>L2</x:v>
      </x:c>
      <x:c r="D143" s="23" t="n">
        <x:f>'130_联合算法'!C19</x:f>
        <x:v>0.05</x:v>
      </x:c>
      <x:c r="E143" s="460" t="n">
        <x:f>'117_价格概率传导'!A6</x:f>
        <x:v>259900</x:v>
      </x:c>
      <x:c r="F143" s="23" t="n">
        <x:f>'117_价格概率传导'!C6</x:f>
        <x:v>0.06</x:v>
      </x:c>
      <x:c r="G143" s="23" t="n">
        <x:f>0</x:f>
        <x:v>0</x:v>
      </x:c>
      <x:c r="H143" s="23" t="n">
        <x:f>SUM('117_价格概率传导'!$C$6:$C$6)</x:f>
        <x:v>0.06</x:v>
      </x:c>
      <x:c r="I143" s="460" t="n">
        <x:f>'117_价格概率传导'!A20</x:f>
        <x:v>269900</x:v>
      </x:c>
      <x:c r="J143" s="23" t="n">
        <x:f>'117_价格概率传导'!C20</x:f>
        <x:v>0.13</x:v>
      </x:c>
      <x:c r="K143" s="23" t="n">
        <x:f>SUM('117_价格概率传导'!$C$16:$C$19)</x:f>
        <x:v>0.8400000000000001</x:v>
      </x:c>
      <x:c r="L143" s="23" t="n">
        <x:f>SUM('117_价格概率传导'!$C$16:$C$20)</x:f>
        <x:v>0.9700000000000001</x:v>
      </x:c>
      <x:c r="M143" s="23" t="n">
        <x:f>MAX(0,MIN(H143,L143)-MAX(G143,K143))</x:f>
        <x:v>0</x:v>
      </x:c>
      <x:c r="N143" s="23" t="n">
        <x:f>B143*D143*M143</x:f>
        <x:v>0</x:v>
      </x:c>
      <x:c r="O143" s="460" t="n">
        <x:f>MIN(299900,I143+20000)</x:f>
        <x:v>289900</x:v>
      </x:c>
      <x:c r="P143" s="460" t="str">
        <x:f>""</x:f>
      </x:c>
      <x:c r="Q143" s="460" t="n">
        <x:f>O143-20000</x:f>
        <x:v>269900</x:v>
      </x:c>
      <x:c r="R143" s="460" t="n">
        <x:f>O143-E143</x:f>
        <x:v>30000</x:v>
      </x:c>
      <x:c r="S143" s="460" t="str">
        <x:f>IF(P143&gt;0,P143-E143,"")</x:f>
      </x:c>
      <x:c r="T143" s="460" t="n">
        <x:f>IF(Q143&gt;0,Q143-E143,"")</x:f>
        <x:v>10000</x:v>
      </x:c>
      <x:c r="U143" s="23" t="n">
        <x:f>IF(R143&lt;30000,N143,0)</x:f>
        <x:v>0</x:v>
      </x:c>
      <x:c r="V143" s="23" t="n">
        <x:f>IF(P143&gt;0,N143,0)</x:f>
        <x:v>0</x:v>
      </x:c>
      <x:c r="W143" s="23" t="n">
        <x:f>IF(AND(P143&gt;0,S143&lt;0),N143,0)</x:f>
        <x:v>0</x:v>
      </x:c>
      <x:c r="X143" s="23" t="n">
        <x:f>IF(AND(P143&gt;0,S143=0),N143,0)</x:f>
        <x:v>0</x:v>
      </x:c>
      <x:c r="Y143" s="23" t="n">
        <x:f>IF(Q143&gt;0,N143,0)</x:f>
        <x:v>0</x:v>
      </x:c>
      <x:c r="Z143" s="460" t="n">
        <x:f>IF(P143&gt;0,N143*S143,0)</x:f>
        <x:v>0</x:v>
      </x:c>
      <x:c r="AA143" s="460" t="n">
        <x:f>IF(Q143&gt;0,N143*T143,0)</x:f>
        <x:v>0</x:v>
      </x:c>
      <x:c r="AB143" s="460" t="n">
        <x:f>N143*R143</x:f>
        <x:v>0</x:v>
      </x:c>
      <x:c r="AC143" s="460" t="n">
        <x:f>IF(N143&gt;0,R143,999999)</x:f>
        <x:v>999999</x:v>
      </x:c>
      <x:c r="AD143" s="460" t="n">
        <x:f>IF(AND(N143&gt;0,P143&gt;0),S143,999999)</x:f>
        <x:v>999999</x:v>
      </x:c>
      <x:c r="AE143" s="460" t="n">
        <x:f>IF(AND(N143&gt;0,Q143&gt;0),T143,999999)</x:f>
        <x:v>999999</x:v>
      </x:c>
      <x:c r="AF143" s="23" t="n">
        <x:f>B143*D143*F143*J143</x:f>
        <x:v>0.00013649999999999998</x:v>
      </x:c>
      <x:c r="AG143" s="23" t="n">
        <x:f>IF(P143&gt;0,AF143,0)</x:f>
        <x:v>0</x:v>
      </x:c>
      <x:c r="AH143" s="23" t="n">
        <x:f>IF(AND(P143&gt;0,S143&lt;0),AF143,0)</x:f>
        <x:v>0</x:v>
      </x:c>
      <x:c r="AI143" s="23" t="n">
        <x:f>IF(AND(P143&gt;0,S143=0),AF143,0)</x:f>
        <x:v>0</x:v>
      </x:c>
      <x:c r="AJ143" s="23" t="n">
        <x:f>IF(R143&lt;30000,AF143,0)</x:f>
        <x:v>0</x:v>
      </x:c>
      <x:c r="AK143" s="460" t="n">
        <x:f>IF(P143&gt;0,AF143*S143,0)</x:f>
        <x:v>0</x:v>
      </x:c>
    </x:row>
    <x:row r="144" ht="22" customHeight="1">
      <x:c r="A144" s="643" t="str">
        <x:v>保守</x:v>
      </x:c>
      <x:c r="B144" s="648" t="n">
        <x:f>'114_降本系数'!B26</x:f>
        <x:v>0.35</x:v>
      </x:c>
      <x:c r="C144" s="643" t="str">
        <x:v>L2</x:v>
      </x:c>
      <x:c r="D144" s="648" t="n">
        <x:f>'130_联合算法'!C19</x:f>
        <x:v>0.05</x:v>
      </x:c>
      <x:c r="E144" s="647" t="n">
        <x:f>'117_价格概率传导'!A6</x:f>
        <x:v>259900</x:v>
      </x:c>
      <x:c r="F144" s="648" t="n">
        <x:f>'117_价格概率传导'!C6</x:f>
        <x:v>0.06</x:v>
      </x:c>
      <x:c r="G144" s="648" t="n">
        <x:f>0</x:f>
        <x:v>0</x:v>
      </x:c>
      <x:c r="H144" s="648" t="n">
        <x:f>SUM('117_价格概率传导'!$C$6:$C$6)</x:f>
        <x:v>0.06</x:v>
      </x:c>
      <x:c r="I144" s="647" t="n">
        <x:f>'117_价格概率传导'!A21</x:f>
        <x:v>259900</x:v>
      </x:c>
      <x:c r="J144" s="648" t="n">
        <x:f>'117_价格概率传导'!C21</x:f>
        <x:v>0.03</x:v>
      </x:c>
      <x:c r="K144" s="648" t="n">
        <x:f>SUM('117_价格概率传导'!$C$16:$C$20)</x:f>
        <x:v>0.9700000000000001</x:v>
      </x:c>
      <x:c r="L144" s="648" t="n">
        <x:f>SUM('117_价格概率传导'!$C$16:$C$21)</x:f>
        <x:v>1</x:v>
      </x:c>
      <x:c r="M144" s="648" t="n">
        <x:f>MAX(0,MIN(H144,L144)-MAX(G144,K144))</x:f>
        <x:v>0</x:v>
      </x:c>
      <x:c r="N144" s="648" t="n">
        <x:f>B144*D144*M144</x:f>
        <x:v>0</x:v>
      </x:c>
      <x:c r="O144" s="647" t="n">
        <x:f>MIN(299900,I144+20000)</x:f>
        <x:v>279900</x:v>
      </x:c>
      <x:c r="P144" s="647" t="str">
        <x:f>""</x:f>
      </x:c>
      <x:c r="Q144" s="647" t="n">
        <x:f>O144-20000</x:f>
        <x:v>259900</x:v>
      </x:c>
      <x:c r="R144" s="647" t="n">
        <x:f>O144-E144</x:f>
        <x:v>20000</x:v>
      </x:c>
      <x:c r="S144" s="647" t="str">
        <x:f>IF(P144&gt;0,P144-E144,"")</x:f>
      </x:c>
      <x:c r="T144" s="647" t="n">
        <x:f>IF(Q144&gt;0,Q144-E144,"")</x:f>
        <x:v>0</x:v>
      </x:c>
      <x:c r="U144" s="648" t="n">
        <x:f>IF(R144&lt;30000,N144,0)</x:f>
        <x:v>0</x:v>
      </x:c>
      <x:c r="V144" s="648" t="n">
        <x:f>IF(P144&gt;0,N144,0)</x:f>
        <x:v>0</x:v>
      </x:c>
      <x:c r="W144" s="648" t="n">
        <x:f>IF(AND(P144&gt;0,S144&lt;0),N144,0)</x:f>
        <x:v>0</x:v>
      </x:c>
      <x:c r="X144" s="648" t="n">
        <x:f>IF(AND(P144&gt;0,S144=0),N144,0)</x:f>
        <x:v>0</x:v>
      </x:c>
      <x:c r="Y144" s="648" t="n">
        <x:f>IF(Q144&gt;0,N144,0)</x:f>
        <x:v>0</x:v>
      </x:c>
      <x:c r="Z144" s="647" t="n">
        <x:f>IF(P144&gt;0,N144*S144,0)</x:f>
        <x:v>0</x:v>
      </x:c>
      <x:c r="AA144" s="647" t="n">
        <x:f>IF(Q144&gt;0,N144*T144,0)</x:f>
        <x:v>0</x:v>
      </x:c>
      <x:c r="AB144" s="647" t="n">
        <x:f>N144*R144</x:f>
        <x:v>0</x:v>
      </x:c>
      <x:c r="AC144" s="647" t="n">
        <x:f>IF(N144&gt;0,R144,999999)</x:f>
        <x:v>999999</x:v>
      </x:c>
      <x:c r="AD144" s="647" t="n">
        <x:f>IF(AND(N144&gt;0,P144&gt;0),S144,999999)</x:f>
        <x:v>999999</x:v>
      </x:c>
      <x:c r="AE144" s="647" t="n">
        <x:f>IF(AND(N144&gt;0,Q144&gt;0),T144,999999)</x:f>
        <x:v>999999</x:v>
      </x:c>
      <x:c r="AF144" s="648" t="n">
        <x:f>B144*D144*F144*J144</x:f>
        <x:v>0.0000315</x:v>
      </x:c>
      <x:c r="AG144" s="648" t="n">
        <x:f>IF(P144&gt;0,AF144,0)</x:f>
        <x:v>0</x:v>
      </x:c>
      <x:c r="AH144" s="648" t="n">
        <x:f>IF(AND(P144&gt;0,S144&lt;0),AF144,0)</x:f>
        <x:v>0</x:v>
      </x:c>
      <x:c r="AI144" s="648" t="n">
        <x:f>IF(AND(P144&gt;0,S144=0),AF144,0)</x:f>
        <x:v>0</x:v>
      </x:c>
      <x:c r="AJ144" s="648" t="n">
        <x:f>IF(R144&lt;30000,AF144,0)</x:f>
        <x:v>0.0000315</x:v>
      </x:c>
      <x:c r="AK144" s="647" t="n">
        <x:f>IF(P144&gt;0,AF144*S144,0)</x:f>
        <x:v>0</x:v>
      </x:c>
    </x:row>
    <x:row r="145" ht="22" customHeight="1">
      <x:c r="A145" s="19" t="str">
        <x:v>保守</x:v>
      </x:c>
      <x:c r="B145" s="23" t="n">
        <x:f>'114_降本系数'!B26</x:f>
        <x:v>0.35</x:v>
      </x:c>
      <x:c r="C145" s="19" t="str">
        <x:v>L2</x:v>
      </x:c>
      <x:c r="D145" s="23" t="n">
        <x:f>'130_联合算法'!C19</x:f>
        <x:v>0.05</x:v>
      </x:c>
      <x:c r="E145" s="460" t="n">
        <x:f>'117_价格概率传导'!A7</x:f>
        <x:v>253900</x:v>
      </x:c>
      <x:c r="F145" s="23" t="n">
        <x:f>'117_价格概率传导'!C7</x:f>
        <x:v>0.07</x:v>
      </x:c>
      <x:c r="G145" s="23" t="n">
        <x:f>SUM('117_价格概率传导'!$C$6:$C$6)</x:f>
        <x:v>0.06</x:v>
      </x:c>
      <x:c r="H145" s="23" t="n">
        <x:f>SUM('117_价格概率传导'!$C$6:$C$7)</x:f>
        <x:v>0.13</x:v>
      </x:c>
      <x:c r="I145" s="460" t="n">
        <x:f>'117_价格概率传导'!A16</x:f>
        <x:v>299900</x:v>
      </x:c>
      <x:c r="J145" s="23" t="n">
        <x:f>'117_价格概率传导'!C16</x:f>
        <x:v>0.05</x:v>
      </x:c>
      <x:c r="K145" s="23" t="n">
        <x:f>0</x:f>
        <x:v>0</x:v>
      </x:c>
      <x:c r="L145" s="23" t="n">
        <x:f>SUM('117_价格概率传导'!$C$16:$C$16)</x:f>
        <x:v>0.05</x:v>
      </x:c>
      <x:c r="M145" s="23" t="n">
        <x:f>MAX(0,MIN(H145,L145)-MAX(G145,K145))</x:f>
        <x:v>0</x:v>
      </x:c>
      <x:c r="N145" s="23" t="n">
        <x:f>B145*D145*M145</x:f>
        <x:v>0</x:v>
      </x:c>
      <x:c r="O145" s="460" t="n">
        <x:f>MIN(299900,I145+20000)</x:f>
        <x:v>299900</x:v>
      </x:c>
      <x:c r="P145" s="460" t="str">
        <x:f>""</x:f>
      </x:c>
      <x:c r="Q145" s="460" t="n">
        <x:f>O145-20000</x:f>
        <x:v>279900</x:v>
      </x:c>
      <x:c r="R145" s="460" t="n">
        <x:f>O145-E145</x:f>
        <x:v>46000</x:v>
      </x:c>
      <x:c r="S145" s="460" t="str">
        <x:f>IF(P145&gt;0,P145-E145,"")</x:f>
      </x:c>
      <x:c r="T145" s="460" t="n">
        <x:f>IF(Q145&gt;0,Q145-E145,"")</x:f>
        <x:v>26000</x:v>
      </x:c>
      <x:c r="U145" s="23" t="n">
        <x:f>IF(R145&lt;30000,N145,0)</x:f>
        <x:v>0</x:v>
      </x:c>
      <x:c r="V145" s="23" t="n">
        <x:f>IF(P145&gt;0,N145,0)</x:f>
        <x:v>0</x:v>
      </x:c>
      <x:c r="W145" s="23" t="n">
        <x:f>IF(AND(P145&gt;0,S145&lt;0),N145,0)</x:f>
        <x:v>0</x:v>
      </x:c>
      <x:c r="X145" s="23" t="n">
        <x:f>IF(AND(P145&gt;0,S145=0),N145,0)</x:f>
        <x:v>0</x:v>
      </x:c>
      <x:c r="Y145" s="23" t="n">
        <x:f>IF(Q145&gt;0,N145,0)</x:f>
        <x:v>0</x:v>
      </x:c>
      <x:c r="Z145" s="460" t="n">
        <x:f>IF(P145&gt;0,N145*S145,0)</x:f>
        <x:v>0</x:v>
      </x:c>
      <x:c r="AA145" s="460" t="n">
        <x:f>IF(Q145&gt;0,N145*T145,0)</x:f>
        <x:v>0</x:v>
      </x:c>
      <x:c r="AB145" s="460" t="n">
        <x:f>N145*R145</x:f>
        <x:v>0</x:v>
      </x:c>
      <x:c r="AC145" s="460" t="n">
        <x:f>IF(N145&gt;0,R145,999999)</x:f>
        <x:v>999999</x:v>
      </x:c>
      <x:c r="AD145" s="460" t="n">
        <x:f>IF(AND(N145&gt;0,P145&gt;0),S145,999999)</x:f>
        <x:v>999999</x:v>
      </x:c>
      <x:c r="AE145" s="460" t="n">
        <x:f>IF(AND(N145&gt;0,Q145&gt;0),T145,999999)</x:f>
        <x:v>999999</x:v>
      </x:c>
      <x:c r="AF145" s="23" t="n">
        <x:f>B145*D145*F145*J145</x:f>
        <x:v>0.00006125</x:v>
      </x:c>
      <x:c r="AG145" s="23" t="n">
        <x:f>IF(P145&gt;0,AF145,0)</x:f>
        <x:v>0</x:v>
      </x:c>
      <x:c r="AH145" s="23" t="n">
        <x:f>IF(AND(P145&gt;0,S145&lt;0),AF145,0)</x:f>
        <x:v>0</x:v>
      </x:c>
      <x:c r="AI145" s="23" t="n">
        <x:f>IF(AND(P145&gt;0,S145=0),AF145,0)</x:f>
        <x:v>0</x:v>
      </x:c>
      <x:c r="AJ145" s="23" t="n">
        <x:f>IF(R145&lt;30000,AF145,0)</x:f>
        <x:v>0</x:v>
      </x:c>
      <x:c r="AK145" s="460" t="n">
        <x:f>IF(P145&gt;0,AF145*S145,0)</x:f>
        <x:v>0</x:v>
      </x:c>
    </x:row>
    <x:row r="146" ht="22" customHeight="1">
      <x:c r="A146" s="643" t="str">
        <x:v>保守</x:v>
      </x:c>
      <x:c r="B146" s="648" t="n">
        <x:f>'114_降本系数'!B26</x:f>
        <x:v>0.35</x:v>
      </x:c>
      <x:c r="C146" s="643" t="str">
        <x:v>L2</x:v>
      </x:c>
      <x:c r="D146" s="648" t="n">
        <x:f>'130_联合算法'!C19</x:f>
        <x:v>0.05</x:v>
      </x:c>
      <x:c r="E146" s="647" t="n">
        <x:f>'117_价格概率传导'!A7</x:f>
        <x:v>253900</x:v>
      </x:c>
      <x:c r="F146" s="648" t="n">
        <x:f>'117_价格概率传导'!C7</x:f>
        <x:v>0.07</x:v>
      </x:c>
      <x:c r="G146" s="648" t="n">
        <x:f>SUM('117_价格概率传导'!$C$6:$C$6)</x:f>
        <x:v>0.06</x:v>
      </x:c>
      <x:c r="H146" s="648" t="n">
        <x:f>SUM('117_价格概率传导'!$C$6:$C$7)</x:f>
        <x:v>0.13</x:v>
      </x:c>
      <x:c r="I146" s="647" t="n">
        <x:f>'117_价格概率传导'!A17</x:f>
        <x:v>293900</x:v>
      </x:c>
      <x:c r="J146" s="648" t="n">
        <x:f>'117_价格概率传导'!C17</x:f>
        <x:v>0.06</x:v>
      </x:c>
      <x:c r="K146" s="648" t="n">
        <x:f>SUM('117_价格概率传导'!$C$16:$C$16)</x:f>
        <x:v>0.05</x:v>
      </x:c>
      <x:c r="L146" s="648" t="n">
        <x:f>SUM('117_价格概率传导'!$C$16:$C$17)</x:f>
        <x:v>0.11</x:v>
      </x:c>
      <x:c r="M146" s="648" t="n">
        <x:f>MAX(0,MIN(H146,L146)-MAX(G146,K146))</x:f>
        <x:v>0.05</x:v>
      </x:c>
      <x:c r="N146" s="648" t="n">
        <x:f>B146*D146*M146</x:f>
        <x:v>0.0008749999999999999</x:v>
      </x:c>
      <x:c r="O146" s="647" t="n">
        <x:f>MIN(299900,I146+20000)</x:f>
        <x:v>299900</x:v>
      </x:c>
      <x:c r="P146" s="647" t="str">
        <x:f>""</x:f>
      </x:c>
      <x:c r="Q146" s="647" t="n">
        <x:f>O146-20000</x:f>
        <x:v>279900</x:v>
      </x:c>
      <x:c r="R146" s="647" t="n">
        <x:f>O146-E146</x:f>
        <x:v>46000</x:v>
      </x:c>
      <x:c r="S146" s="647" t="str">
        <x:f>IF(P146&gt;0,P146-E146,"")</x:f>
      </x:c>
      <x:c r="T146" s="647" t="n">
        <x:f>IF(Q146&gt;0,Q146-E146,"")</x:f>
        <x:v>26000</x:v>
      </x:c>
      <x:c r="U146" s="648" t="n">
        <x:f>IF(R146&lt;30000,N146,0)</x:f>
        <x:v>0</x:v>
      </x:c>
      <x:c r="V146" s="648" t="n">
        <x:f>IF(P146&gt;0,N146,0)</x:f>
        <x:v>0</x:v>
      </x:c>
      <x:c r="W146" s="648" t="n">
        <x:f>IF(AND(P146&gt;0,S146&lt;0),N146,0)</x:f>
        <x:v>0</x:v>
      </x:c>
      <x:c r="X146" s="648" t="n">
        <x:f>IF(AND(P146&gt;0,S146=0),N146,0)</x:f>
        <x:v>0</x:v>
      </x:c>
      <x:c r="Y146" s="648" t="n">
        <x:f>IF(Q146&gt;0,N146,0)</x:f>
        <x:v>0.0008749999999999999</x:v>
      </x:c>
      <x:c r="Z146" s="647" t="n">
        <x:f>IF(P146&gt;0,N146*S146,0)</x:f>
        <x:v>0</x:v>
      </x:c>
      <x:c r="AA146" s="647" t="n">
        <x:f>IF(Q146&gt;0,N146*T146,0)</x:f>
        <x:v>22.749999999999996</x:v>
      </x:c>
      <x:c r="AB146" s="647" t="n">
        <x:f>N146*R146</x:f>
        <x:v>40.24999999999999</x:v>
      </x:c>
      <x:c r="AC146" s="647" t="n">
        <x:f>IF(N146&gt;0,R146,999999)</x:f>
        <x:v>46000</x:v>
      </x:c>
      <x:c r="AD146" s="647" t="n">
        <x:f>IF(AND(N146&gt;0,P146&gt;0),S146,999999)</x:f>
        <x:v>999999</x:v>
      </x:c>
      <x:c r="AE146" s="647" t="n">
        <x:f>IF(AND(N146&gt;0,Q146&gt;0),T146,999999)</x:f>
        <x:v>26000</x:v>
      </x:c>
      <x:c r="AF146" s="648" t="n">
        <x:f>B146*D146*F146*J146</x:f>
        <x:v>0.0000735</x:v>
      </x:c>
      <x:c r="AG146" s="648" t="n">
        <x:f>IF(P146&gt;0,AF146,0)</x:f>
        <x:v>0</x:v>
      </x:c>
      <x:c r="AH146" s="648" t="n">
        <x:f>IF(AND(P146&gt;0,S146&lt;0),AF146,0)</x:f>
        <x:v>0</x:v>
      </x:c>
      <x:c r="AI146" s="648" t="n">
        <x:f>IF(AND(P146&gt;0,S146=0),AF146,0)</x:f>
        <x:v>0</x:v>
      </x:c>
      <x:c r="AJ146" s="648" t="n">
        <x:f>IF(R146&lt;30000,AF146,0)</x:f>
        <x:v>0</x:v>
      </x:c>
      <x:c r="AK146" s="647" t="n">
        <x:f>IF(P146&gt;0,AF146*S146,0)</x:f>
        <x:v>0</x:v>
      </x:c>
    </x:row>
    <x:row r="147" ht="22" customHeight="1">
      <x:c r="A147" s="19" t="str">
        <x:v>保守</x:v>
      </x:c>
      <x:c r="B147" s="23" t="n">
        <x:f>'114_降本系数'!B26</x:f>
        <x:v>0.35</x:v>
      </x:c>
      <x:c r="C147" s="19" t="str">
        <x:v>L2</x:v>
      </x:c>
      <x:c r="D147" s="23" t="n">
        <x:f>'130_联合算法'!C19</x:f>
        <x:v>0.05</x:v>
      </x:c>
      <x:c r="E147" s="460" t="n">
        <x:f>'117_价格概率传导'!A7</x:f>
        <x:v>253900</x:v>
      </x:c>
      <x:c r="F147" s="23" t="n">
        <x:f>'117_价格概率传导'!C7</x:f>
        <x:v>0.07</x:v>
      </x:c>
      <x:c r="G147" s="23" t="n">
        <x:f>SUM('117_价格概率传导'!$C$6:$C$6)</x:f>
        <x:v>0.06</x:v>
      </x:c>
      <x:c r="H147" s="23" t="n">
        <x:f>SUM('117_价格概率传导'!$C$6:$C$7)</x:f>
        <x:v>0.13</x:v>
      </x:c>
      <x:c r="I147" s="460" t="n">
        <x:f>'117_价格概率传导'!A18</x:f>
        <x:v>289900</x:v>
      </x:c>
      <x:c r="J147" s="23" t="n">
        <x:f>'117_价格概率传导'!C18</x:f>
        <x:v>0.34</x:v>
      </x:c>
      <x:c r="K147" s="23" t="n">
        <x:f>SUM('117_价格概率传导'!$C$16:$C$17)</x:f>
        <x:v>0.11</x:v>
      </x:c>
      <x:c r="L147" s="23" t="n">
        <x:f>SUM('117_价格概率传导'!$C$16:$C$18)</x:f>
        <x:v>0.45</x:v>
      </x:c>
      <x:c r="M147" s="23" t="n">
        <x:f>MAX(0,MIN(H147,L147)-MAX(G147,K147))</x:f>
        <x:v>0.020000000000000004</x:v>
      </x:c>
      <x:c r="N147" s="23" t="n">
        <x:f>B147*D147*M147</x:f>
        <x:v>0.00035000000000000005</x:v>
      </x:c>
      <x:c r="O147" s="460" t="n">
        <x:f>MIN(299900,I147+20000)</x:f>
        <x:v>299900</x:v>
      </x:c>
      <x:c r="P147" s="460" t="str">
        <x:f>""</x:f>
      </x:c>
      <x:c r="Q147" s="460" t="n">
        <x:f>O147-20000</x:f>
        <x:v>279900</x:v>
      </x:c>
      <x:c r="R147" s="460" t="n">
        <x:f>O147-E147</x:f>
        <x:v>46000</x:v>
      </x:c>
      <x:c r="S147" s="460" t="str">
        <x:f>IF(P147&gt;0,P147-E147,"")</x:f>
      </x:c>
      <x:c r="T147" s="460" t="n">
        <x:f>IF(Q147&gt;0,Q147-E147,"")</x:f>
        <x:v>26000</x:v>
      </x:c>
      <x:c r="U147" s="23" t="n">
        <x:f>IF(R147&lt;30000,N147,0)</x:f>
        <x:v>0</x:v>
      </x:c>
      <x:c r="V147" s="23" t="n">
        <x:f>IF(P147&gt;0,N147,0)</x:f>
        <x:v>0</x:v>
      </x:c>
      <x:c r="W147" s="23" t="n">
        <x:f>IF(AND(P147&gt;0,S147&lt;0),N147,0)</x:f>
        <x:v>0</x:v>
      </x:c>
      <x:c r="X147" s="23" t="n">
        <x:f>IF(AND(P147&gt;0,S147=0),N147,0)</x:f>
        <x:v>0</x:v>
      </x:c>
      <x:c r="Y147" s="23" t="n">
        <x:f>IF(Q147&gt;0,N147,0)</x:f>
        <x:v>0.00035000000000000005</x:v>
      </x:c>
      <x:c r="Z147" s="460" t="n">
        <x:f>IF(P147&gt;0,N147*S147,0)</x:f>
        <x:v>0</x:v>
      </x:c>
      <x:c r="AA147" s="460" t="n">
        <x:f>IF(Q147&gt;0,N147*T147,0)</x:f>
        <x:v>9.100000000000001</x:v>
      </x:c>
      <x:c r="AB147" s="460" t="n">
        <x:f>N147*R147</x:f>
        <x:v>16.1</x:v>
      </x:c>
      <x:c r="AC147" s="460" t="n">
        <x:f>IF(N147&gt;0,R147,999999)</x:f>
        <x:v>46000</x:v>
      </x:c>
      <x:c r="AD147" s="460" t="n">
        <x:f>IF(AND(N147&gt;0,P147&gt;0),S147,999999)</x:f>
        <x:v>999999</x:v>
      </x:c>
      <x:c r="AE147" s="460" t="n">
        <x:f>IF(AND(N147&gt;0,Q147&gt;0),T147,999999)</x:f>
        <x:v>26000</x:v>
      </x:c>
      <x:c r="AF147" s="23" t="n">
        <x:f>B147*D147*F147*J147</x:f>
        <x:v>0.00041650000000000004</x:v>
      </x:c>
      <x:c r="AG147" s="23" t="n">
        <x:f>IF(P147&gt;0,AF147,0)</x:f>
        <x:v>0</x:v>
      </x:c>
      <x:c r="AH147" s="23" t="n">
        <x:f>IF(AND(P147&gt;0,S147&lt;0),AF147,0)</x:f>
        <x:v>0</x:v>
      </x:c>
      <x:c r="AI147" s="23" t="n">
        <x:f>IF(AND(P147&gt;0,S147=0),AF147,0)</x:f>
        <x:v>0</x:v>
      </x:c>
      <x:c r="AJ147" s="23" t="n">
        <x:f>IF(R147&lt;30000,AF147,0)</x:f>
        <x:v>0</x:v>
      </x:c>
      <x:c r="AK147" s="460" t="n">
        <x:f>IF(P147&gt;0,AF147*S147,0)</x:f>
        <x:v>0</x:v>
      </x:c>
    </x:row>
    <x:row r="148" ht="22" customHeight="1">
      <x:c r="A148" s="643" t="str">
        <x:v>保守</x:v>
      </x:c>
      <x:c r="B148" s="648" t="n">
        <x:f>'114_降本系数'!B26</x:f>
        <x:v>0.35</x:v>
      </x:c>
      <x:c r="C148" s="643" t="str">
        <x:v>L2</x:v>
      </x:c>
      <x:c r="D148" s="648" t="n">
        <x:f>'130_联合算法'!C19</x:f>
        <x:v>0.05</x:v>
      </x:c>
      <x:c r="E148" s="647" t="n">
        <x:f>'117_价格概率传导'!A7</x:f>
        <x:v>253900</x:v>
      </x:c>
      <x:c r="F148" s="648" t="n">
        <x:f>'117_价格概率传导'!C7</x:f>
        <x:v>0.07</x:v>
      </x:c>
      <x:c r="G148" s="648" t="n">
        <x:f>SUM('117_价格概率传导'!$C$6:$C$6)</x:f>
        <x:v>0.06</x:v>
      </x:c>
      <x:c r="H148" s="648" t="n">
        <x:f>SUM('117_价格概率传导'!$C$6:$C$7)</x:f>
        <x:v>0.13</x:v>
      </x:c>
      <x:c r="I148" s="647" t="n">
        <x:f>'117_价格概率传导'!A19</x:f>
        <x:v>279900</x:v>
      </x:c>
      <x:c r="J148" s="648" t="n">
        <x:f>'117_价格概率传导'!C19</x:f>
        <x:v>0.39</x:v>
      </x:c>
      <x:c r="K148" s="648" t="n">
        <x:f>SUM('117_价格概率传导'!$C$16:$C$18)</x:f>
        <x:v>0.45</x:v>
      </x:c>
      <x:c r="L148" s="648" t="n">
        <x:f>SUM('117_价格概率传导'!$C$16:$C$19)</x:f>
        <x:v>0.8400000000000001</x:v>
      </x:c>
      <x:c r="M148" s="648" t="n">
        <x:f>MAX(0,MIN(H148,L148)-MAX(G148,K148))</x:f>
        <x:v>0</x:v>
      </x:c>
      <x:c r="N148" s="648" t="n">
        <x:f>B148*D148*M148</x:f>
        <x:v>0</x:v>
      </x:c>
      <x:c r="O148" s="647" t="n">
        <x:f>MIN(299900,I148+20000)</x:f>
        <x:v>299900</x:v>
      </x:c>
      <x:c r="P148" s="647" t="str">
        <x:f>""</x:f>
      </x:c>
      <x:c r="Q148" s="647" t="n">
        <x:f>O148-20000</x:f>
        <x:v>279900</x:v>
      </x:c>
      <x:c r="R148" s="647" t="n">
        <x:f>O148-E148</x:f>
        <x:v>46000</x:v>
      </x:c>
      <x:c r="S148" s="647" t="str">
        <x:f>IF(P148&gt;0,P148-E148,"")</x:f>
      </x:c>
      <x:c r="T148" s="647" t="n">
        <x:f>IF(Q148&gt;0,Q148-E148,"")</x:f>
        <x:v>26000</x:v>
      </x:c>
      <x:c r="U148" s="648" t="n">
        <x:f>IF(R148&lt;30000,N148,0)</x:f>
        <x:v>0</x:v>
      </x:c>
      <x:c r="V148" s="648" t="n">
        <x:f>IF(P148&gt;0,N148,0)</x:f>
        <x:v>0</x:v>
      </x:c>
      <x:c r="W148" s="648" t="n">
        <x:f>IF(AND(P148&gt;0,S148&lt;0),N148,0)</x:f>
        <x:v>0</x:v>
      </x:c>
      <x:c r="X148" s="648" t="n">
        <x:f>IF(AND(P148&gt;0,S148=0),N148,0)</x:f>
        <x:v>0</x:v>
      </x:c>
      <x:c r="Y148" s="648" t="n">
        <x:f>IF(Q148&gt;0,N148,0)</x:f>
        <x:v>0</x:v>
      </x:c>
      <x:c r="Z148" s="647" t="n">
        <x:f>IF(P148&gt;0,N148*S148,0)</x:f>
        <x:v>0</x:v>
      </x:c>
      <x:c r="AA148" s="647" t="n">
        <x:f>IF(Q148&gt;0,N148*T148,0)</x:f>
        <x:v>0</x:v>
      </x:c>
      <x:c r="AB148" s="647" t="n">
        <x:f>N148*R148</x:f>
        <x:v>0</x:v>
      </x:c>
      <x:c r="AC148" s="647" t="n">
        <x:f>IF(N148&gt;0,R148,999999)</x:f>
        <x:v>999999</x:v>
      </x:c>
      <x:c r="AD148" s="647" t="n">
        <x:f>IF(AND(N148&gt;0,P148&gt;0),S148,999999)</x:f>
        <x:v>999999</x:v>
      </x:c>
      <x:c r="AE148" s="647" t="n">
        <x:f>IF(AND(N148&gt;0,Q148&gt;0),T148,999999)</x:f>
        <x:v>999999</x:v>
      </x:c>
      <x:c r="AF148" s="648" t="n">
        <x:f>B148*D148*F148*J148</x:f>
        <x:v>0.00047775</x:v>
      </x:c>
      <x:c r="AG148" s="648" t="n">
        <x:f>IF(P148&gt;0,AF148,0)</x:f>
        <x:v>0</x:v>
      </x:c>
      <x:c r="AH148" s="648" t="n">
        <x:f>IF(AND(P148&gt;0,S148&lt;0),AF148,0)</x:f>
        <x:v>0</x:v>
      </x:c>
      <x:c r="AI148" s="648" t="n">
        <x:f>IF(AND(P148&gt;0,S148=0),AF148,0)</x:f>
        <x:v>0</x:v>
      </x:c>
      <x:c r="AJ148" s="648" t="n">
        <x:f>IF(R148&lt;30000,AF148,0)</x:f>
        <x:v>0</x:v>
      </x:c>
      <x:c r="AK148" s="647" t="n">
        <x:f>IF(P148&gt;0,AF148*S148,0)</x:f>
        <x:v>0</x:v>
      </x:c>
    </x:row>
    <x:row r="149" ht="22" customHeight="1">
      <x:c r="A149" s="19" t="str">
        <x:v>保守</x:v>
      </x:c>
      <x:c r="B149" s="23" t="n">
        <x:f>'114_降本系数'!B26</x:f>
        <x:v>0.35</x:v>
      </x:c>
      <x:c r="C149" s="19" t="str">
        <x:v>L2</x:v>
      </x:c>
      <x:c r="D149" s="23" t="n">
        <x:f>'130_联合算法'!C19</x:f>
        <x:v>0.05</x:v>
      </x:c>
      <x:c r="E149" s="460" t="n">
        <x:f>'117_价格概率传导'!A7</x:f>
        <x:v>253900</x:v>
      </x:c>
      <x:c r="F149" s="23" t="n">
        <x:f>'117_价格概率传导'!C7</x:f>
        <x:v>0.07</x:v>
      </x:c>
      <x:c r="G149" s="23" t="n">
        <x:f>SUM('117_价格概率传导'!$C$6:$C$6)</x:f>
        <x:v>0.06</x:v>
      </x:c>
      <x:c r="H149" s="23" t="n">
        <x:f>SUM('117_价格概率传导'!$C$6:$C$7)</x:f>
        <x:v>0.13</x:v>
      </x:c>
      <x:c r="I149" s="460" t="n">
        <x:f>'117_价格概率传导'!A20</x:f>
        <x:v>269900</x:v>
      </x:c>
      <x:c r="J149" s="23" t="n">
        <x:f>'117_价格概率传导'!C20</x:f>
        <x:v>0.13</x:v>
      </x:c>
      <x:c r="K149" s="23" t="n">
        <x:f>SUM('117_价格概率传导'!$C$16:$C$19)</x:f>
        <x:v>0.8400000000000001</x:v>
      </x:c>
      <x:c r="L149" s="23" t="n">
        <x:f>SUM('117_价格概率传导'!$C$16:$C$20)</x:f>
        <x:v>0.9700000000000001</x:v>
      </x:c>
      <x:c r="M149" s="23" t="n">
        <x:f>MAX(0,MIN(H149,L149)-MAX(G149,K149))</x:f>
        <x:v>0</x:v>
      </x:c>
      <x:c r="N149" s="23" t="n">
        <x:f>B149*D149*M149</x:f>
        <x:v>0</x:v>
      </x:c>
      <x:c r="O149" s="460" t="n">
        <x:f>MIN(299900,I149+20000)</x:f>
        <x:v>289900</x:v>
      </x:c>
      <x:c r="P149" s="460" t="str">
        <x:f>""</x:f>
      </x:c>
      <x:c r="Q149" s="460" t="n">
        <x:f>O149-20000</x:f>
        <x:v>269900</x:v>
      </x:c>
      <x:c r="R149" s="460" t="n">
        <x:f>O149-E149</x:f>
        <x:v>36000</x:v>
      </x:c>
      <x:c r="S149" s="460" t="str">
        <x:f>IF(P149&gt;0,P149-E149,"")</x:f>
      </x:c>
      <x:c r="T149" s="460" t="n">
        <x:f>IF(Q149&gt;0,Q149-E149,"")</x:f>
        <x:v>16000</x:v>
      </x:c>
      <x:c r="U149" s="23" t="n">
        <x:f>IF(R149&lt;30000,N149,0)</x:f>
        <x:v>0</x:v>
      </x:c>
      <x:c r="V149" s="23" t="n">
        <x:f>IF(P149&gt;0,N149,0)</x:f>
        <x:v>0</x:v>
      </x:c>
      <x:c r="W149" s="23" t="n">
        <x:f>IF(AND(P149&gt;0,S149&lt;0),N149,0)</x:f>
        <x:v>0</x:v>
      </x:c>
      <x:c r="X149" s="23" t="n">
        <x:f>IF(AND(P149&gt;0,S149=0),N149,0)</x:f>
        <x:v>0</x:v>
      </x:c>
      <x:c r="Y149" s="23" t="n">
        <x:f>IF(Q149&gt;0,N149,0)</x:f>
        <x:v>0</x:v>
      </x:c>
      <x:c r="Z149" s="460" t="n">
        <x:f>IF(P149&gt;0,N149*S149,0)</x:f>
        <x:v>0</x:v>
      </x:c>
      <x:c r="AA149" s="460" t="n">
        <x:f>IF(Q149&gt;0,N149*T149,0)</x:f>
        <x:v>0</x:v>
      </x:c>
      <x:c r="AB149" s="460" t="n">
        <x:f>N149*R149</x:f>
        <x:v>0</x:v>
      </x:c>
      <x:c r="AC149" s="460" t="n">
        <x:f>IF(N149&gt;0,R149,999999)</x:f>
        <x:v>999999</x:v>
      </x:c>
      <x:c r="AD149" s="460" t="n">
        <x:f>IF(AND(N149&gt;0,P149&gt;0),S149,999999)</x:f>
        <x:v>999999</x:v>
      </x:c>
      <x:c r="AE149" s="460" t="n">
        <x:f>IF(AND(N149&gt;0,Q149&gt;0),T149,999999)</x:f>
        <x:v>999999</x:v>
      </x:c>
      <x:c r="AF149" s="23" t="n">
        <x:f>B149*D149*F149*J149</x:f>
        <x:v>0.00015925</x:v>
      </x:c>
      <x:c r="AG149" s="23" t="n">
        <x:f>IF(P149&gt;0,AF149,0)</x:f>
        <x:v>0</x:v>
      </x:c>
      <x:c r="AH149" s="23" t="n">
        <x:f>IF(AND(P149&gt;0,S149&lt;0),AF149,0)</x:f>
        <x:v>0</x:v>
      </x:c>
      <x:c r="AI149" s="23" t="n">
        <x:f>IF(AND(P149&gt;0,S149=0),AF149,0)</x:f>
        <x:v>0</x:v>
      </x:c>
      <x:c r="AJ149" s="23" t="n">
        <x:f>IF(R149&lt;30000,AF149,0)</x:f>
        <x:v>0</x:v>
      </x:c>
      <x:c r="AK149" s="460" t="n">
        <x:f>IF(P149&gt;0,AF149*S149,0)</x:f>
        <x:v>0</x:v>
      </x:c>
    </x:row>
    <x:row r="150" ht="22" customHeight="1">
      <x:c r="A150" s="643" t="str">
        <x:v>保守</x:v>
      </x:c>
      <x:c r="B150" s="648" t="n">
        <x:f>'114_降本系数'!B26</x:f>
        <x:v>0.35</x:v>
      </x:c>
      <x:c r="C150" s="643" t="str">
        <x:v>L2</x:v>
      </x:c>
      <x:c r="D150" s="648" t="n">
        <x:f>'130_联合算法'!C19</x:f>
        <x:v>0.05</x:v>
      </x:c>
      <x:c r="E150" s="647" t="n">
        <x:f>'117_价格概率传导'!A7</x:f>
        <x:v>253900</x:v>
      </x:c>
      <x:c r="F150" s="648" t="n">
        <x:f>'117_价格概率传导'!C7</x:f>
        <x:v>0.07</x:v>
      </x:c>
      <x:c r="G150" s="648" t="n">
        <x:f>SUM('117_价格概率传导'!$C$6:$C$6)</x:f>
        <x:v>0.06</x:v>
      </x:c>
      <x:c r="H150" s="648" t="n">
        <x:f>SUM('117_价格概率传导'!$C$6:$C$7)</x:f>
        <x:v>0.13</x:v>
      </x:c>
      <x:c r="I150" s="647" t="n">
        <x:f>'117_价格概率传导'!A21</x:f>
        <x:v>259900</x:v>
      </x:c>
      <x:c r="J150" s="648" t="n">
        <x:f>'117_价格概率传导'!C21</x:f>
        <x:v>0.03</x:v>
      </x:c>
      <x:c r="K150" s="648" t="n">
        <x:f>SUM('117_价格概率传导'!$C$16:$C$20)</x:f>
        <x:v>0.9700000000000001</x:v>
      </x:c>
      <x:c r="L150" s="648" t="n">
        <x:f>SUM('117_价格概率传导'!$C$16:$C$21)</x:f>
        <x:v>1</x:v>
      </x:c>
      <x:c r="M150" s="648" t="n">
        <x:f>MAX(0,MIN(H150,L150)-MAX(G150,K150))</x:f>
        <x:v>0</x:v>
      </x:c>
      <x:c r="N150" s="648" t="n">
        <x:f>B150*D150*M150</x:f>
        <x:v>0</x:v>
      </x:c>
      <x:c r="O150" s="647" t="n">
        <x:f>MIN(299900,I150+20000)</x:f>
        <x:v>279900</x:v>
      </x:c>
      <x:c r="P150" s="647" t="str">
        <x:f>""</x:f>
      </x:c>
      <x:c r="Q150" s="647" t="n">
        <x:f>O150-20000</x:f>
        <x:v>259900</x:v>
      </x:c>
      <x:c r="R150" s="647" t="n">
        <x:f>O150-E150</x:f>
        <x:v>26000</x:v>
      </x:c>
      <x:c r="S150" s="647" t="str">
        <x:f>IF(P150&gt;0,P150-E150,"")</x:f>
      </x:c>
      <x:c r="T150" s="647" t="n">
        <x:f>IF(Q150&gt;0,Q150-E150,"")</x:f>
        <x:v>6000</x:v>
      </x:c>
      <x:c r="U150" s="648" t="n">
        <x:f>IF(R150&lt;30000,N150,0)</x:f>
        <x:v>0</x:v>
      </x:c>
      <x:c r="V150" s="648" t="n">
        <x:f>IF(P150&gt;0,N150,0)</x:f>
        <x:v>0</x:v>
      </x:c>
      <x:c r="W150" s="648" t="n">
        <x:f>IF(AND(P150&gt;0,S150&lt;0),N150,0)</x:f>
        <x:v>0</x:v>
      </x:c>
      <x:c r="X150" s="648" t="n">
        <x:f>IF(AND(P150&gt;0,S150=0),N150,0)</x:f>
        <x:v>0</x:v>
      </x:c>
      <x:c r="Y150" s="648" t="n">
        <x:f>IF(Q150&gt;0,N150,0)</x:f>
        <x:v>0</x:v>
      </x:c>
      <x:c r="Z150" s="647" t="n">
        <x:f>IF(P150&gt;0,N150*S150,0)</x:f>
        <x:v>0</x:v>
      </x:c>
      <x:c r="AA150" s="647" t="n">
        <x:f>IF(Q150&gt;0,N150*T150,0)</x:f>
        <x:v>0</x:v>
      </x:c>
      <x:c r="AB150" s="647" t="n">
        <x:f>N150*R150</x:f>
        <x:v>0</x:v>
      </x:c>
      <x:c r="AC150" s="647" t="n">
        <x:f>IF(N150&gt;0,R150,999999)</x:f>
        <x:v>999999</x:v>
      </x:c>
      <x:c r="AD150" s="647" t="n">
        <x:f>IF(AND(N150&gt;0,P150&gt;0),S150,999999)</x:f>
        <x:v>999999</x:v>
      </x:c>
      <x:c r="AE150" s="647" t="n">
        <x:f>IF(AND(N150&gt;0,Q150&gt;0),T150,999999)</x:f>
        <x:v>999999</x:v>
      </x:c>
      <x:c r="AF150" s="648" t="n">
        <x:f>B150*D150*F150*J150</x:f>
        <x:v>0.00003675</x:v>
      </x:c>
      <x:c r="AG150" s="648" t="n">
        <x:f>IF(P150&gt;0,AF150,0)</x:f>
        <x:v>0</x:v>
      </x:c>
      <x:c r="AH150" s="648" t="n">
        <x:f>IF(AND(P150&gt;0,S150&lt;0),AF150,0)</x:f>
        <x:v>0</x:v>
      </x:c>
      <x:c r="AI150" s="648" t="n">
        <x:f>IF(AND(P150&gt;0,S150=0),AF150,0)</x:f>
        <x:v>0</x:v>
      </x:c>
      <x:c r="AJ150" s="648" t="n">
        <x:f>IF(R150&lt;30000,AF150,0)</x:f>
        <x:v>0.00003675</x:v>
      </x:c>
      <x:c r="AK150" s="647" t="n">
        <x:f>IF(P150&gt;0,AF150*S150,0)</x:f>
        <x:v>0</x:v>
      </x:c>
    </x:row>
    <x:row r="151" ht="22" customHeight="1">
      <x:c r="A151" s="19" t="str">
        <x:v>保守</x:v>
      </x:c>
      <x:c r="B151" s="23" t="n">
        <x:f>'114_降本系数'!B26</x:f>
        <x:v>0.35</x:v>
      </x:c>
      <x:c r="C151" s="19" t="str">
        <x:v>L2</x:v>
      </x:c>
      <x:c r="D151" s="23" t="n">
        <x:f>'130_联合算法'!C19</x:f>
        <x:v>0.05</x:v>
      </x:c>
      <x:c r="E151" s="460" t="n">
        <x:f>'117_价格概率传导'!A8</x:f>
        <x:v>249900</x:v>
      </x:c>
      <x:c r="F151" s="23" t="n">
        <x:f>'117_价格概率传导'!C8</x:f>
        <x:v>0.54</x:v>
      </x:c>
      <x:c r="G151" s="23" t="n">
        <x:f>SUM('117_价格概率传导'!$C$6:$C$7)</x:f>
        <x:v>0.13</x:v>
      </x:c>
      <x:c r="H151" s="23" t="n">
        <x:f>SUM('117_价格概率传导'!$C$6:$C$8)</x:f>
        <x:v>0.67</x:v>
      </x:c>
      <x:c r="I151" s="460" t="n">
        <x:f>'117_价格概率传导'!A16</x:f>
        <x:v>299900</x:v>
      </x:c>
      <x:c r="J151" s="23" t="n">
        <x:f>'117_价格概率传导'!C16</x:f>
        <x:v>0.05</x:v>
      </x:c>
      <x:c r="K151" s="23" t="n">
        <x:f>0</x:f>
        <x:v>0</x:v>
      </x:c>
      <x:c r="L151" s="23" t="n">
        <x:f>SUM('117_价格概率传导'!$C$16:$C$16)</x:f>
        <x:v>0.05</x:v>
      </x:c>
      <x:c r="M151" s="23" t="n">
        <x:f>MAX(0,MIN(H151,L151)-MAX(G151,K151))</x:f>
        <x:v>0</x:v>
      </x:c>
      <x:c r="N151" s="23" t="n">
        <x:f>B151*D151*M151</x:f>
        <x:v>0</x:v>
      </x:c>
      <x:c r="O151" s="460" t="n">
        <x:f>MIN(299900,I151+20000)</x:f>
        <x:v>299900</x:v>
      </x:c>
      <x:c r="P151" s="460" t="str">
        <x:f>""</x:f>
      </x:c>
      <x:c r="Q151" s="460" t="n">
        <x:f>O151-20000</x:f>
        <x:v>279900</x:v>
      </x:c>
      <x:c r="R151" s="460" t="n">
        <x:f>O151-E151</x:f>
        <x:v>50000</x:v>
      </x:c>
      <x:c r="S151" s="460" t="str">
        <x:f>IF(P151&gt;0,P151-E151,"")</x:f>
      </x:c>
      <x:c r="T151" s="460" t="n">
        <x:f>IF(Q151&gt;0,Q151-E151,"")</x:f>
        <x:v>30000</x:v>
      </x:c>
      <x:c r="U151" s="23" t="n">
        <x:f>IF(R151&lt;30000,N151,0)</x:f>
        <x:v>0</x:v>
      </x:c>
      <x:c r="V151" s="23" t="n">
        <x:f>IF(P151&gt;0,N151,0)</x:f>
        <x:v>0</x:v>
      </x:c>
      <x:c r="W151" s="23" t="n">
        <x:f>IF(AND(P151&gt;0,S151&lt;0),N151,0)</x:f>
        <x:v>0</x:v>
      </x:c>
      <x:c r="X151" s="23" t="n">
        <x:f>IF(AND(P151&gt;0,S151=0),N151,0)</x:f>
        <x:v>0</x:v>
      </x:c>
      <x:c r="Y151" s="23" t="n">
        <x:f>IF(Q151&gt;0,N151,0)</x:f>
        <x:v>0</x:v>
      </x:c>
      <x:c r="Z151" s="460" t="n">
        <x:f>IF(P151&gt;0,N151*S151,0)</x:f>
        <x:v>0</x:v>
      </x:c>
      <x:c r="AA151" s="460" t="n">
        <x:f>IF(Q151&gt;0,N151*T151,0)</x:f>
        <x:v>0</x:v>
      </x:c>
      <x:c r="AB151" s="460" t="n">
        <x:f>N151*R151</x:f>
        <x:v>0</x:v>
      </x:c>
      <x:c r="AC151" s="460" t="n">
        <x:f>IF(N151&gt;0,R151,999999)</x:f>
        <x:v>999999</x:v>
      </x:c>
      <x:c r="AD151" s="460" t="n">
        <x:f>IF(AND(N151&gt;0,P151&gt;0),S151,999999)</x:f>
        <x:v>999999</x:v>
      </x:c>
      <x:c r="AE151" s="460" t="n">
        <x:f>IF(AND(N151&gt;0,Q151&gt;0),T151,999999)</x:f>
        <x:v>999999</x:v>
      </x:c>
      <x:c r="AF151" s="23" t="n">
        <x:f>B151*D151*F151*J151</x:f>
        <x:v>0.00047250000000000005</x:v>
      </x:c>
      <x:c r="AG151" s="23" t="n">
        <x:f>IF(P151&gt;0,AF151,0)</x:f>
        <x:v>0</x:v>
      </x:c>
      <x:c r="AH151" s="23" t="n">
        <x:f>IF(AND(P151&gt;0,S151&lt;0),AF151,0)</x:f>
        <x:v>0</x:v>
      </x:c>
      <x:c r="AI151" s="23" t="n">
        <x:f>IF(AND(P151&gt;0,S151=0),AF151,0)</x:f>
        <x:v>0</x:v>
      </x:c>
      <x:c r="AJ151" s="23" t="n">
        <x:f>IF(R151&lt;30000,AF151,0)</x:f>
        <x:v>0</x:v>
      </x:c>
      <x:c r="AK151" s="460" t="n">
        <x:f>IF(P151&gt;0,AF151*S151,0)</x:f>
        <x:v>0</x:v>
      </x:c>
    </x:row>
    <x:row r="152" ht="22" customHeight="1">
      <x:c r="A152" s="643" t="str">
        <x:v>保守</x:v>
      </x:c>
      <x:c r="B152" s="648" t="n">
        <x:f>'114_降本系数'!B26</x:f>
        <x:v>0.35</x:v>
      </x:c>
      <x:c r="C152" s="643" t="str">
        <x:v>L2</x:v>
      </x:c>
      <x:c r="D152" s="648" t="n">
        <x:f>'130_联合算法'!C19</x:f>
        <x:v>0.05</x:v>
      </x:c>
      <x:c r="E152" s="647" t="n">
        <x:f>'117_价格概率传导'!A8</x:f>
        <x:v>249900</x:v>
      </x:c>
      <x:c r="F152" s="648" t="n">
        <x:f>'117_价格概率传导'!C8</x:f>
        <x:v>0.54</x:v>
      </x:c>
      <x:c r="G152" s="648" t="n">
        <x:f>SUM('117_价格概率传导'!$C$6:$C$7)</x:f>
        <x:v>0.13</x:v>
      </x:c>
      <x:c r="H152" s="648" t="n">
        <x:f>SUM('117_价格概率传导'!$C$6:$C$8)</x:f>
        <x:v>0.67</x:v>
      </x:c>
      <x:c r="I152" s="647" t="n">
        <x:f>'117_价格概率传导'!A17</x:f>
        <x:v>293900</x:v>
      </x:c>
      <x:c r="J152" s="648" t="n">
        <x:f>'117_价格概率传导'!C17</x:f>
        <x:v>0.06</x:v>
      </x:c>
      <x:c r="K152" s="648" t="n">
        <x:f>SUM('117_价格概率传导'!$C$16:$C$16)</x:f>
        <x:v>0.05</x:v>
      </x:c>
      <x:c r="L152" s="648" t="n">
        <x:f>SUM('117_价格概率传导'!$C$16:$C$17)</x:f>
        <x:v>0.11</x:v>
      </x:c>
      <x:c r="M152" s="648" t="n">
        <x:f>MAX(0,MIN(H152,L152)-MAX(G152,K152))</x:f>
        <x:v>0</x:v>
      </x:c>
      <x:c r="N152" s="648" t="n">
        <x:f>B152*D152*M152</x:f>
        <x:v>0</x:v>
      </x:c>
      <x:c r="O152" s="647" t="n">
        <x:f>MIN(299900,I152+20000)</x:f>
        <x:v>299900</x:v>
      </x:c>
      <x:c r="P152" s="647" t="str">
        <x:f>""</x:f>
      </x:c>
      <x:c r="Q152" s="647" t="n">
        <x:f>O152-20000</x:f>
        <x:v>279900</x:v>
      </x:c>
      <x:c r="R152" s="647" t="n">
        <x:f>O152-E152</x:f>
        <x:v>50000</x:v>
      </x:c>
      <x:c r="S152" s="647" t="str">
        <x:f>IF(P152&gt;0,P152-E152,"")</x:f>
      </x:c>
      <x:c r="T152" s="647" t="n">
        <x:f>IF(Q152&gt;0,Q152-E152,"")</x:f>
        <x:v>30000</x:v>
      </x:c>
      <x:c r="U152" s="648" t="n">
        <x:f>IF(R152&lt;30000,N152,0)</x:f>
        <x:v>0</x:v>
      </x:c>
      <x:c r="V152" s="648" t="n">
        <x:f>IF(P152&gt;0,N152,0)</x:f>
        <x:v>0</x:v>
      </x:c>
      <x:c r="W152" s="648" t="n">
        <x:f>IF(AND(P152&gt;0,S152&lt;0),N152,0)</x:f>
        <x:v>0</x:v>
      </x:c>
      <x:c r="X152" s="648" t="n">
        <x:f>IF(AND(P152&gt;0,S152=0),N152,0)</x:f>
        <x:v>0</x:v>
      </x:c>
      <x:c r="Y152" s="648" t="n">
        <x:f>IF(Q152&gt;0,N152,0)</x:f>
        <x:v>0</x:v>
      </x:c>
      <x:c r="Z152" s="647" t="n">
        <x:f>IF(P152&gt;0,N152*S152,0)</x:f>
        <x:v>0</x:v>
      </x:c>
      <x:c r="AA152" s="647" t="n">
        <x:f>IF(Q152&gt;0,N152*T152,0)</x:f>
        <x:v>0</x:v>
      </x:c>
      <x:c r="AB152" s="647" t="n">
        <x:f>N152*R152</x:f>
        <x:v>0</x:v>
      </x:c>
      <x:c r="AC152" s="647" t="n">
        <x:f>IF(N152&gt;0,R152,999999)</x:f>
        <x:v>999999</x:v>
      </x:c>
      <x:c r="AD152" s="647" t="n">
        <x:f>IF(AND(N152&gt;0,P152&gt;0),S152,999999)</x:f>
        <x:v>999999</x:v>
      </x:c>
      <x:c r="AE152" s="647" t="n">
        <x:f>IF(AND(N152&gt;0,Q152&gt;0),T152,999999)</x:f>
        <x:v>999999</x:v>
      </x:c>
      <x:c r="AF152" s="648" t="n">
        <x:f>B152*D152*F152*J152</x:f>
        <x:v>0.000567</x:v>
      </x:c>
      <x:c r="AG152" s="648" t="n">
        <x:f>IF(P152&gt;0,AF152,0)</x:f>
        <x:v>0</x:v>
      </x:c>
      <x:c r="AH152" s="648" t="n">
        <x:f>IF(AND(P152&gt;0,S152&lt;0),AF152,0)</x:f>
        <x:v>0</x:v>
      </x:c>
      <x:c r="AI152" s="648" t="n">
        <x:f>IF(AND(P152&gt;0,S152=0),AF152,0)</x:f>
        <x:v>0</x:v>
      </x:c>
      <x:c r="AJ152" s="648" t="n">
        <x:f>IF(R152&lt;30000,AF152,0)</x:f>
        <x:v>0</x:v>
      </x:c>
      <x:c r="AK152" s="647" t="n">
        <x:f>IF(P152&gt;0,AF152*S152,0)</x:f>
        <x:v>0</x:v>
      </x:c>
    </x:row>
    <x:row r="153" ht="22" customHeight="1">
      <x:c r="A153" s="19" t="str">
        <x:v>保守</x:v>
      </x:c>
      <x:c r="B153" s="23" t="n">
        <x:f>'114_降本系数'!B26</x:f>
        <x:v>0.35</x:v>
      </x:c>
      <x:c r="C153" s="19" t="str">
        <x:v>L2</x:v>
      </x:c>
      <x:c r="D153" s="23" t="n">
        <x:f>'130_联合算法'!C19</x:f>
        <x:v>0.05</x:v>
      </x:c>
      <x:c r="E153" s="460" t="n">
        <x:f>'117_价格概率传导'!A8</x:f>
        <x:v>249900</x:v>
      </x:c>
      <x:c r="F153" s="23" t="n">
        <x:f>'117_价格概率传导'!C8</x:f>
        <x:v>0.54</x:v>
      </x:c>
      <x:c r="G153" s="23" t="n">
        <x:f>SUM('117_价格概率传导'!$C$6:$C$7)</x:f>
        <x:v>0.13</x:v>
      </x:c>
      <x:c r="H153" s="23" t="n">
        <x:f>SUM('117_价格概率传导'!$C$6:$C$8)</x:f>
        <x:v>0.67</x:v>
      </x:c>
      <x:c r="I153" s="460" t="n">
        <x:f>'117_价格概率传导'!A18</x:f>
        <x:v>289900</x:v>
      </x:c>
      <x:c r="J153" s="23" t="n">
        <x:f>'117_价格概率传导'!C18</x:f>
        <x:v>0.34</x:v>
      </x:c>
      <x:c r="K153" s="23" t="n">
        <x:f>SUM('117_价格概率传导'!$C$16:$C$17)</x:f>
        <x:v>0.11</x:v>
      </x:c>
      <x:c r="L153" s="23" t="n">
        <x:f>SUM('117_价格概率传导'!$C$16:$C$18)</x:f>
        <x:v>0.45</x:v>
      </x:c>
      <x:c r="M153" s="23" t="n">
        <x:f>MAX(0,MIN(H153,L153)-MAX(G153,K153))</x:f>
        <x:v>0.32</x:v>
      </x:c>
      <x:c r="N153" s="23" t="n">
        <x:f>B153*D153*M153</x:f>
        <x:v>0.0056</x:v>
      </x:c>
      <x:c r="O153" s="460" t="n">
        <x:f>MIN(299900,I153+20000)</x:f>
        <x:v>299900</x:v>
      </x:c>
      <x:c r="P153" s="460" t="str">
        <x:f>""</x:f>
      </x:c>
      <x:c r="Q153" s="460" t="n">
        <x:f>O153-20000</x:f>
        <x:v>279900</x:v>
      </x:c>
      <x:c r="R153" s="460" t="n">
        <x:f>O153-E153</x:f>
        <x:v>50000</x:v>
      </x:c>
      <x:c r="S153" s="460" t="str">
        <x:f>IF(P153&gt;0,P153-E153,"")</x:f>
      </x:c>
      <x:c r="T153" s="460" t="n">
        <x:f>IF(Q153&gt;0,Q153-E153,"")</x:f>
        <x:v>30000</x:v>
      </x:c>
      <x:c r="U153" s="23" t="n">
        <x:f>IF(R153&lt;30000,N153,0)</x:f>
        <x:v>0</x:v>
      </x:c>
      <x:c r="V153" s="23" t="n">
        <x:f>IF(P153&gt;0,N153,0)</x:f>
        <x:v>0</x:v>
      </x:c>
      <x:c r="W153" s="23" t="n">
        <x:f>IF(AND(P153&gt;0,S153&lt;0),N153,0)</x:f>
        <x:v>0</x:v>
      </x:c>
      <x:c r="X153" s="23" t="n">
        <x:f>IF(AND(P153&gt;0,S153=0),N153,0)</x:f>
        <x:v>0</x:v>
      </x:c>
      <x:c r="Y153" s="23" t="n">
        <x:f>IF(Q153&gt;0,N153,0)</x:f>
        <x:v>0.0056</x:v>
      </x:c>
      <x:c r="Z153" s="460" t="n">
        <x:f>IF(P153&gt;0,N153*S153,0)</x:f>
        <x:v>0</x:v>
      </x:c>
      <x:c r="AA153" s="460" t="n">
        <x:f>IF(Q153&gt;0,N153*T153,0)</x:f>
        <x:v>168</x:v>
      </x:c>
      <x:c r="AB153" s="460" t="n">
        <x:f>N153*R153</x:f>
        <x:v>280</x:v>
      </x:c>
      <x:c r="AC153" s="460" t="n">
        <x:f>IF(N153&gt;0,R153,999999)</x:f>
        <x:v>50000</x:v>
      </x:c>
      <x:c r="AD153" s="460" t="n">
        <x:f>IF(AND(N153&gt;0,P153&gt;0),S153,999999)</x:f>
        <x:v>999999</x:v>
      </x:c>
      <x:c r="AE153" s="460" t="n">
        <x:f>IF(AND(N153&gt;0,Q153&gt;0),T153,999999)</x:f>
        <x:v>30000</x:v>
      </x:c>
      <x:c r="AF153" s="23" t="n">
        <x:f>B153*D153*F153*J153</x:f>
        <x:v>0.003213</x:v>
      </x:c>
      <x:c r="AG153" s="23" t="n">
        <x:f>IF(P153&gt;0,AF153,0)</x:f>
        <x:v>0</x:v>
      </x:c>
      <x:c r="AH153" s="23" t="n">
        <x:f>IF(AND(P153&gt;0,S153&lt;0),AF153,0)</x:f>
        <x:v>0</x:v>
      </x:c>
      <x:c r="AI153" s="23" t="n">
        <x:f>IF(AND(P153&gt;0,S153=0),AF153,0)</x:f>
        <x:v>0</x:v>
      </x:c>
      <x:c r="AJ153" s="23" t="n">
        <x:f>IF(R153&lt;30000,AF153,0)</x:f>
        <x:v>0</x:v>
      </x:c>
      <x:c r="AK153" s="460" t="n">
        <x:f>IF(P153&gt;0,AF153*S153,0)</x:f>
        <x:v>0</x:v>
      </x:c>
    </x:row>
    <x:row r="154" ht="22" customHeight="1">
      <x:c r="A154" s="643" t="str">
        <x:v>保守</x:v>
      </x:c>
      <x:c r="B154" s="648" t="n">
        <x:f>'114_降本系数'!B26</x:f>
        <x:v>0.35</x:v>
      </x:c>
      <x:c r="C154" s="643" t="str">
        <x:v>L2</x:v>
      </x:c>
      <x:c r="D154" s="648" t="n">
        <x:f>'130_联合算法'!C19</x:f>
        <x:v>0.05</x:v>
      </x:c>
      <x:c r="E154" s="647" t="n">
        <x:f>'117_价格概率传导'!A8</x:f>
        <x:v>249900</x:v>
      </x:c>
      <x:c r="F154" s="648" t="n">
        <x:f>'117_价格概率传导'!C8</x:f>
        <x:v>0.54</x:v>
      </x:c>
      <x:c r="G154" s="648" t="n">
        <x:f>SUM('117_价格概率传导'!$C$6:$C$7)</x:f>
        <x:v>0.13</x:v>
      </x:c>
      <x:c r="H154" s="648" t="n">
        <x:f>SUM('117_价格概率传导'!$C$6:$C$8)</x:f>
        <x:v>0.67</x:v>
      </x:c>
      <x:c r="I154" s="647" t="n">
        <x:f>'117_价格概率传导'!A19</x:f>
        <x:v>279900</x:v>
      </x:c>
      <x:c r="J154" s="648" t="n">
        <x:f>'117_价格概率传导'!C19</x:f>
        <x:v>0.39</x:v>
      </x:c>
      <x:c r="K154" s="648" t="n">
        <x:f>SUM('117_价格概率传导'!$C$16:$C$18)</x:f>
        <x:v>0.45</x:v>
      </x:c>
      <x:c r="L154" s="648" t="n">
        <x:f>SUM('117_价格概率传导'!$C$16:$C$19)</x:f>
        <x:v>0.8400000000000001</x:v>
      </x:c>
      <x:c r="M154" s="648" t="n">
        <x:f>MAX(0,MIN(H154,L154)-MAX(G154,K154))</x:f>
        <x:v>0.22000000000000003</x:v>
      </x:c>
      <x:c r="N154" s="648" t="n">
        <x:f>B154*D154*M154</x:f>
        <x:v>0.00385</x:v>
      </x:c>
      <x:c r="O154" s="647" t="n">
        <x:f>MIN(299900,I154+20000)</x:f>
        <x:v>299900</x:v>
      </x:c>
      <x:c r="P154" s="647" t="str">
        <x:f>""</x:f>
      </x:c>
      <x:c r="Q154" s="647" t="n">
        <x:f>O154-20000</x:f>
        <x:v>279900</x:v>
      </x:c>
      <x:c r="R154" s="647" t="n">
        <x:f>O154-E154</x:f>
        <x:v>50000</x:v>
      </x:c>
      <x:c r="S154" s="647" t="str">
        <x:f>IF(P154&gt;0,P154-E154,"")</x:f>
      </x:c>
      <x:c r="T154" s="647" t="n">
        <x:f>IF(Q154&gt;0,Q154-E154,"")</x:f>
        <x:v>30000</x:v>
      </x:c>
      <x:c r="U154" s="648" t="n">
        <x:f>IF(R154&lt;30000,N154,0)</x:f>
        <x:v>0</x:v>
      </x:c>
      <x:c r="V154" s="648" t="n">
        <x:f>IF(P154&gt;0,N154,0)</x:f>
        <x:v>0</x:v>
      </x:c>
      <x:c r="W154" s="648" t="n">
        <x:f>IF(AND(P154&gt;0,S154&lt;0),N154,0)</x:f>
        <x:v>0</x:v>
      </x:c>
      <x:c r="X154" s="648" t="n">
        <x:f>IF(AND(P154&gt;0,S154=0),N154,0)</x:f>
        <x:v>0</x:v>
      </x:c>
      <x:c r="Y154" s="648" t="n">
        <x:f>IF(Q154&gt;0,N154,0)</x:f>
        <x:v>0.00385</x:v>
      </x:c>
      <x:c r="Z154" s="647" t="n">
        <x:f>IF(P154&gt;0,N154*S154,0)</x:f>
        <x:v>0</x:v>
      </x:c>
      <x:c r="AA154" s="647" t="n">
        <x:f>IF(Q154&gt;0,N154*T154,0)</x:f>
        <x:v>115.5</x:v>
      </x:c>
      <x:c r="AB154" s="647" t="n">
        <x:f>N154*R154</x:f>
        <x:v>192.5</x:v>
      </x:c>
      <x:c r="AC154" s="647" t="n">
        <x:f>IF(N154&gt;0,R154,999999)</x:f>
        <x:v>50000</x:v>
      </x:c>
      <x:c r="AD154" s="647" t="n">
        <x:f>IF(AND(N154&gt;0,P154&gt;0),S154,999999)</x:f>
        <x:v>999999</x:v>
      </x:c>
      <x:c r="AE154" s="647" t="n">
        <x:f>IF(AND(N154&gt;0,Q154&gt;0),T154,999999)</x:f>
        <x:v>30000</x:v>
      </x:c>
      <x:c r="AF154" s="648" t="n">
        <x:f>B154*D154*F154*J154</x:f>
        <x:v>0.0036855</x:v>
      </x:c>
      <x:c r="AG154" s="648" t="n">
        <x:f>IF(P154&gt;0,AF154,0)</x:f>
        <x:v>0</x:v>
      </x:c>
      <x:c r="AH154" s="648" t="n">
        <x:f>IF(AND(P154&gt;0,S154&lt;0),AF154,0)</x:f>
        <x:v>0</x:v>
      </x:c>
      <x:c r="AI154" s="648" t="n">
        <x:f>IF(AND(P154&gt;0,S154=0),AF154,0)</x:f>
        <x:v>0</x:v>
      </x:c>
      <x:c r="AJ154" s="648" t="n">
        <x:f>IF(R154&lt;30000,AF154,0)</x:f>
        <x:v>0</x:v>
      </x:c>
      <x:c r="AK154" s="647" t="n">
        <x:f>IF(P154&gt;0,AF154*S154,0)</x:f>
        <x:v>0</x:v>
      </x:c>
    </x:row>
    <x:row r="155" ht="22" customHeight="1">
      <x:c r="A155" s="19" t="str">
        <x:v>保守</x:v>
      </x:c>
      <x:c r="B155" s="23" t="n">
        <x:f>'114_降本系数'!B26</x:f>
        <x:v>0.35</x:v>
      </x:c>
      <x:c r="C155" s="19" t="str">
        <x:v>L2</x:v>
      </x:c>
      <x:c r="D155" s="23" t="n">
        <x:f>'130_联合算法'!C19</x:f>
        <x:v>0.05</x:v>
      </x:c>
      <x:c r="E155" s="460" t="n">
        <x:f>'117_价格概率传导'!A8</x:f>
        <x:v>249900</x:v>
      </x:c>
      <x:c r="F155" s="23" t="n">
        <x:f>'117_价格概率传导'!C8</x:f>
        <x:v>0.54</x:v>
      </x:c>
      <x:c r="G155" s="23" t="n">
        <x:f>SUM('117_价格概率传导'!$C$6:$C$7)</x:f>
        <x:v>0.13</x:v>
      </x:c>
      <x:c r="H155" s="23" t="n">
        <x:f>SUM('117_价格概率传导'!$C$6:$C$8)</x:f>
        <x:v>0.67</x:v>
      </x:c>
      <x:c r="I155" s="460" t="n">
        <x:f>'117_价格概率传导'!A20</x:f>
        <x:v>269900</x:v>
      </x:c>
      <x:c r="J155" s="23" t="n">
        <x:f>'117_价格概率传导'!C20</x:f>
        <x:v>0.13</x:v>
      </x:c>
      <x:c r="K155" s="23" t="n">
        <x:f>SUM('117_价格概率传导'!$C$16:$C$19)</x:f>
        <x:v>0.8400000000000001</x:v>
      </x:c>
      <x:c r="L155" s="23" t="n">
        <x:f>SUM('117_价格概率传导'!$C$16:$C$20)</x:f>
        <x:v>0.9700000000000001</x:v>
      </x:c>
      <x:c r="M155" s="23" t="n">
        <x:f>MAX(0,MIN(H155,L155)-MAX(G155,K155))</x:f>
        <x:v>0</x:v>
      </x:c>
      <x:c r="N155" s="23" t="n">
        <x:f>B155*D155*M155</x:f>
        <x:v>0</x:v>
      </x:c>
      <x:c r="O155" s="460" t="n">
        <x:f>MIN(299900,I155+20000)</x:f>
        <x:v>289900</x:v>
      </x:c>
      <x:c r="P155" s="460" t="str">
        <x:f>""</x:f>
      </x:c>
      <x:c r="Q155" s="460" t="n">
        <x:f>O155-20000</x:f>
        <x:v>269900</x:v>
      </x:c>
      <x:c r="R155" s="460" t="n">
        <x:f>O155-E155</x:f>
        <x:v>40000</x:v>
      </x:c>
      <x:c r="S155" s="460" t="str">
        <x:f>IF(P155&gt;0,P155-E155,"")</x:f>
      </x:c>
      <x:c r="T155" s="460" t="n">
        <x:f>IF(Q155&gt;0,Q155-E155,"")</x:f>
        <x:v>20000</x:v>
      </x:c>
      <x:c r="U155" s="23" t="n">
        <x:f>IF(R155&lt;30000,N155,0)</x:f>
        <x:v>0</x:v>
      </x:c>
      <x:c r="V155" s="23" t="n">
        <x:f>IF(P155&gt;0,N155,0)</x:f>
        <x:v>0</x:v>
      </x:c>
      <x:c r="W155" s="23" t="n">
        <x:f>IF(AND(P155&gt;0,S155&lt;0),N155,0)</x:f>
        <x:v>0</x:v>
      </x:c>
      <x:c r="X155" s="23" t="n">
        <x:f>IF(AND(P155&gt;0,S155=0),N155,0)</x:f>
        <x:v>0</x:v>
      </x:c>
      <x:c r="Y155" s="23" t="n">
        <x:f>IF(Q155&gt;0,N155,0)</x:f>
        <x:v>0</x:v>
      </x:c>
      <x:c r="Z155" s="460" t="n">
        <x:f>IF(P155&gt;0,N155*S155,0)</x:f>
        <x:v>0</x:v>
      </x:c>
      <x:c r="AA155" s="460" t="n">
        <x:f>IF(Q155&gt;0,N155*T155,0)</x:f>
        <x:v>0</x:v>
      </x:c>
      <x:c r="AB155" s="460" t="n">
        <x:f>N155*R155</x:f>
        <x:v>0</x:v>
      </x:c>
      <x:c r="AC155" s="460" t="n">
        <x:f>IF(N155&gt;0,R155,999999)</x:f>
        <x:v>999999</x:v>
      </x:c>
      <x:c r="AD155" s="460" t="n">
        <x:f>IF(AND(N155&gt;0,P155&gt;0),S155,999999)</x:f>
        <x:v>999999</x:v>
      </x:c>
      <x:c r="AE155" s="460" t="n">
        <x:f>IF(AND(N155&gt;0,Q155&gt;0),T155,999999)</x:f>
        <x:v>999999</x:v>
      </x:c>
      <x:c r="AF155" s="23" t="n">
        <x:f>B155*D155*F155*J155</x:f>
        <x:v>0.0012285</x:v>
      </x:c>
      <x:c r="AG155" s="23" t="n">
        <x:f>IF(P155&gt;0,AF155,0)</x:f>
        <x:v>0</x:v>
      </x:c>
      <x:c r="AH155" s="23" t="n">
        <x:f>IF(AND(P155&gt;0,S155&lt;0),AF155,0)</x:f>
        <x:v>0</x:v>
      </x:c>
      <x:c r="AI155" s="23" t="n">
        <x:f>IF(AND(P155&gt;0,S155=0),AF155,0)</x:f>
        <x:v>0</x:v>
      </x:c>
      <x:c r="AJ155" s="23" t="n">
        <x:f>IF(R155&lt;30000,AF155,0)</x:f>
        <x:v>0</x:v>
      </x:c>
      <x:c r="AK155" s="460" t="n">
        <x:f>IF(P155&gt;0,AF155*S155,0)</x:f>
        <x:v>0</x:v>
      </x:c>
    </x:row>
    <x:row r="156" ht="22" customHeight="1">
      <x:c r="A156" s="643" t="str">
        <x:v>保守</x:v>
      </x:c>
      <x:c r="B156" s="648" t="n">
        <x:f>'114_降本系数'!B26</x:f>
        <x:v>0.35</x:v>
      </x:c>
      <x:c r="C156" s="643" t="str">
        <x:v>L2</x:v>
      </x:c>
      <x:c r="D156" s="648" t="n">
        <x:f>'130_联合算法'!C19</x:f>
        <x:v>0.05</x:v>
      </x:c>
      <x:c r="E156" s="647" t="n">
        <x:f>'117_价格概率传导'!A8</x:f>
        <x:v>249900</x:v>
      </x:c>
      <x:c r="F156" s="648" t="n">
        <x:f>'117_价格概率传导'!C8</x:f>
        <x:v>0.54</x:v>
      </x:c>
      <x:c r="G156" s="648" t="n">
        <x:f>SUM('117_价格概率传导'!$C$6:$C$7)</x:f>
        <x:v>0.13</x:v>
      </x:c>
      <x:c r="H156" s="648" t="n">
        <x:f>SUM('117_价格概率传导'!$C$6:$C$8)</x:f>
        <x:v>0.67</x:v>
      </x:c>
      <x:c r="I156" s="647" t="n">
        <x:f>'117_价格概率传导'!A21</x:f>
        <x:v>259900</x:v>
      </x:c>
      <x:c r="J156" s="648" t="n">
        <x:f>'117_价格概率传导'!C21</x:f>
        <x:v>0.03</x:v>
      </x:c>
      <x:c r="K156" s="648" t="n">
        <x:f>SUM('117_价格概率传导'!$C$16:$C$20)</x:f>
        <x:v>0.9700000000000001</x:v>
      </x:c>
      <x:c r="L156" s="648" t="n">
        <x:f>SUM('117_价格概率传导'!$C$16:$C$21)</x:f>
        <x:v>1</x:v>
      </x:c>
      <x:c r="M156" s="648" t="n">
        <x:f>MAX(0,MIN(H156,L156)-MAX(G156,K156))</x:f>
        <x:v>0</x:v>
      </x:c>
      <x:c r="N156" s="648" t="n">
        <x:f>B156*D156*M156</x:f>
        <x:v>0</x:v>
      </x:c>
      <x:c r="O156" s="647" t="n">
        <x:f>MIN(299900,I156+20000)</x:f>
        <x:v>279900</x:v>
      </x:c>
      <x:c r="P156" s="647" t="str">
        <x:f>""</x:f>
      </x:c>
      <x:c r="Q156" s="647" t="n">
        <x:f>O156-20000</x:f>
        <x:v>259900</x:v>
      </x:c>
      <x:c r="R156" s="647" t="n">
        <x:f>O156-E156</x:f>
        <x:v>30000</x:v>
      </x:c>
      <x:c r="S156" s="647" t="str">
        <x:f>IF(P156&gt;0,P156-E156,"")</x:f>
      </x:c>
      <x:c r="T156" s="647" t="n">
        <x:f>IF(Q156&gt;0,Q156-E156,"")</x:f>
        <x:v>10000</x:v>
      </x:c>
      <x:c r="U156" s="648" t="n">
        <x:f>IF(R156&lt;30000,N156,0)</x:f>
        <x:v>0</x:v>
      </x:c>
      <x:c r="V156" s="648" t="n">
        <x:f>IF(P156&gt;0,N156,0)</x:f>
        <x:v>0</x:v>
      </x:c>
      <x:c r="W156" s="648" t="n">
        <x:f>IF(AND(P156&gt;0,S156&lt;0),N156,0)</x:f>
        <x:v>0</x:v>
      </x:c>
      <x:c r="X156" s="648" t="n">
        <x:f>IF(AND(P156&gt;0,S156=0),N156,0)</x:f>
        <x:v>0</x:v>
      </x:c>
      <x:c r="Y156" s="648" t="n">
        <x:f>IF(Q156&gt;0,N156,0)</x:f>
        <x:v>0</x:v>
      </x:c>
      <x:c r="Z156" s="647" t="n">
        <x:f>IF(P156&gt;0,N156*S156,0)</x:f>
        <x:v>0</x:v>
      </x:c>
      <x:c r="AA156" s="647" t="n">
        <x:f>IF(Q156&gt;0,N156*T156,0)</x:f>
        <x:v>0</x:v>
      </x:c>
      <x:c r="AB156" s="647" t="n">
        <x:f>N156*R156</x:f>
        <x:v>0</x:v>
      </x:c>
      <x:c r="AC156" s="647" t="n">
        <x:f>IF(N156&gt;0,R156,999999)</x:f>
        <x:v>999999</x:v>
      </x:c>
      <x:c r="AD156" s="647" t="n">
        <x:f>IF(AND(N156&gt;0,P156&gt;0),S156,999999)</x:f>
        <x:v>999999</x:v>
      </x:c>
      <x:c r="AE156" s="647" t="n">
        <x:f>IF(AND(N156&gt;0,Q156&gt;0),T156,999999)</x:f>
        <x:v>999999</x:v>
      </x:c>
      <x:c r="AF156" s="648" t="n">
        <x:f>B156*D156*F156*J156</x:f>
        <x:v>0.0002835</x:v>
      </x:c>
      <x:c r="AG156" s="648" t="n">
        <x:f>IF(P156&gt;0,AF156,0)</x:f>
        <x:v>0</x:v>
      </x:c>
      <x:c r="AH156" s="648" t="n">
        <x:f>IF(AND(P156&gt;0,S156&lt;0),AF156,0)</x:f>
        <x:v>0</x:v>
      </x:c>
      <x:c r="AI156" s="648" t="n">
        <x:f>IF(AND(P156&gt;0,S156=0),AF156,0)</x:f>
        <x:v>0</x:v>
      </x:c>
      <x:c r="AJ156" s="648" t="n">
        <x:f>IF(R156&lt;30000,AF156,0)</x:f>
        <x:v>0</x:v>
      </x:c>
      <x:c r="AK156" s="647" t="n">
        <x:f>IF(P156&gt;0,AF156*S156,0)</x:f>
        <x:v>0</x:v>
      </x:c>
    </x:row>
    <x:row r="157" ht="22" customHeight="1">
      <x:c r="A157" s="19" t="str">
        <x:v>保守</x:v>
      </x:c>
      <x:c r="B157" s="23" t="n">
        <x:f>'114_降本系数'!B26</x:f>
        <x:v>0.35</x:v>
      </x:c>
      <x:c r="C157" s="19" t="str">
        <x:v>L2</x:v>
      </x:c>
      <x:c r="D157" s="23" t="n">
        <x:f>'130_联合算法'!C19</x:f>
        <x:v>0.05</x:v>
      </x:c>
      <x:c r="E157" s="460" t="n">
        <x:f>'117_价格概率传导'!A9</x:f>
        <x:v>239900</x:v>
      </x:c>
      <x:c r="F157" s="23" t="n">
        <x:f>'117_价格概率传导'!C9</x:f>
        <x:v>0.26</x:v>
      </x:c>
      <x:c r="G157" s="23" t="n">
        <x:f>SUM('117_价格概率传导'!$C$6:$C$8)</x:f>
        <x:v>0.67</x:v>
      </x:c>
      <x:c r="H157" s="23" t="n">
        <x:f>SUM('117_价格概率传导'!$C$6:$C$9)</x:f>
        <x:v>0.93</x:v>
      </x:c>
      <x:c r="I157" s="460" t="n">
        <x:f>'117_价格概率传导'!A16</x:f>
        <x:v>299900</x:v>
      </x:c>
      <x:c r="J157" s="23" t="n">
        <x:f>'117_价格概率传导'!C16</x:f>
        <x:v>0.05</x:v>
      </x:c>
      <x:c r="K157" s="23" t="n">
        <x:f>0</x:f>
        <x:v>0</x:v>
      </x:c>
      <x:c r="L157" s="23" t="n">
        <x:f>SUM('117_价格概率传导'!$C$16:$C$16)</x:f>
        <x:v>0.05</x:v>
      </x:c>
      <x:c r="M157" s="23" t="n">
        <x:f>MAX(0,MIN(H157,L157)-MAX(G157,K157))</x:f>
        <x:v>0</x:v>
      </x:c>
      <x:c r="N157" s="23" t="n">
        <x:f>B157*D157*M157</x:f>
        <x:v>0</x:v>
      </x:c>
      <x:c r="O157" s="460" t="n">
        <x:f>MIN(299900,I157+20000)</x:f>
        <x:v>299900</x:v>
      </x:c>
      <x:c r="P157" s="460" t="str">
        <x:f>""</x:f>
      </x:c>
      <x:c r="Q157" s="460" t="n">
        <x:f>O157-20000</x:f>
        <x:v>279900</x:v>
      </x:c>
      <x:c r="R157" s="460" t="n">
        <x:f>O157-E157</x:f>
        <x:v>60000</x:v>
      </x:c>
      <x:c r="S157" s="460" t="str">
        <x:f>IF(P157&gt;0,P157-E157,"")</x:f>
      </x:c>
      <x:c r="T157" s="460" t="n">
        <x:f>IF(Q157&gt;0,Q157-E157,"")</x:f>
        <x:v>40000</x:v>
      </x:c>
      <x:c r="U157" s="23" t="n">
        <x:f>IF(R157&lt;30000,N157,0)</x:f>
        <x:v>0</x:v>
      </x:c>
      <x:c r="V157" s="23" t="n">
        <x:f>IF(P157&gt;0,N157,0)</x:f>
        <x:v>0</x:v>
      </x:c>
      <x:c r="W157" s="23" t="n">
        <x:f>IF(AND(P157&gt;0,S157&lt;0),N157,0)</x:f>
        <x:v>0</x:v>
      </x:c>
      <x:c r="X157" s="23" t="n">
        <x:f>IF(AND(P157&gt;0,S157=0),N157,0)</x:f>
        <x:v>0</x:v>
      </x:c>
      <x:c r="Y157" s="23" t="n">
        <x:f>IF(Q157&gt;0,N157,0)</x:f>
        <x:v>0</x:v>
      </x:c>
      <x:c r="Z157" s="460" t="n">
        <x:f>IF(P157&gt;0,N157*S157,0)</x:f>
        <x:v>0</x:v>
      </x:c>
      <x:c r="AA157" s="460" t="n">
        <x:f>IF(Q157&gt;0,N157*T157,0)</x:f>
        <x:v>0</x:v>
      </x:c>
      <x:c r="AB157" s="460" t="n">
        <x:f>N157*R157</x:f>
        <x:v>0</x:v>
      </x:c>
      <x:c r="AC157" s="460" t="n">
        <x:f>IF(N157&gt;0,R157,999999)</x:f>
        <x:v>999999</x:v>
      </x:c>
      <x:c r="AD157" s="460" t="n">
        <x:f>IF(AND(N157&gt;0,P157&gt;0),S157,999999)</x:f>
        <x:v>999999</x:v>
      </x:c>
      <x:c r="AE157" s="460" t="n">
        <x:f>IF(AND(N157&gt;0,Q157&gt;0),T157,999999)</x:f>
        <x:v>999999</x:v>
      </x:c>
      <x:c r="AF157" s="23" t="n">
        <x:f>B157*D157*F157*J157</x:f>
        <x:v>0.00022749999999999997</x:v>
      </x:c>
      <x:c r="AG157" s="23" t="n">
        <x:f>IF(P157&gt;0,AF157,0)</x:f>
        <x:v>0</x:v>
      </x:c>
      <x:c r="AH157" s="23" t="n">
        <x:f>IF(AND(P157&gt;0,S157&lt;0),AF157,0)</x:f>
        <x:v>0</x:v>
      </x:c>
      <x:c r="AI157" s="23" t="n">
        <x:f>IF(AND(P157&gt;0,S157=0),AF157,0)</x:f>
        <x:v>0</x:v>
      </x:c>
      <x:c r="AJ157" s="23" t="n">
        <x:f>IF(R157&lt;30000,AF157,0)</x:f>
        <x:v>0</x:v>
      </x:c>
      <x:c r="AK157" s="460" t="n">
        <x:f>IF(P157&gt;0,AF157*S157,0)</x:f>
        <x:v>0</x:v>
      </x:c>
    </x:row>
    <x:row r="158" ht="22" customHeight="1">
      <x:c r="A158" s="643" t="str">
        <x:v>保守</x:v>
      </x:c>
      <x:c r="B158" s="648" t="n">
        <x:f>'114_降本系数'!B26</x:f>
        <x:v>0.35</x:v>
      </x:c>
      <x:c r="C158" s="643" t="str">
        <x:v>L2</x:v>
      </x:c>
      <x:c r="D158" s="648" t="n">
        <x:f>'130_联合算法'!C19</x:f>
        <x:v>0.05</x:v>
      </x:c>
      <x:c r="E158" s="647" t="n">
        <x:f>'117_价格概率传导'!A9</x:f>
        <x:v>239900</x:v>
      </x:c>
      <x:c r="F158" s="648" t="n">
        <x:f>'117_价格概率传导'!C9</x:f>
        <x:v>0.26</x:v>
      </x:c>
      <x:c r="G158" s="648" t="n">
        <x:f>SUM('117_价格概率传导'!$C$6:$C$8)</x:f>
        <x:v>0.67</x:v>
      </x:c>
      <x:c r="H158" s="648" t="n">
        <x:f>SUM('117_价格概率传导'!$C$6:$C$9)</x:f>
        <x:v>0.93</x:v>
      </x:c>
      <x:c r="I158" s="647" t="n">
        <x:f>'117_价格概率传导'!A17</x:f>
        <x:v>293900</x:v>
      </x:c>
      <x:c r="J158" s="648" t="n">
        <x:f>'117_价格概率传导'!C17</x:f>
        <x:v>0.06</x:v>
      </x:c>
      <x:c r="K158" s="648" t="n">
        <x:f>SUM('117_价格概率传导'!$C$16:$C$16)</x:f>
        <x:v>0.05</x:v>
      </x:c>
      <x:c r="L158" s="648" t="n">
        <x:f>SUM('117_价格概率传导'!$C$16:$C$17)</x:f>
        <x:v>0.11</x:v>
      </x:c>
      <x:c r="M158" s="648" t="n">
        <x:f>MAX(0,MIN(H158,L158)-MAX(G158,K158))</x:f>
        <x:v>0</x:v>
      </x:c>
      <x:c r="N158" s="648" t="n">
        <x:f>B158*D158*M158</x:f>
        <x:v>0</x:v>
      </x:c>
      <x:c r="O158" s="647" t="n">
        <x:f>MIN(299900,I158+20000)</x:f>
        <x:v>299900</x:v>
      </x:c>
      <x:c r="P158" s="647" t="str">
        <x:f>""</x:f>
      </x:c>
      <x:c r="Q158" s="647" t="n">
        <x:f>O158-20000</x:f>
        <x:v>279900</x:v>
      </x:c>
      <x:c r="R158" s="647" t="n">
        <x:f>O158-E158</x:f>
        <x:v>60000</x:v>
      </x:c>
      <x:c r="S158" s="647" t="str">
        <x:f>IF(P158&gt;0,P158-E158,"")</x:f>
      </x:c>
      <x:c r="T158" s="647" t="n">
        <x:f>IF(Q158&gt;0,Q158-E158,"")</x:f>
        <x:v>40000</x:v>
      </x:c>
      <x:c r="U158" s="648" t="n">
        <x:f>IF(R158&lt;30000,N158,0)</x:f>
        <x:v>0</x:v>
      </x:c>
      <x:c r="V158" s="648" t="n">
        <x:f>IF(P158&gt;0,N158,0)</x:f>
        <x:v>0</x:v>
      </x:c>
      <x:c r="W158" s="648" t="n">
        <x:f>IF(AND(P158&gt;0,S158&lt;0),N158,0)</x:f>
        <x:v>0</x:v>
      </x:c>
      <x:c r="X158" s="648" t="n">
        <x:f>IF(AND(P158&gt;0,S158=0),N158,0)</x:f>
        <x:v>0</x:v>
      </x:c>
      <x:c r="Y158" s="648" t="n">
        <x:f>IF(Q158&gt;0,N158,0)</x:f>
        <x:v>0</x:v>
      </x:c>
      <x:c r="Z158" s="647" t="n">
        <x:f>IF(P158&gt;0,N158*S158,0)</x:f>
        <x:v>0</x:v>
      </x:c>
      <x:c r="AA158" s="647" t="n">
        <x:f>IF(Q158&gt;0,N158*T158,0)</x:f>
        <x:v>0</x:v>
      </x:c>
      <x:c r="AB158" s="647" t="n">
        <x:f>N158*R158</x:f>
        <x:v>0</x:v>
      </x:c>
      <x:c r="AC158" s="647" t="n">
        <x:f>IF(N158&gt;0,R158,999999)</x:f>
        <x:v>999999</x:v>
      </x:c>
      <x:c r="AD158" s="647" t="n">
        <x:f>IF(AND(N158&gt;0,P158&gt;0),S158,999999)</x:f>
        <x:v>999999</x:v>
      </x:c>
      <x:c r="AE158" s="647" t="n">
        <x:f>IF(AND(N158&gt;0,Q158&gt;0),T158,999999)</x:f>
        <x:v>999999</x:v>
      </x:c>
      <x:c r="AF158" s="648" t="n">
        <x:f>B158*D158*F158*J158</x:f>
        <x:v>0.00027299999999999997</x:v>
      </x:c>
      <x:c r="AG158" s="648" t="n">
        <x:f>IF(P158&gt;0,AF158,0)</x:f>
        <x:v>0</x:v>
      </x:c>
      <x:c r="AH158" s="648" t="n">
        <x:f>IF(AND(P158&gt;0,S158&lt;0),AF158,0)</x:f>
        <x:v>0</x:v>
      </x:c>
      <x:c r="AI158" s="648" t="n">
        <x:f>IF(AND(P158&gt;0,S158=0),AF158,0)</x:f>
        <x:v>0</x:v>
      </x:c>
      <x:c r="AJ158" s="648" t="n">
        <x:f>IF(R158&lt;30000,AF158,0)</x:f>
        <x:v>0</x:v>
      </x:c>
      <x:c r="AK158" s="647" t="n">
        <x:f>IF(P158&gt;0,AF158*S158,0)</x:f>
        <x:v>0</x:v>
      </x:c>
    </x:row>
    <x:row r="159" ht="22" customHeight="1">
      <x:c r="A159" s="19" t="str">
        <x:v>保守</x:v>
      </x:c>
      <x:c r="B159" s="23" t="n">
        <x:f>'114_降本系数'!B26</x:f>
        <x:v>0.35</x:v>
      </x:c>
      <x:c r="C159" s="19" t="str">
        <x:v>L2</x:v>
      </x:c>
      <x:c r="D159" s="23" t="n">
        <x:f>'130_联合算法'!C19</x:f>
        <x:v>0.05</x:v>
      </x:c>
      <x:c r="E159" s="460" t="n">
        <x:f>'117_价格概率传导'!A9</x:f>
        <x:v>239900</x:v>
      </x:c>
      <x:c r="F159" s="23" t="n">
        <x:f>'117_价格概率传导'!C9</x:f>
        <x:v>0.26</x:v>
      </x:c>
      <x:c r="G159" s="23" t="n">
        <x:f>SUM('117_价格概率传导'!$C$6:$C$8)</x:f>
        <x:v>0.67</x:v>
      </x:c>
      <x:c r="H159" s="23" t="n">
        <x:f>SUM('117_价格概率传导'!$C$6:$C$9)</x:f>
        <x:v>0.93</x:v>
      </x:c>
      <x:c r="I159" s="460" t="n">
        <x:f>'117_价格概率传导'!A18</x:f>
        <x:v>289900</x:v>
      </x:c>
      <x:c r="J159" s="23" t="n">
        <x:f>'117_价格概率传导'!C18</x:f>
        <x:v>0.34</x:v>
      </x:c>
      <x:c r="K159" s="23" t="n">
        <x:f>SUM('117_价格概率传导'!$C$16:$C$17)</x:f>
        <x:v>0.11</x:v>
      </x:c>
      <x:c r="L159" s="23" t="n">
        <x:f>SUM('117_价格概率传导'!$C$16:$C$18)</x:f>
        <x:v>0.45</x:v>
      </x:c>
      <x:c r="M159" s="23" t="n">
        <x:f>MAX(0,MIN(H159,L159)-MAX(G159,K159))</x:f>
        <x:v>0</x:v>
      </x:c>
      <x:c r="N159" s="23" t="n">
        <x:f>B159*D159*M159</x:f>
        <x:v>0</x:v>
      </x:c>
      <x:c r="O159" s="460" t="n">
        <x:f>MIN(299900,I159+20000)</x:f>
        <x:v>299900</x:v>
      </x:c>
      <x:c r="P159" s="460" t="str">
        <x:f>""</x:f>
      </x:c>
      <x:c r="Q159" s="460" t="n">
        <x:f>O159-20000</x:f>
        <x:v>279900</x:v>
      </x:c>
      <x:c r="R159" s="460" t="n">
        <x:f>O159-E159</x:f>
        <x:v>60000</x:v>
      </x:c>
      <x:c r="S159" s="460" t="str">
        <x:f>IF(P159&gt;0,P159-E159,"")</x:f>
      </x:c>
      <x:c r="T159" s="460" t="n">
        <x:f>IF(Q159&gt;0,Q159-E159,"")</x:f>
        <x:v>40000</x:v>
      </x:c>
      <x:c r="U159" s="23" t="n">
        <x:f>IF(R159&lt;30000,N159,0)</x:f>
        <x:v>0</x:v>
      </x:c>
      <x:c r="V159" s="23" t="n">
        <x:f>IF(P159&gt;0,N159,0)</x:f>
        <x:v>0</x:v>
      </x:c>
      <x:c r="W159" s="23" t="n">
        <x:f>IF(AND(P159&gt;0,S159&lt;0),N159,0)</x:f>
        <x:v>0</x:v>
      </x:c>
      <x:c r="X159" s="23" t="n">
        <x:f>IF(AND(P159&gt;0,S159=0),N159,0)</x:f>
        <x:v>0</x:v>
      </x:c>
      <x:c r="Y159" s="23" t="n">
        <x:f>IF(Q159&gt;0,N159,0)</x:f>
        <x:v>0</x:v>
      </x:c>
      <x:c r="Z159" s="460" t="n">
        <x:f>IF(P159&gt;0,N159*S159,0)</x:f>
        <x:v>0</x:v>
      </x:c>
      <x:c r="AA159" s="460" t="n">
        <x:f>IF(Q159&gt;0,N159*T159,0)</x:f>
        <x:v>0</x:v>
      </x:c>
      <x:c r="AB159" s="460" t="n">
        <x:f>N159*R159</x:f>
        <x:v>0</x:v>
      </x:c>
      <x:c r="AC159" s="460" t="n">
        <x:f>IF(N159&gt;0,R159,999999)</x:f>
        <x:v>999999</x:v>
      </x:c>
      <x:c r="AD159" s="460" t="n">
        <x:f>IF(AND(N159&gt;0,P159&gt;0),S159,999999)</x:f>
        <x:v>999999</x:v>
      </x:c>
      <x:c r="AE159" s="460" t="n">
        <x:f>IF(AND(N159&gt;0,Q159&gt;0),T159,999999)</x:f>
        <x:v>999999</x:v>
      </x:c>
      <x:c r="AF159" s="23" t="n">
        <x:f>B159*D159*F159*J159</x:f>
        <x:v>0.001547</x:v>
      </x:c>
      <x:c r="AG159" s="23" t="n">
        <x:f>IF(P159&gt;0,AF159,0)</x:f>
        <x:v>0</x:v>
      </x:c>
      <x:c r="AH159" s="23" t="n">
        <x:f>IF(AND(P159&gt;0,S159&lt;0),AF159,0)</x:f>
        <x:v>0</x:v>
      </x:c>
      <x:c r="AI159" s="23" t="n">
        <x:f>IF(AND(P159&gt;0,S159=0),AF159,0)</x:f>
        <x:v>0</x:v>
      </x:c>
      <x:c r="AJ159" s="23" t="n">
        <x:f>IF(R159&lt;30000,AF159,0)</x:f>
        <x:v>0</x:v>
      </x:c>
      <x:c r="AK159" s="460" t="n">
        <x:f>IF(P159&gt;0,AF159*S159,0)</x:f>
        <x:v>0</x:v>
      </x:c>
    </x:row>
    <x:row r="160" ht="22" customHeight="1">
      <x:c r="A160" s="643" t="str">
        <x:v>保守</x:v>
      </x:c>
      <x:c r="B160" s="648" t="n">
        <x:f>'114_降本系数'!B26</x:f>
        <x:v>0.35</x:v>
      </x:c>
      <x:c r="C160" s="643" t="str">
        <x:v>L2</x:v>
      </x:c>
      <x:c r="D160" s="648" t="n">
        <x:f>'130_联合算法'!C19</x:f>
        <x:v>0.05</x:v>
      </x:c>
      <x:c r="E160" s="647" t="n">
        <x:f>'117_价格概率传导'!A9</x:f>
        <x:v>239900</x:v>
      </x:c>
      <x:c r="F160" s="648" t="n">
        <x:f>'117_价格概率传导'!C9</x:f>
        <x:v>0.26</x:v>
      </x:c>
      <x:c r="G160" s="648" t="n">
        <x:f>SUM('117_价格概率传导'!$C$6:$C$8)</x:f>
        <x:v>0.67</x:v>
      </x:c>
      <x:c r="H160" s="648" t="n">
        <x:f>SUM('117_价格概率传导'!$C$6:$C$9)</x:f>
        <x:v>0.93</x:v>
      </x:c>
      <x:c r="I160" s="647" t="n">
        <x:f>'117_价格概率传导'!A19</x:f>
        <x:v>279900</x:v>
      </x:c>
      <x:c r="J160" s="648" t="n">
        <x:f>'117_价格概率传导'!C19</x:f>
        <x:v>0.39</x:v>
      </x:c>
      <x:c r="K160" s="648" t="n">
        <x:f>SUM('117_价格概率传导'!$C$16:$C$18)</x:f>
        <x:v>0.45</x:v>
      </x:c>
      <x:c r="L160" s="648" t="n">
        <x:f>SUM('117_价格概率传导'!$C$16:$C$19)</x:f>
        <x:v>0.8400000000000001</x:v>
      </x:c>
      <x:c r="M160" s="648" t="n">
        <x:f>MAX(0,MIN(H160,L160)-MAX(G160,K160))</x:f>
        <x:v>0.17000000000000004</x:v>
      </x:c>
      <x:c r="N160" s="648" t="n">
        <x:f>B160*D160*M160</x:f>
        <x:v>0.002975</x:v>
      </x:c>
      <x:c r="O160" s="647" t="n">
        <x:f>MIN(299900,I160+20000)</x:f>
        <x:v>299900</x:v>
      </x:c>
      <x:c r="P160" s="647" t="str">
        <x:f>""</x:f>
      </x:c>
      <x:c r="Q160" s="647" t="n">
        <x:f>O160-20000</x:f>
        <x:v>279900</x:v>
      </x:c>
      <x:c r="R160" s="647" t="n">
        <x:f>O160-E160</x:f>
        <x:v>60000</x:v>
      </x:c>
      <x:c r="S160" s="647" t="str">
        <x:f>IF(P160&gt;0,P160-E160,"")</x:f>
      </x:c>
      <x:c r="T160" s="647" t="n">
        <x:f>IF(Q160&gt;0,Q160-E160,"")</x:f>
        <x:v>40000</x:v>
      </x:c>
      <x:c r="U160" s="648" t="n">
        <x:f>IF(R160&lt;30000,N160,0)</x:f>
        <x:v>0</x:v>
      </x:c>
      <x:c r="V160" s="648" t="n">
        <x:f>IF(P160&gt;0,N160,0)</x:f>
        <x:v>0</x:v>
      </x:c>
      <x:c r="W160" s="648" t="n">
        <x:f>IF(AND(P160&gt;0,S160&lt;0),N160,0)</x:f>
        <x:v>0</x:v>
      </x:c>
      <x:c r="X160" s="648" t="n">
        <x:f>IF(AND(P160&gt;0,S160=0),N160,0)</x:f>
        <x:v>0</x:v>
      </x:c>
      <x:c r="Y160" s="648" t="n">
        <x:f>IF(Q160&gt;0,N160,0)</x:f>
        <x:v>0.002975</x:v>
      </x:c>
      <x:c r="Z160" s="647" t="n">
        <x:f>IF(P160&gt;0,N160*S160,0)</x:f>
        <x:v>0</x:v>
      </x:c>
      <x:c r="AA160" s="647" t="n">
        <x:f>IF(Q160&gt;0,N160*T160,0)</x:f>
        <x:v>119.00000000000001</x:v>
      </x:c>
      <x:c r="AB160" s="647" t="n">
        <x:f>N160*R160</x:f>
        <x:v>178.5</x:v>
      </x:c>
      <x:c r="AC160" s="647" t="n">
        <x:f>IF(N160&gt;0,R160,999999)</x:f>
        <x:v>60000</x:v>
      </x:c>
      <x:c r="AD160" s="647" t="n">
        <x:f>IF(AND(N160&gt;0,P160&gt;0),S160,999999)</x:f>
        <x:v>999999</x:v>
      </x:c>
      <x:c r="AE160" s="647" t="n">
        <x:f>IF(AND(N160&gt;0,Q160&gt;0),T160,999999)</x:f>
        <x:v>40000</x:v>
      </x:c>
      <x:c r="AF160" s="648" t="n">
        <x:f>B160*D160*F160*J160</x:f>
        <x:v>0.0017744999999999998</x:v>
      </x:c>
      <x:c r="AG160" s="648" t="n">
        <x:f>IF(P160&gt;0,AF160,0)</x:f>
        <x:v>0</x:v>
      </x:c>
      <x:c r="AH160" s="648" t="n">
        <x:f>IF(AND(P160&gt;0,S160&lt;0),AF160,0)</x:f>
        <x:v>0</x:v>
      </x:c>
      <x:c r="AI160" s="648" t="n">
        <x:f>IF(AND(P160&gt;0,S160=0),AF160,0)</x:f>
        <x:v>0</x:v>
      </x:c>
      <x:c r="AJ160" s="648" t="n">
        <x:f>IF(R160&lt;30000,AF160,0)</x:f>
        <x:v>0</x:v>
      </x:c>
      <x:c r="AK160" s="647" t="n">
        <x:f>IF(P160&gt;0,AF160*S160,0)</x:f>
        <x:v>0</x:v>
      </x:c>
    </x:row>
    <x:row r="161" ht="22" customHeight="1">
      <x:c r="A161" s="19" t="str">
        <x:v>保守</x:v>
      </x:c>
      <x:c r="B161" s="23" t="n">
        <x:f>'114_降本系数'!B26</x:f>
        <x:v>0.35</x:v>
      </x:c>
      <x:c r="C161" s="19" t="str">
        <x:v>L2</x:v>
      </x:c>
      <x:c r="D161" s="23" t="n">
        <x:f>'130_联合算法'!C19</x:f>
        <x:v>0.05</x:v>
      </x:c>
      <x:c r="E161" s="460" t="n">
        <x:f>'117_价格概率传导'!A9</x:f>
        <x:v>239900</x:v>
      </x:c>
      <x:c r="F161" s="23" t="n">
        <x:f>'117_价格概率传导'!C9</x:f>
        <x:v>0.26</x:v>
      </x:c>
      <x:c r="G161" s="23" t="n">
        <x:f>SUM('117_价格概率传导'!$C$6:$C$8)</x:f>
        <x:v>0.67</x:v>
      </x:c>
      <x:c r="H161" s="23" t="n">
        <x:f>SUM('117_价格概率传导'!$C$6:$C$9)</x:f>
        <x:v>0.93</x:v>
      </x:c>
      <x:c r="I161" s="460" t="n">
        <x:f>'117_价格概率传导'!A20</x:f>
        <x:v>269900</x:v>
      </x:c>
      <x:c r="J161" s="23" t="n">
        <x:f>'117_价格概率传导'!C20</x:f>
        <x:v>0.13</x:v>
      </x:c>
      <x:c r="K161" s="23" t="n">
        <x:f>SUM('117_价格概率传导'!$C$16:$C$19)</x:f>
        <x:v>0.8400000000000001</x:v>
      </x:c>
      <x:c r="L161" s="23" t="n">
        <x:f>SUM('117_价格概率传导'!$C$16:$C$20)</x:f>
        <x:v>0.9700000000000001</x:v>
      </x:c>
      <x:c r="M161" s="23" t="n">
        <x:f>MAX(0,MIN(H161,L161)-MAX(G161,K161))</x:f>
        <x:v>0.08999999999999997</x:v>
      </x:c>
      <x:c r="N161" s="23" t="n">
        <x:f>B161*D161*M161</x:f>
        <x:v>0.0015749999999999994</x:v>
      </x:c>
      <x:c r="O161" s="460" t="n">
        <x:f>MIN(299900,I161+20000)</x:f>
        <x:v>289900</x:v>
      </x:c>
      <x:c r="P161" s="460" t="str">
        <x:f>""</x:f>
      </x:c>
      <x:c r="Q161" s="460" t="n">
        <x:f>O161-20000</x:f>
        <x:v>269900</x:v>
      </x:c>
      <x:c r="R161" s="460" t="n">
        <x:f>O161-E161</x:f>
        <x:v>50000</x:v>
      </x:c>
      <x:c r="S161" s="460" t="str">
        <x:f>IF(P161&gt;0,P161-E161,"")</x:f>
      </x:c>
      <x:c r="T161" s="460" t="n">
        <x:f>IF(Q161&gt;0,Q161-E161,"")</x:f>
        <x:v>30000</x:v>
      </x:c>
      <x:c r="U161" s="23" t="n">
        <x:f>IF(R161&lt;30000,N161,0)</x:f>
        <x:v>0</x:v>
      </x:c>
      <x:c r="V161" s="23" t="n">
        <x:f>IF(P161&gt;0,N161,0)</x:f>
        <x:v>0</x:v>
      </x:c>
      <x:c r="W161" s="23" t="n">
        <x:f>IF(AND(P161&gt;0,S161&lt;0),N161,0)</x:f>
        <x:v>0</x:v>
      </x:c>
      <x:c r="X161" s="23" t="n">
        <x:f>IF(AND(P161&gt;0,S161=0),N161,0)</x:f>
        <x:v>0</x:v>
      </x:c>
      <x:c r="Y161" s="23" t="n">
        <x:f>IF(Q161&gt;0,N161,0)</x:f>
        <x:v>0.0015749999999999994</x:v>
      </x:c>
      <x:c r="Z161" s="460" t="n">
        <x:f>IF(P161&gt;0,N161*S161,0)</x:f>
        <x:v>0</x:v>
      </x:c>
      <x:c r="AA161" s="460" t="n">
        <x:f>IF(Q161&gt;0,N161*T161,0)</x:f>
        <x:v>47.24999999999998</x:v>
      </x:c>
      <x:c r="AB161" s="460" t="n">
        <x:f>N161*R161</x:f>
        <x:v>78.74999999999997</x:v>
      </x:c>
      <x:c r="AC161" s="460" t="n">
        <x:f>IF(N161&gt;0,R161,999999)</x:f>
        <x:v>50000</x:v>
      </x:c>
      <x:c r="AD161" s="460" t="n">
        <x:f>IF(AND(N161&gt;0,P161&gt;0),S161,999999)</x:f>
        <x:v>999999</x:v>
      </x:c>
      <x:c r="AE161" s="460" t="n">
        <x:f>IF(AND(N161&gt;0,Q161&gt;0),T161,999999)</x:f>
        <x:v>30000</x:v>
      </x:c>
      <x:c r="AF161" s="23" t="n">
        <x:f>B161*D161*F161*J161</x:f>
        <x:v>0.0005914999999999999</x:v>
      </x:c>
      <x:c r="AG161" s="23" t="n">
        <x:f>IF(P161&gt;0,AF161,0)</x:f>
        <x:v>0</x:v>
      </x:c>
      <x:c r="AH161" s="23" t="n">
        <x:f>IF(AND(P161&gt;0,S161&lt;0),AF161,0)</x:f>
        <x:v>0</x:v>
      </x:c>
      <x:c r="AI161" s="23" t="n">
        <x:f>IF(AND(P161&gt;0,S161=0),AF161,0)</x:f>
        <x:v>0</x:v>
      </x:c>
      <x:c r="AJ161" s="23" t="n">
        <x:f>IF(R161&lt;30000,AF161,0)</x:f>
        <x:v>0</x:v>
      </x:c>
      <x:c r="AK161" s="460" t="n">
        <x:f>IF(P161&gt;0,AF161*S161,0)</x:f>
        <x:v>0</x:v>
      </x:c>
    </x:row>
    <x:row r="162" ht="22" customHeight="1">
      <x:c r="A162" s="643" t="str">
        <x:v>保守</x:v>
      </x:c>
      <x:c r="B162" s="648" t="n">
        <x:f>'114_降本系数'!B26</x:f>
        <x:v>0.35</x:v>
      </x:c>
      <x:c r="C162" s="643" t="str">
        <x:v>L2</x:v>
      </x:c>
      <x:c r="D162" s="648" t="n">
        <x:f>'130_联合算法'!C19</x:f>
        <x:v>0.05</x:v>
      </x:c>
      <x:c r="E162" s="647" t="n">
        <x:f>'117_价格概率传导'!A9</x:f>
        <x:v>239900</x:v>
      </x:c>
      <x:c r="F162" s="648" t="n">
        <x:f>'117_价格概率传导'!C9</x:f>
        <x:v>0.26</x:v>
      </x:c>
      <x:c r="G162" s="648" t="n">
        <x:f>SUM('117_价格概率传导'!$C$6:$C$8)</x:f>
        <x:v>0.67</x:v>
      </x:c>
      <x:c r="H162" s="648" t="n">
        <x:f>SUM('117_价格概率传导'!$C$6:$C$9)</x:f>
        <x:v>0.93</x:v>
      </x:c>
      <x:c r="I162" s="647" t="n">
        <x:f>'117_价格概率传导'!A21</x:f>
        <x:v>259900</x:v>
      </x:c>
      <x:c r="J162" s="648" t="n">
        <x:f>'117_价格概率传导'!C21</x:f>
        <x:v>0.03</x:v>
      </x:c>
      <x:c r="K162" s="648" t="n">
        <x:f>SUM('117_价格概率传导'!$C$16:$C$20)</x:f>
        <x:v>0.9700000000000001</x:v>
      </x:c>
      <x:c r="L162" s="648" t="n">
        <x:f>SUM('117_价格概率传导'!$C$16:$C$21)</x:f>
        <x:v>1</x:v>
      </x:c>
      <x:c r="M162" s="648" t="n">
        <x:f>MAX(0,MIN(H162,L162)-MAX(G162,K162))</x:f>
        <x:v>0</x:v>
      </x:c>
      <x:c r="N162" s="648" t="n">
        <x:f>B162*D162*M162</x:f>
        <x:v>0</x:v>
      </x:c>
      <x:c r="O162" s="647" t="n">
        <x:f>MIN(299900,I162+20000)</x:f>
        <x:v>279900</x:v>
      </x:c>
      <x:c r="P162" s="647" t="str">
        <x:f>""</x:f>
      </x:c>
      <x:c r="Q162" s="647" t="n">
        <x:f>O162-20000</x:f>
        <x:v>259900</x:v>
      </x:c>
      <x:c r="R162" s="647" t="n">
        <x:f>O162-E162</x:f>
        <x:v>40000</x:v>
      </x:c>
      <x:c r="S162" s="647" t="str">
        <x:f>IF(P162&gt;0,P162-E162,"")</x:f>
      </x:c>
      <x:c r="T162" s="647" t="n">
        <x:f>IF(Q162&gt;0,Q162-E162,"")</x:f>
        <x:v>20000</x:v>
      </x:c>
      <x:c r="U162" s="648" t="n">
        <x:f>IF(R162&lt;30000,N162,0)</x:f>
        <x:v>0</x:v>
      </x:c>
      <x:c r="V162" s="648" t="n">
        <x:f>IF(P162&gt;0,N162,0)</x:f>
        <x:v>0</x:v>
      </x:c>
      <x:c r="W162" s="648" t="n">
        <x:f>IF(AND(P162&gt;0,S162&lt;0),N162,0)</x:f>
        <x:v>0</x:v>
      </x:c>
      <x:c r="X162" s="648" t="n">
        <x:f>IF(AND(P162&gt;0,S162=0),N162,0)</x:f>
        <x:v>0</x:v>
      </x:c>
      <x:c r="Y162" s="648" t="n">
        <x:f>IF(Q162&gt;0,N162,0)</x:f>
        <x:v>0</x:v>
      </x:c>
      <x:c r="Z162" s="647" t="n">
        <x:f>IF(P162&gt;0,N162*S162,0)</x:f>
        <x:v>0</x:v>
      </x:c>
      <x:c r="AA162" s="647" t="n">
        <x:f>IF(Q162&gt;0,N162*T162,0)</x:f>
        <x:v>0</x:v>
      </x:c>
      <x:c r="AB162" s="647" t="n">
        <x:f>N162*R162</x:f>
        <x:v>0</x:v>
      </x:c>
      <x:c r="AC162" s="647" t="n">
        <x:f>IF(N162&gt;0,R162,999999)</x:f>
        <x:v>999999</x:v>
      </x:c>
      <x:c r="AD162" s="647" t="n">
        <x:f>IF(AND(N162&gt;0,P162&gt;0),S162,999999)</x:f>
        <x:v>999999</x:v>
      </x:c>
      <x:c r="AE162" s="647" t="n">
        <x:f>IF(AND(N162&gt;0,Q162&gt;0),T162,999999)</x:f>
        <x:v>999999</x:v>
      </x:c>
      <x:c r="AF162" s="648" t="n">
        <x:f>B162*D162*F162*J162</x:f>
        <x:v>0.00013649999999999998</x:v>
      </x:c>
      <x:c r="AG162" s="648" t="n">
        <x:f>IF(P162&gt;0,AF162,0)</x:f>
        <x:v>0</x:v>
      </x:c>
      <x:c r="AH162" s="648" t="n">
        <x:f>IF(AND(P162&gt;0,S162&lt;0),AF162,0)</x:f>
        <x:v>0</x:v>
      </x:c>
      <x:c r="AI162" s="648" t="n">
        <x:f>IF(AND(P162&gt;0,S162=0),AF162,0)</x:f>
        <x:v>0</x:v>
      </x:c>
      <x:c r="AJ162" s="648" t="n">
        <x:f>IF(R162&lt;30000,AF162,0)</x:f>
        <x:v>0</x:v>
      </x:c>
      <x:c r="AK162" s="647" t="n">
        <x:f>IF(P162&gt;0,AF162*S162,0)</x:f>
        <x:v>0</x:v>
      </x:c>
    </x:row>
    <x:row r="163" ht="22" customHeight="1">
      <x:c r="A163" s="19" t="str">
        <x:v>保守</x:v>
      </x:c>
      <x:c r="B163" s="23" t="n">
        <x:f>'114_降本系数'!B26</x:f>
        <x:v>0.35</x:v>
      </x:c>
      <x:c r="C163" s="19" t="str">
        <x:v>L2</x:v>
      </x:c>
      <x:c r="D163" s="23" t="n">
        <x:f>'130_联合算法'!C19</x:f>
        <x:v>0.05</x:v>
      </x:c>
      <x:c r="E163" s="460" t="n">
        <x:f>'117_价格概率传导'!A10</x:f>
        <x:v>229900</x:v>
      </x:c>
      <x:c r="F163" s="23" t="n">
        <x:f>'117_价格概率传导'!C10</x:f>
        <x:v>0.06</x:v>
      </x:c>
      <x:c r="G163" s="23" t="n">
        <x:f>SUM('117_价格概率传导'!$C$6:$C$9)</x:f>
        <x:v>0.93</x:v>
      </x:c>
      <x:c r="H163" s="23" t="n">
        <x:f>SUM('117_价格概率传导'!$C$6:$C$10)</x:f>
        <x:v>0.99</x:v>
      </x:c>
      <x:c r="I163" s="460" t="n">
        <x:f>'117_价格概率传导'!A16</x:f>
        <x:v>299900</x:v>
      </x:c>
      <x:c r="J163" s="23" t="n">
        <x:f>'117_价格概率传导'!C16</x:f>
        <x:v>0.05</x:v>
      </x:c>
      <x:c r="K163" s="23" t="n">
        <x:f>0</x:f>
        <x:v>0</x:v>
      </x:c>
      <x:c r="L163" s="23" t="n">
        <x:f>SUM('117_价格概率传导'!$C$16:$C$16)</x:f>
        <x:v>0.05</x:v>
      </x:c>
      <x:c r="M163" s="23" t="n">
        <x:f>MAX(0,MIN(H163,L163)-MAX(G163,K163))</x:f>
        <x:v>0</x:v>
      </x:c>
      <x:c r="N163" s="23" t="n">
        <x:f>B163*D163*M163</x:f>
        <x:v>0</x:v>
      </x:c>
      <x:c r="O163" s="460" t="n">
        <x:f>MIN(299900,I163+20000)</x:f>
        <x:v>299900</x:v>
      </x:c>
      <x:c r="P163" s="460" t="str">
        <x:f>""</x:f>
      </x:c>
      <x:c r="Q163" s="460" t="n">
        <x:f>O163-20000</x:f>
        <x:v>279900</x:v>
      </x:c>
      <x:c r="R163" s="460" t="n">
        <x:f>O163-E163</x:f>
        <x:v>70000</x:v>
      </x:c>
      <x:c r="S163" s="460" t="str">
        <x:f>IF(P163&gt;0,P163-E163,"")</x:f>
      </x:c>
      <x:c r="T163" s="460" t="n">
        <x:f>IF(Q163&gt;0,Q163-E163,"")</x:f>
        <x:v>50000</x:v>
      </x:c>
      <x:c r="U163" s="23" t="n">
        <x:f>IF(R163&lt;30000,N163,0)</x:f>
        <x:v>0</x:v>
      </x:c>
      <x:c r="V163" s="23" t="n">
        <x:f>IF(P163&gt;0,N163,0)</x:f>
        <x:v>0</x:v>
      </x:c>
      <x:c r="W163" s="23" t="n">
        <x:f>IF(AND(P163&gt;0,S163&lt;0),N163,0)</x:f>
        <x:v>0</x:v>
      </x:c>
      <x:c r="X163" s="23" t="n">
        <x:f>IF(AND(P163&gt;0,S163=0),N163,0)</x:f>
        <x:v>0</x:v>
      </x:c>
      <x:c r="Y163" s="23" t="n">
        <x:f>IF(Q163&gt;0,N163,0)</x:f>
        <x:v>0</x:v>
      </x:c>
      <x:c r="Z163" s="460" t="n">
        <x:f>IF(P163&gt;0,N163*S163,0)</x:f>
        <x:v>0</x:v>
      </x:c>
      <x:c r="AA163" s="460" t="n">
        <x:f>IF(Q163&gt;0,N163*T163,0)</x:f>
        <x:v>0</x:v>
      </x:c>
      <x:c r="AB163" s="460" t="n">
        <x:f>N163*R163</x:f>
        <x:v>0</x:v>
      </x:c>
      <x:c r="AC163" s="460" t="n">
        <x:f>IF(N163&gt;0,R163,999999)</x:f>
        <x:v>999999</x:v>
      </x:c>
      <x:c r="AD163" s="460" t="n">
        <x:f>IF(AND(N163&gt;0,P163&gt;0),S163,999999)</x:f>
        <x:v>999999</x:v>
      </x:c>
      <x:c r="AE163" s="460" t="n">
        <x:f>IF(AND(N163&gt;0,Q163&gt;0),T163,999999)</x:f>
        <x:v>999999</x:v>
      </x:c>
      <x:c r="AF163" s="23" t="n">
        <x:f>B163*D163*F163*J163</x:f>
        <x:v>0.0000525</x:v>
      </x:c>
      <x:c r="AG163" s="23" t="n">
        <x:f>IF(P163&gt;0,AF163,0)</x:f>
        <x:v>0</x:v>
      </x:c>
      <x:c r="AH163" s="23" t="n">
        <x:f>IF(AND(P163&gt;0,S163&lt;0),AF163,0)</x:f>
        <x:v>0</x:v>
      </x:c>
      <x:c r="AI163" s="23" t="n">
        <x:f>IF(AND(P163&gt;0,S163=0),AF163,0)</x:f>
        <x:v>0</x:v>
      </x:c>
      <x:c r="AJ163" s="23" t="n">
        <x:f>IF(R163&lt;30000,AF163,0)</x:f>
        <x:v>0</x:v>
      </x:c>
      <x:c r="AK163" s="460" t="n">
        <x:f>IF(P163&gt;0,AF163*S163,0)</x:f>
        <x:v>0</x:v>
      </x:c>
    </x:row>
    <x:row r="164" ht="22" customHeight="1">
      <x:c r="A164" s="643" t="str">
        <x:v>保守</x:v>
      </x:c>
      <x:c r="B164" s="648" t="n">
        <x:f>'114_降本系数'!B26</x:f>
        <x:v>0.35</x:v>
      </x:c>
      <x:c r="C164" s="643" t="str">
        <x:v>L2</x:v>
      </x:c>
      <x:c r="D164" s="648" t="n">
        <x:f>'130_联合算法'!C19</x:f>
        <x:v>0.05</x:v>
      </x:c>
      <x:c r="E164" s="647" t="n">
        <x:f>'117_价格概率传导'!A10</x:f>
        <x:v>229900</x:v>
      </x:c>
      <x:c r="F164" s="648" t="n">
        <x:f>'117_价格概率传导'!C10</x:f>
        <x:v>0.06</x:v>
      </x:c>
      <x:c r="G164" s="648" t="n">
        <x:f>SUM('117_价格概率传导'!$C$6:$C$9)</x:f>
        <x:v>0.93</x:v>
      </x:c>
      <x:c r="H164" s="648" t="n">
        <x:f>SUM('117_价格概率传导'!$C$6:$C$10)</x:f>
        <x:v>0.99</x:v>
      </x:c>
      <x:c r="I164" s="647" t="n">
        <x:f>'117_价格概率传导'!A17</x:f>
        <x:v>293900</x:v>
      </x:c>
      <x:c r="J164" s="648" t="n">
        <x:f>'117_价格概率传导'!C17</x:f>
        <x:v>0.06</x:v>
      </x:c>
      <x:c r="K164" s="648" t="n">
        <x:f>SUM('117_价格概率传导'!$C$16:$C$16)</x:f>
        <x:v>0.05</x:v>
      </x:c>
      <x:c r="L164" s="648" t="n">
        <x:f>SUM('117_价格概率传导'!$C$16:$C$17)</x:f>
        <x:v>0.11</x:v>
      </x:c>
      <x:c r="M164" s="648" t="n">
        <x:f>MAX(0,MIN(H164,L164)-MAX(G164,K164))</x:f>
        <x:v>0</x:v>
      </x:c>
      <x:c r="N164" s="648" t="n">
        <x:f>B164*D164*M164</x:f>
        <x:v>0</x:v>
      </x:c>
      <x:c r="O164" s="647" t="n">
        <x:f>MIN(299900,I164+20000)</x:f>
        <x:v>299900</x:v>
      </x:c>
      <x:c r="P164" s="647" t="str">
        <x:f>""</x:f>
      </x:c>
      <x:c r="Q164" s="647" t="n">
        <x:f>O164-20000</x:f>
        <x:v>279900</x:v>
      </x:c>
      <x:c r="R164" s="647" t="n">
        <x:f>O164-E164</x:f>
        <x:v>70000</x:v>
      </x:c>
      <x:c r="S164" s="647" t="str">
        <x:f>IF(P164&gt;0,P164-E164,"")</x:f>
      </x:c>
      <x:c r="T164" s="647" t="n">
        <x:f>IF(Q164&gt;0,Q164-E164,"")</x:f>
        <x:v>50000</x:v>
      </x:c>
      <x:c r="U164" s="648" t="n">
        <x:f>IF(R164&lt;30000,N164,0)</x:f>
        <x:v>0</x:v>
      </x:c>
      <x:c r="V164" s="648" t="n">
        <x:f>IF(P164&gt;0,N164,0)</x:f>
        <x:v>0</x:v>
      </x:c>
      <x:c r="W164" s="648" t="n">
        <x:f>IF(AND(P164&gt;0,S164&lt;0),N164,0)</x:f>
        <x:v>0</x:v>
      </x:c>
      <x:c r="X164" s="648" t="n">
        <x:f>IF(AND(P164&gt;0,S164=0),N164,0)</x:f>
        <x:v>0</x:v>
      </x:c>
      <x:c r="Y164" s="648" t="n">
        <x:f>IF(Q164&gt;0,N164,0)</x:f>
        <x:v>0</x:v>
      </x:c>
      <x:c r="Z164" s="647" t="n">
        <x:f>IF(P164&gt;0,N164*S164,0)</x:f>
        <x:v>0</x:v>
      </x:c>
      <x:c r="AA164" s="647" t="n">
        <x:f>IF(Q164&gt;0,N164*T164,0)</x:f>
        <x:v>0</x:v>
      </x:c>
      <x:c r="AB164" s="647" t="n">
        <x:f>N164*R164</x:f>
        <x:v>0</x:v>
      </x:c>
      <x:c r="AC164" s="647" t="n">
        <x:f>IF(N164&gt;0,R164,999999)</x:f>
        <x:v>999999</x:v>
      </x:c>
      <x:c r="AD164" s="647" t="n">
        <x:f>IF(AND(N164&gt;0,P164&gt;0),S164,999999)</x:f>
        <x:v>999999</x:v>
      </x:c>
      <x:c r="AE164" s="647" t="n">
        <x:f>IF(AND(N164&gt;0,Q164&gt;0),T164,999999)</x:f>
        <x:v>999999</x:v>
      </x:c>
      <x:c r="AF164" s="648" t="n">
        <x:f>B164*D164*F164*J164</x:f>
        <x:v>0.000063</x:v>
      </x:c>
      <x:c r="AG164" s="648" t="n">
        <x:f>IF(P164&gt;0,AF164,0)</x:f>
        <x:v>0</x:v>
      </x:c>
      <x:c r="AH164" s="648" t="n">
        <x:f>IF(AND(P164&gt;0,S164&lt;0),AF164,0)</x:f>
        <x:v>0</x:v>
      </x:c>
      <x:c r="AI164" s="648" t="n">
        <x:f>IF(AND(P164&gt;0,S164=0),AF164,0)</x:f>
        <x:v>0</x:v>
      </x:c>
      <x:c r="AJ164" s="648" t="n">
        <x:f>IF(R164&lt;30000,AF164,0)</x:f>
        <x:v>0</x:v>
      </x:c>
      <x:c r="AK164" s="647" t="n">
        <x:f>IF(P164&gt;0,AF164*S164,0)</x:f>
        <x:v>0</x:v>
      </x:c>
    </x:row>
    <x:row r="165" ht="22" customHeight="1">
      <x:c r="A165" s="19" t="str">
        <x:v>保守</x:v>
      </x:c>
      <x:c r="B165" s="23" t="n">
        <x:f>'114_降本系数'!B26</x:f>
        <x:v>0.35</x:v>
      </x:c>
      <x:c r="C165" s="19" t="str">
        <x:v>L2</x:v>
      </x:c>
      <x:c r="D165" s="23" t="n">
        <x:f>'130_联合算法'!C19</x:f>
        <x:v>0.05</x:v>
      </x:c>
      <x:c r="E165" s="460" t="n">
        <x:f>'117_价格概率传导'!A10</x:f>
        <x:v>229900</x:v>
      </x:c>
      <x:c r="F165" s="23" t="n">
        <x:f>'117_价格概率传导'!C10</x:f>
        <x:v>0.06</x:v>
      </x:c>
      <x:c r="G165" s="23" t="n">
        <x:f>SUM('117_价格概率传导'!$C$6:$C$9)</x:f>
        <x:v>0.93</x:v>
      </x:c>
      <x:c r="H165" s="23" t="n">
        <x:f>SUM('117_价格概率传导'!$C$6:$C$10)</x:f>
        <x:v>0.99</x:v>
      </x:c>
      <x:c r="I165" s="460" t="n">
        <x:f>'117_价格概率传导'!A18</x:f>
        <x:v>289900</x:v>
      </x:c>
      <x:c r="J165" s="23" t="n">
        <x:f>'117_价格概率传导'!C18</x:f>
        <x:v>0.34</x:v>
      </x:c>
      <x:c r="K165" s="23" t="n">
        <x:f>SUM('117_价格概率传导'!$C$16:$C$17)</x:f>
        <x:v>0.11</x:v>
      </x:c>
      <x:c r="L165" s="23" t="n">
        <x:f>SUM('117_价格概率传导'!$C$16:$C$18)</x:f>
        <x:v>0.45</x:v>
      </x:c>
      <x:c r="M165" s="23" t="n">
        <x:f>MAX(0,MIN(H165,L165)-MAX(G165,K165))</x:f>
        <x:v>0</x:v>
      </x:c>
      <x:c r="N165" s="23" t="n">
        <x:f>B165*D165*M165</x:f>
        <x:v>0</x:v>
      </x:c>
      <x:c r="O165" s="460" t="n">
        <x:f>MIN(299900,I165+20000)</x:f>
        <x:v>299900</x:v>
      </x:c>
      <x:c r="P165" s="460" t="str">
        <x:f>""</x:f>
      </x:c>
      <x:c r="Q165" s="460" t="n">
        <x:f>O165-20000</x:f>
        <x:v>279900</x:v>
      </x:c>
      <x:c r="R165" s="460" t="n">
        <x:f>O165-E165</x:f>
        <x:v>70000</x:v>
      </x:c>
      <x:c r="S165" s="460" t="str">
        <x:f>IF(P165&gt;0,P165-E165,"")</x:f>
      </x:c>
      <x:c r="T165" s="460" t="n">
        <x:f>IF(Q165&gt;0,Q165-E165,"")</x:f>
        <x:v>50000</x:v>
      </x:c>
      <x:c r="U165" s="23" t="n">
        <x:f>IF(R165&lt;30000,N165,0)</x:f>
        <x:v>0</x:v>
      </x:c>
      <x:c r="V165" s="23" t="n">
        <x:f>IF(P165&gt;0,N165,0)</x:f>
        <x:v>0</x:v>
      </x:c>
      <x:c r="W165" s="23" t="n">
        <x:f>IF(AND(P165&gt;0,S165&lt;0),N165,0)</x:f>
        <x:v>0</x:v>
      </x:c>
      <x:c r="X165" s="23" t="n">
        <x:f>IF(AND(P165&gt;0,S165=0),N165,0)</x:f>
        <x:v>0</x:v>
      </x:c>
      <x:c r="Y165" s="23" t="n">
        <x:f>IF(Q165&gt;0,N165,0)</x:f>
        <x:v>0</x:v>
      </x:c>
      <x:c r="Z165" s="460" t="n">
        <x:f>IF(P165&gt;0,N165*S165,0)</x:f>
        <x:v>0</x:v>
      </x:c>
      <x:c r="AA165" s="460" t="n">
        <x:f>IF(Q165&gt;0,N165*T165,0)</x:f>
        <x:v>0</x:v>
      </x:c>
      <x:c r="AB165" s="460" t="n">
        <x:f>N165*R165</x:f>
        <x:v>0</x:v>
      </x:c>
      <x:c r="AC165" s="460" t="n">
        <x:f>IF(N165&gt;0,R165,999999)</x:f>
        <x:v>999999</x:v>
      </x:c>
      <x:c r="AD165" s="460" t="n">
        <x:f>IF(AND(N165&gt;0,P165&gt;0),S165,999999)</x:f>
        <x:v>999999</x:v>
      </x:c>
      <x:c r="AE165" s="460" t="n">
        <x:f>IF(AND(N165&gt;0,Q165&gt;0),T165,999999)</x:f>
        <x:v>999999</x:v>
      </x:c>
      <x:c r="AF165" s="23" t="n">
        <x:f>B165*D165*F165*J165</x:f>
        <x:v>0.000357</x:v>
      </x:c>
      <x:c r="AG165" s="23" t="n">
        <x:f>IF(P165&gt;0,AF165,0)</x:f>
        <x:v>0</x:v>
      </x:c>
      <x:c r="AH165" s="23" t="n">
        <x:f>IF(AND(P165&gt;0,S165&lt;0),AF165,0)</x:f>
        <x:v>0</x:v>
      </x:c>
      <x:c r="AI165" s="23" t="n">
        <x:f>IF(AND(P165&gt;0,S165=0),AF165,0)</x:f>
        <x:v>0</x:v>
      </x:c>
      <x:c r="AJ165" s="23" t="n">
        <x:f>IF(R165&lt;30000,AF165,0)</x:f>
        <x:v>0</x:v>
      </x:c>
      <x:c r="AK165" s="460" t="n">
        <x:f>IF(P165&gt;0,AF165*S165,0)</x:f>
        <x:v>0</x:v>
      </x:c>
    </x:row>
    <x:row r="166" ht="22" customHeight="1">
      <x:c r="A166" s="643" t="str">
        <x:v>保守</x:v>
      </x:c>
      <x:c r="B166" s="648" t="n">
        <x:f>'114_降本系数'!B26</x:f>
        <x:v>0.35</x:v>
      </x:c>
      <x:c r="C166" s="643" t="str">
        <x:v>L2</x:v>
      </x:c>
      <x:c r="D166" s="648" t="n">
        <x:f>'130_联合算法'!C19</x:f>
        <x:v>0.05</x:v>
      </x:c>
      <x:c r="E166" s="647" t="n">
        <x:f>'117_价格概率传导'!A10</x:f>
        <x:v>229900</x:v>
      </x:c>
      <x:c r="F166" s="648" t="n">
        <x:f>'117_价格概率传导'!C10</x:f>
        <x:v>0.06</x:v>
      </x:c>
      <x:c r="G166" s="648" t="n">
        <x:f>SUM('117_价格概率传导'!$C$6:$C$9)</x:f>
        <x:v>0.93</x:v>
      </x:c>
      <x:c r="H166" s="648" t="n">
        <x:f>SUM('117_价格概率传导'!$C$6:$C$10)</x:f>
        <x:v>0.99</x:v>
      </x:c>
      <x:c r="I166" s="647" t="n">
        <x:f>'117_价格概率传导'!A19</x:f>
        <x:v>279900</x:v>
      </x:c>
      <x:c r="J166" s="648" t="n">
        <x:f>'117_价格概率传导'!C19</x:f>
        <x:v>0.39</x:v>
      </x:c>
      <x:c r="K166" s="648" t="n">
        <x:f>SUM('117_价格概率传导'!$C$16:$C$18)</x:f>
        <x:v>0.45</x:v>
      </x:c>
      <x:c r="L166" s="648" t="n">
        <x:f>SUM('117_价格概率传导'!$C$16:$C$19)</x:f>
        <x:v>0.8400000000000001</x:v>
      </x:c>
      <x:c r="M166" s="648" t="n">
        <x:f>MAX(0,MIN(H166,L166)-MAX(G166,K166))</x:f>
        <x:v>0</x:v>
      </x:c>
      <x:c r="N166" s="648" t="n">
        <x:f>B166*D166*M166</x:f>
        <x:v>0</x:v>
      </x:c>
      <x:c r="O166" s="647" t="n">
        <x:f>MIN(299900,I166+20000)</x:f>
        <x:v>299900</x:v>
      </x:c>
      <x:c r="P166" s="647" t="str">
        <x:f>""</x:f>
      </x:c>
      <x:c r="Q166" s="647" t="n">
        <x:f>O166-20000</x:f>
        <x:v>279900</x:v>
      </x:c>
      <x:c r="R166" s="647" t="n">
        <x:f>O166-E166</x:f>
        <x:v>70000</x:v>
      </x:c>
      <x:c r="S166" s="647" t="str">
        <x:f>IF(P166&gt;0,P166-E166,"")</x:f>
      </x:c>
      <x:c r="T166" s="647" t="n">
        <x:f>IF(Q166&gt;0,Q166-E166,"")</x:f>
        <x:v>50000</x:v>
      </x:c>
      <x:c r="U166" s="648" t="n">
        <x:f>IF(R166&lt;30000,N166,0)</x:f>
        <x:v>0</x:v>
      </x:c>
      <x:c r="V166" s="648" t="n">
        <x:f>IF(P166&gt;0,N166,0)</x:f>
        <x:v>0</x:v>
      </x:c>
      <x:c r="W166" s="648" t="n">
        <x:f>IF(AND(P166&gt;0,S166&lt;0),N166,0)</x:f>
        <x:v>0</x:v>
      </x:c>
      <x:c r="X166" s="648" t="n">
        <x:f>IF(AND(P166&gt;0,S166=0),N166,0)</x:f>
        <x:v>0</x:v>
      </x:c>
      <x:c r="Y166" s="648" t="n">
        <x:f>IF(Q166&gt;0,N166,0)</x:f>
        <x:v>0</x:v>
      </x:c>
      <x:c r="Z166" s="647" t="n">
        <x:f>IF(P166&gt;0,N166*S166,0)</x:f>
        <x:v>0</x:v>
      </x:c>
      <x:c r="AA166" s="647" t="n">
        <x:f>IF(Q166&gt;0,N166*T166,0)</x:f>
        <x:v>0</x:v>
      </x:c>
      <x:c r="AB166" s="647" t="n">
        <x:f>N166*R166</x:f>
        <x:v>0</x:v>
      </x:c>
      <x:c r="AC166" s="647" t="n">
        <x:f>IF(N166&gt;0,R166,999999)</x:f>
        <x:v>999999</x:v>
      </x:c>
      <x:c r="AD166" s="647" t="n">
        <x:f>IF(AND(N166&gt;0,P166&gt;0),S166,999999)</x:f>
        <x:v>999999</x:v>
      </x:c>
      <x:c r="AE166" s="647" t="n">
        <x:f>IF(AND(N166&gt;0,Q166&gt;0),T166,999999)</x:f>
        <x:v>999999</x:v>
      </x:c>
      <x:c r="AF166" s="648" t="n">
        <x:f>B166*D166*F166*J166</x:f>
        <x:v>0.0004095</x:v>
      </x:c>
      <x:c r="AG166" s="648" t="n">
        <x:f>IF(P166&gt;0,AF166,0)</x:f>
        <x:v>0</x:v>
      </x:c>
      <x:c r="AH166" s="648" t="n">
        <x:f>IF(AND(P166&gt;0,S166&lt;0),AF166,0)</x:f>
        <x:v>0</x:v>
      </x:c>
      <x:c r="AI166" s="648" t="n">
        <x:f>IF(AND(P166&gt;0,S166=0),AF166,0)</x:f>
        <x:v>0</x:v>
      </x:c>
      <x:c r="AJ166" s="648" t="n">
        <x:f>IF(R166&lt;30000,AF166,0)</x:f>
        <x:v>0</x:v>
      </x:c>
      <x:c r="AK166" s="647" t="n">
        <x:f>IF(P166&gt;0,AF166*S166,0)</x:f>
        <x:v>0</x:v>
      </x:c>
    </x:row>
    <x:row r="167" ht="22" customHeight="1">
      <x:c r="A167" s="19" t="str">
        <x:v>保守</x:v>
      </x:c>
      <x:c r="B167" s="23" t="n">
        <x:f>'114_降本系数'!B26</x:f>
        <x:v>0.35</x:v>
      </x:c>
      <x:c r="C167" s="19" t="str">
        <x:v>L2</x:v>
      </x:c>
      <x:c r="D167" s="23" t="n">
        <x:f>'130_联合算法'!C19</x:f>
        <x:v>0.05</x:v>
      </x:c>
      <x:c r="E167" s="460" t="n">
        <x:f>'117_价格概率传导'!A10</x:f>
        <x:v>229900</x:v>
      </x:c>
      <x:c r="F167" s="23" t="n">
        <x:f>'117_价格概率传导'!C10</x:f>
        <x:v>0.06</x:v>
      </x:c>
      <x:c r="G167" s="23" t="n">
        <x:f>SUM('117_价格概率传导'!$C$6:$C$9)</x:f>
        <x:v>0.93</x:v>
      </x:c>
      <x:c r="H167" s="23" t="n">
        <x:f>SUM('117_价格概率传导'!$C$6:$C$10)</x:f>
        <x:v>0.99</x:v>
      </x:c>
      <x:c r="I167" s="460" t="n">
        <x:f>'117_价格概率传导'!A20</x:f>
        <x:v>269900</x:v>
      </x:c>
      <x:c r="J167" s="23" t="n">
        <x:f>'117_价格概率传导'!C20</x:f>
        <x:v>0.13</x:v>
      </x:c>
      <x:c r="K167" s="23" t="n">
        <x:f>SUM('117_价格概率传导'!$C$16:$C$19)</x:f>
        <x:v>0.8400000000000001</x:v>
      </x:c>
      <x:c r="L167" s="23" t="n">
        <x:f>SUM('117_价格概率传导'!$C$16:$C$20)</x:f>
        <x:v>0.9700000000000001</x:v>
      </x:c>
      <x:c r="M167" s="23" t="n">
        <x:f>MAX(0,MIN(H167,L167)-MAX(G167,K167))</x:f>
        <x:v>0.040000000000000036</x:v>
      </x:c>
      <x:c r="N167" s="23" t="n">
        <x:f>B167*D167*M167</x:f>
        <x:v>0.0007000000000000005</x:v>
      </x:c>
      <x:c r="O167" s="460" t="n">
        <x:f>MIN(299900,I167+20000)</x:f>
        <x:v>289900</x:v>
      </x:c>
      <x:c r="P167" s="460" t="str">
        <x:f>""</x:f>
      </x:c>
      <x:c r="Q167" s="460" t="n">
        <x:f>O167-20000</x:f>
        <x:v>269900</x:v>
      </x:c>
      <x:c r="R167" s="460" t="n">
        <x:f>O167-E167</x:f>
        <x:v>60000</x:v>
      </x:c>
      <x:c r="S167" s="460" t="str">
        <x:f>IF(P167&gt;0,P167-E167,"")</x:f>
      </x:c>
      <x:c r="T167" s="460" t="n">
        <x:f>IF(Q167&gt;0,Q167-E167,"")</x:f>
        <x:v>40000</x:v>
      </x:c>
      <x:c r="U167" s="23" t="n">
        <x:f>IF(R167&lt;30000,N167,0)</x:f>
        <x:v>0</x:v>
      </x:c>
      <x:c r="V167" s="23" t="n">
        <x:f>IF(P167&gt;0,N167,0)</x:f>
        <x:v>0</x:v>
      </x:c>
      <x:c r="W167" s="23" t="n">
        <x:f>IF(AND(P167&gt;0,S167&lt;0),N167,0)</x:f>
        <x:v>0</x:v>
      </x:c>
      <x:c r="X167" s="23" t="n">
        <x:f>IF(AND(P167&gt;0,S167=0),N167,0)</x:f>
        <x:v>0</x:v>
      </x:c>
      <x:c r="Y167" s="23" t="n">
        <x:f>IF(Q167&gt;0,N167,0)</x:f>
        <x:v>0.0007000000000000005</x:v>
      </x:c>
      <x:c r="Z167" s="460" t="n">
        <x:f>IF(P167&gt;0,N167*S167,0)</x:f>
        <x:v>0</x:v>
      </x:c>
      <x:c r="AA167" s="460" t="n">
        <x:f>IF(Q167&gt;0,N167*T167,0)</x:f>
        <x:v>28.00000000000002</x:v>
      </x:c>
      <x:c r="AB167" s="460" t="n">
        <x:f>N167*R167</x:f>
        <x:v>42.000000000000036</x:v>
      </x:c>
      <x:c r="AC167" s="460" t="n">
        <x:f>IF(N167&gt;0,R167,999999)</x:f>
        <x:v>60000</x:v>
      </x:c>
      <x:c r="AD167" s="460" t="n">
        <x:f>IF(AND(N167&gt;0,P167&gt;0),S167,999999)</x:f>
        <x:v>999999</x:v>
      </x:c>
      <x:c r="AE167" s="460" t="n">
        <x:f>IF(AND(N167&gt;0,Q167&gt;0),T167,999999)</x:f>
        <x:v>40000</x:v>
      </x:c>
      <x:c r="AF167" s="23" t="n">
        <x:f>B167*D167*F167*J167</x:f>
        <x:v>0.00013649999999999998</x:v>
      </x:c>
      <x:c r="AG167" s="23" t="n">
        <x:f>IF(P167&gt;0,AF167,0)</x:f>
        <x:v>0</x:v>
      </x:c>
      <x:c r="AH167" s="23" t="n">
        <x:f>IF(AND(P167&gt;0,S167&lt;0),AF167,0)</x:f>
        <x:v>0</x:v>
      </x:c>
      <x:c r="AI167" s="23" t="n">
        <x:f>IF(AND(P167&gt;0,S167=0),AF167,0)</x:f>
        <x:v>0</x:v>
      </x:c>
      <x:c r="AJ167" s="23" t="n">
        <x:f>IF(R167&lt;30000,AF167,0)</x:f>
        <x:v>0</x:v>
      </x:c>
      <x:c r="AK167" s="460" t="n">
        <x:f>IF(P167&gt;0,AF167*S167,0)</x:f>
        <x:v>0</x:v>
      </x:c>
    </x:row>
    <x:row r="168" ht="22" customHeight="1">
      <x:c r="A168" s="643" t="str">
        <x:v>保守</x:v>
      </x:c>
      <x:c r="B168" s="648" t="n">
        <x:f>'114_降本系数'!B26</x:f>
        <x:v>0.35</x:v>
      </x:c>
      <x:c r="C168" s="643" t="str">
        <x:v>L2</x:v>
      </x:c>
      <x:c r="D168" s="648" t="n">
        <x:f>'130_联合算法'!C19</x:f>
        <x:v>0.05</x:v>
      </x:c>
      <x:c r="E168" s="647" t="n">
        <x:f>'117_价格概率传导'!A10</x:f>
        <x:v>229900</x:v>
      </x:c>
      <x:c r="F168" s="648" t="n">
        <x:f>'117_价格概率传导'!C10</x:f>
        <x:v>0.06</x:v>
      </x:c>
      <x:c r="G168" s="648" t="n">
        <x:f>SUM('117_价格概率传导'!$C$6:$C$9)</x:f>
        <x:v>0.93</x:v>
      </x:c>
      <x:c r="H168" s="648" t="n">
        <x:f>SUM('117_价格概率传导'!$C$6:$C$10)</x:f>
        <x:v>0.99</x:v>
      </x:c>
      <x:c r="I168" s="647" t="n">
        <x:f>'117_价格概率传导'!A21</x:f>
        <x:v>259900</x:v>
      </x:c>
      <x:c r="J168" s="648" t="n">
        <x:f>'117_价格概率传导'!C21</x:f>
        <x:v>0.03</x:v>
      </x:c>
      <x:c r="K168" s="648" t="n">
        <x:f>SUM('117_价格概率传导'!$C$16:$C$20)</x:f>
        <x:v>0.9700000000000001</x:v>
      </x:c>
      <x:c r="L168" s="648" t="n">
        <x:f>SUM('117_价格概率传导'!$C$16:$C$21)</x:f>
        <x:v>1</x:v>
      </x:c>
      <x:c r="M168" s="648" t="n">
        <x:f>MAX(0,MIN(H168,L168)-MAX(G168,K168))</x:f>
        <x:v>0.019999999999999907</x:v>
      </x:c>
      <x:c r="N168" s="648" t="n">
        <x:f>B168*D168*M168</x:f>
        <x:v>0.0003499999999999983</x:v>
      </x:c>
      <x:c r="O168" s="647" t="n">
        <x:f>MIN(299900,I168+20000)</x:f>
        <x:v>279900</x:v>
      </x:c>
      <x:c r="P168" s="647" t="str">
        <x:f>""</x:f>
      </x:c>
      <x:c r="Q168" s="647" t="n">
        <x:f>O168-20000</x:f>
        <x:v>259900</x:v>
      </x:c>
      <x:c r="R168" s="647" t="n">
        <x:f>O168-E168</x:f>
        <x:v>50000</x:v>
      </x:c>
      <x:c r="S168" s="647" t="str">
        <x:f>IF(P168&gt;0,P168-E168,"")</x:f>
      </x:c>
      <x:c r="T168" s="647" t="n">
        <x:f>IF(Q168&gt;0,Q168-E168,"")</x:f>
        <x:v>30000</x:v>
      </x:c>
      <x:c r="U168" s="648" t="n">
        <x:f>IF(R168&lt;30000,N168,0)</x:f>
        <x:v>0</x:v>
      </x:c>
      <x:c r="V168" s="648" t="n">
        <x:f>IF(P168&gt;0,N168,0)</x:f>
        <x:v>0</x:v>
      </x:c>
      <x:c r="W168" s="648" t="n">
        <x:f>IF(AND(P168&gt;0,S168&lt;0),N168,0)</x:f>
        <x:v>0</x:v>
      </x:c>
      <x:c r="X168" s="648" t="n">
        <x:f>IF(AND(P168&gt;0,S168=0),N168,0)</x:f>
        <x:v>0</x:v>
      </x:c>
      <x:c r="Y168" s="648" t="n">
        <x:f>IF(Q168&gt;0,N168,0)</x:f>
        <x:v>0.0003499999999999983</x:v>
      </x:c>
      <x:c r="Z168" s="647" t="n">
        <x:f>IF(P168&gt;0,N168*S168,0)</x:f>
        <x:v>0</x:v>
      </x:c>
      <x:c r="AA168" s="647" t="n">
        <x:f>IF(Q168&gt;0,N168*T168,0)</x:f>
        <x:v>10.49999999999995</x:v>
      </x:c>
      <x:c r="AB168" s="647" t="n">
        <x:f>N168*R168</x:f>
        <x:v>17.499999999999915</x:v>
      </x:c>
      <x:c r="AC168" s="647" t="n">
        <x:f>IF(N168&gt;0,R168,999999)</x:f>
        <x:v>50000</x:v>
      </x:c>
      <x:c r="AD168" s="647" t="n">
        <x:f>IF(AND(N168&gt;0,P168&gt;0),S168,999999)</x:f>
        <x:v>999999</x:v>
      </x:c>
      <x:c r="AE168" s="647" t="n">
        <x:f>IF(AND(N168&gt;0,Q168&gt;0),T168,999999)</x:f>
        <x:v>30000</x:v>
      </x:c>
      <x:c r="AF168" s="648" t="n">
        <x:f>B168*D168*F168*J168</x:f>
        <x:v>0.0000315</x:v>
      </x:c>
      <x:c r="AG168" s="648" t="n">
        <x:f>IF(P168&gt;0,AF168,0)</x:f>
        <x:v>0</x:v>
      </x:c>
      <x:c r="AH168" s="648" t="n">
        <x:f>IF(AND(P168&gt;0,S168&lt;0),AF168,0)</x:f>
        <x:v>0</x:v>
      </x:c>
      <x:c r="AI168" s="648" t="n">
        <x:f>IF(AND(P168&gt;0,S168=0),AF168,0)</x:f>
        <x:v>0</x:v>
      </x:c>
      <x:c r="AJ168" s="648" t="n">
        <x:f>IF(R168&lt;30000,AF168,0)</x:f>
        <x:v>0</x:v>
      </x:c>
      <x:c r="AK168" s="647" t="n">
        <x:f>IF(P168&gt;0,AF168*S168,0)</x:f>
        <x:v>0</x:v>
      </x:c>
    </x:row>
    <x:row r="169" ht="22" customHeight="1">
      <x:c r="A169" s="19" t="str">
        <x:v>保守</x:v>
      </x:c>
      <x:c r="B169" s="23" t="n">
        <x:f>'114_降本系数'!B26</x:f>
        <x:v>0.35</x:v>
      </x:c>
      <x:c r="C169" s="19" t="str">
        <x:v>L2</x:v>
      </x:c>
      <x:c r="D169" s="23" t="n">
        <x:f>'130_联合算法'!C19</x:f>
        <x:v>0.05</x:v>
      </x:c>
      <x:c r="E169" s="460" t="n">
        <x:f>'117_价格概率传导'!A11</x:f>
        <x:v>219900</x:v>
      </x:c>
      <x:c r="F169" s="23" t="n">
        <x:f>'117_价格概率传导'!C11</x:f>
        <x:v>0.01</x:v>
      </x:c>
      <x:c r="G169" s="23" t="n">
        <x:f>SUM('117_价格概率传导'!$C$6:$C$10)</x:f>
        <x:v>0.99</x:v>
      </x:c>
      <x:c r="H169" s="23" t="n">
        <x:f>SUM('117_价格概率传导'!$C$6:$C$11)</x:f>
        <x:v>1</x:v>
      </x:c>
      <x:c r="I169" s="460" t="n">
        <x:f>'117_价格概率传导'!A16</x:f>
        <x:v>299900</x:v>
      </x:c>
      <x:c r="J169" s="23" t="n">
        <x:f>'117_价格概率传导'!C16</x:f>
        <x:v>0.05</x:v>
      </x:c>
      <x:c r="K169" s="23" t="n">
        <x:f>0</x:f>
        <x:v>0</x:v>
      </x:c>
      <x:c r="L169" s="23" t="n">
        <x:f>SUM('117_价格概率传导'!$C$16:$C$16)</x:f>
        <x:v>0.05</x:v>
      </x:c>
      <x:c r="M169" s="23" t="n">
        <x:f>MAX(0,MIN(H169,L169)-MAX(G169,K169))</x:f>
        <x:v>0</x:v>
      </x:c>
      <x:c r="N169" s="23" t="n">
        <x:f>B169*D169*M169</x:f>
        <x:v>0</x:v>
      </x:c>
      <x:c r="O169" s="460" t="n">
        <x:f>MIN(299900,I169+20000)</x:f>
        <x:v>299900</x:v>
      </x:c>
      <x:c r="P169" s="460" t="str">
        <x:f>""</x:f>
      </x:c>
      <x:c r="Q169" s="460" t="n">
        <x:f>O169-20000</x:f>
        <x:v>279900</x:v>
      </x:c>
      <x:c r="R169" s="460" t="n">
        <x:f>O169-E169</x:f>
        <x:v>80000</x:v>
      </x:c>
      <x:c r="S169" s="460" t="str">
        <x:f>IF(P169&gt;0,P169-E169,"")</x:f>
      </x:c>
      <x:c r="T169" s="460" t="n">
        <x:f>IF(Q169&gt;0,Q169-E169,"")</x:f>
        <x:v>60000</x:v>
      </x:c>
      <x:c r="U169" s="23" t="n">
        <x:f>IF(R169&lt;30000,N169,0)</x:f>
        <x:v>0</x:v>
      </x:c>
      <x:c r="V169" s="23" t="n">
        <x:f>IF(P169&gt;0,N169,0)</x:f>
        <x:v>0</x:v>
      </x:c>
      <x:c r="W169" s="23" t="n">
        <x:f>IF(AND(P169&gt;0,S169&lt;0),N169,0)</x:f>
        <x:v>0</x:v>
      </x:c>
      <x:c r="X169" s="23" t="n">
        <x:f>IF(AND(P169&gt;0,S169=0),N169,0)</x:f>
        <x:v>0</x:v>
      </x:c>
      <x:c r="Y169" s="23" t="n">
        <x:f>IF(Q169&gt;0,N169,0)</x:f>
        <x:v>0</x:v>
      </x:c>
      <x:c r="Z169" s="460" t="n">
        <x:f>IF(P169&gt;0,N169*S169,0)</x:f>
        <x:v>0</x:v>
      </x:c>
      <x:c r="AA169" s="460" t="n">
        <x:f>IF(Q169&gt;0,N169*T169,0)</x:f>
        <x:v>0</x:v>
      </x:c>
      <x:c r="AB169" s="460" t="n">
        <x:f>N169*R169</x:f>
        <x:v>0</x:v>
      </x:c>
      <x:c r="AC169" s="460" t="n">
        <x:f>IF(N169&gt;0,R169,999999)</x:f>
        <x:v>999999</x:v>
      </x:c>
      <x:c r="AD169" s="460" t="n">
        <x:f>IF(AND(N169&gt;0,P169&gt;0),S169,999999)</x:f>
        <x:v>999999</x:v>
      </x:c>
      <x:c r="AE169" s="460" t="n">
        <x:f>IF(AND(N169&gt;0,Q169&gt;0),T169,999999)</x:f>
        <x:v>999999</x:v>
      </x:c>
      <x:c r="AF169" s="23" t="n">
        <x:f>B169*D169*F169*J169</x:f>
        <x:v>0.000008750000000000001</x:v>
      </x:c>
      <x:c r="AG169" s="23" t="n">
        <x:f>IF(P169&gt;0,AF169,0)</x:f>
        <x:v>0</x:v>
      </x:c>
      <x:c r="AH169" s="23" t="n">
        <x:f>IF(AND(P169&gt;0,S169&lt;0),AF169,0)</x:f>
        <x:v>0</x:v>
      </x:c>
      <x:c r="AI169" s="23" t="n">
        <x:f>IF(AND(P169&gt;0,S169=0),AF169,0)</x:f>
        <x:v>0</x:v>
      </x:c>
      <x:c r="AJ169" s="23" t="n">
        <x:f>IF(R169&lt;30000,AF169,0)</x:f>
        <x:v>0</x:v>
      </x:c>
      <x:c r="AK169" s="460" t="n">
        <x:f>IF(P169&gt;0,AF169*S169,0)</x:f>
        <x:v>0</x:v>
      </x:c>
    </x:row>
    <x:row r="170" ht="22" customHeight="1">
      <x:c r="A170" s="643" t="str">
        <x:v>保守</x:v>
      </x:c>
      <x:c r="B170" s="648" t="n">
        <x:f>'114_降本系数'!B26</x:f>
        <x:v>0.35</x:v>
      </x:c>
      <x:c r="C170" s="643" t="str">
        <x:v>L2</x:v>
      </x:c>
      <x:c r="D170" s="648" t="n">
        <x:f>'130_联合算法'!C19</x:f>
        <x:v>0.05</x:v>
      </x:c>
      <x:c r="E170" s="647" t="n">
        <x:f>'117_价格概率传导'!A11</x:f>
        <x:v>219900</x:v>
      </x:c>
      <x:c r="F170" s="648" t="n">
        <x:f>'117_价格概率传导'!C11</x:f>
        <x:v>0.01</x:v>
      </x:c>
      <x:c r="G170" s="648" t="n">
        <x:f>SUM('117_价格概率传导'!$C$6:$C$10)</x:f>
        <x:v>0.99</x:v>
      </x:c>
      <x:c r="H170" s="648" t="n">
        <x:f>SUM('117_价格概率传导'!$C$6:$C$11)</x:f>
        <x:v>1</x:v>
      </x:c>
      <x:c r="I170" s="647" t="n">
        <x:f>'117_价格概率传导'!A17</x:f>
        <x:v>293900</x:v>
      </x:c>
      <x:c r="J170" s="648" t="n">
        <x:f>'117_价格概率传导'!C17</x:f>
        <x:v>0.06</x:v>
      </x:c>
      <x:c r="K170" s="648" t="n">
        <x:f>SUM('117_价格概率传导'!$C$16:$C$16)</x:f>
        <x:v>0.05</x:v>
      </x:c>
      <x:c r="L170" s="648" t="n">
        <x:f>SUM('117_价格概率传导'!$C$16:$C$17)</x:f>
        <x:v>0.11</x:v>
      </x:c>
      <x:c r="M170" s="648" t="n">
        <x:f>MAX(0,MIN(H170,L170)-MAX(G170,K170))</x:f>
        <x:v>0</x:v>
      </x:c>
      <x:c r="N170" s="648" t="n">
        <x:f>B170*D170*M170</x:f>
        <x:v>0</x:v>
      </x:c>
      <x:c r="O170" s="647" t="n">
        <x:f>MIN(299900,I170+20000)</x:f>
        <x:v>299900</x:v>
      </x:c>
      <x:c r="P170" s="647" t="str">
        <x:f>""</x:f>
      </x:c>
      <x:c r="Q170" s="647" t="n">
        <x:f>O170-20000</x:f>
        <x:v>279900</x:v>
      </x:c>
      <x:c r="R170" s="647" t="n">
        <x:f>O170-E170</x:f>
        <x:v>80000</x:v>
      </x:c>
      <x:c r="S170" s="647" t="str">
        <x:f>IF(P170&gt;0,P170-E170,"")</x:f>
      </x:c>
      <x:c r="T170" s="647" t="n">
        <x:f>IF(Q170&gt;0,Q170-E170,"")</x:f>
        <x:v>60000</x:v>
      </x:c>
      <x:c r="U170" s="648" t="n">
        <x:f>IF(R170&lt;30000,N170,0)</x:f>
        <x:v>0</x:v>
      </x:c>
      <x:c r="V170" s="648" t="n">
        <x:f>IF(P170&gt;0,N170,0)</x:f>
        <x:v>0</x:v>
      </x:c>
      <x:c r="W170" s="648" t="n">
        <x:f>IF(AND(P170&gt;0,S170&lt;0),N170,0)</x:f>
        <x:v>0</x:v>
      </x:c>
      <x:c r="X170" s="648" t="n">
        <x:f>IF(AND(P170&gt;0,S170=0),N170,0)</x:f>
        <x:v>0</x:v>
      </x:c>
      <x:c r="Y170" s="648" t="n">
        <x:f>IF(Q170&gt;0,N170,0)</x:f>
        <x:v>0</x:v>
      </x:c>
      <x:c r="Z170" s="647" t="n">
        <x:f>IF(P170&gt;0,N170*S170,0)</x:f>
        <x:v>0</x:v>
      </x:c>
      <x:c r="AA170" s="647" t="n">
        <x:f>IF(Q170&gt;0,N170*T170,0)</x:f>
        <x:v>0</x:v>
      </x:c>
      <x:c r="AB170" s="647" t="n">
        <x:f>N170*R170</x:f>
        <x:v>0</x:v>
      </x:c>
      <x:c r="AC170" s="647" t="n">
        <x:f>IF(N170&gt;0,R170,999999)</x:f>
        <x:v>999999</x:v>
      </x:c>
      <x:c r="AD170" s="647" t="n">
        <x:f>IF(AND(N170&gt;0,P170&gt;0),S170,999999)</x:f>
        <x:v>999999</x:v>
      </x:c>
      <x:c r="AE170" s="647" t="n">
        <x:f>IF(AND(N170&gt;0,Q170&gt;0),T170,999999)</x:f>
        <x:v>999999</x:v>
      </x:c>
      <x:c r="AF170" s="648" t="n">
        <x:f>B170*D170*F170*J170</x:f>
        <x:v>0.0000105</x:v>
      </x:c>
      <x:c r="AG170" s="648" t="n">
        <x:f>IF(P170&gt;0,AF170,0)</x:f>
        <x:v>0</x:v>
      </x:c>
      <x:c r="AH170" s="648" t="n">
        <x:f>IF(AND(P170&gt;0,S170&lt;0),AF170,0)</x:f>
        <x:v>0</x:v>
      </x:c>
      <x:c r="AI170" s="648" t="n">
        <x:f>IF(AND(P170&gt;0,S170=0),AF170,0)</x:f>
        <x:v>0</x:v>
      </x:c>
      <x:c r="AJ170" s="648" t="n">
        <x:f>IF(R170&lt;30000,AF170,0)</x:f>
        <x:v>0</x:v>
      </x:c>
      <x:c r="AK170" s="647" t="n">
        <x:f>IF(P170&gt;0,AF170*S170,0)</x:f>
        <x:v>0</x:v>
      </x:c>
    </x:row>
    <x:row r="171" ht="22" customHeight="1">
      <x:c r="A171" s="19" t="str">
        <x:v>保守</x:v>
      </x:c>
      <x:c r="B171" s="23" t="n">
        <x:f>'114_降本系数'!B26</x:f>
        <x:v>0.35</x:v>
      </x:c>
      <x:c r="C171" s="19" t="str">
        <x:v>L2</x:v>
      </x:c>
      <x:c r="D171" s="23" t="n">
        <x:f>'130_联合算法'!C19</x:f>
        <x:v>0.05</x:v>
      </x:c>
      <x:c r="E171" s="460" t="n">
        <x:f>'117_价格概率传导'!A11</x:f>
        <x:v>219900</x:v>
      </x:c>
      <x:c r="F171" s="23" t="n">
        <x:f>'117_价格概率传导'!C11</x:f>
        <x:v>0.01</x:v>
      </x:c>
      <x:c r="G171" s="23" t="n">
        <x:f>SUM('117_价格概率传导'!$C$6:$C$10)</x:f>
        <x:v>0.99</x:v>
      </x:c>
      <x:c r="H171" s="23" t="n">
        <x:f>SUM('117_价格概率传导'!$C$6:$C$11)</x:f>
        <x:v>1</x:v>
      </x:c>
      <x:c r="I171" s="460" t="n">
        <x:f>'117_价格概率传导'!A18</x:f>
        <x:v>289900</x:v>
      </x:c>
      <x:c r="J171" s="23" t="n">
        <x:f>'117_价格概率传导'!C18</x:f>
        <x:v>0.34</x:v>
      </x:c>
      <x:c r="K171" s="23" t="n">
        <x:f>SUM('117_价格概率传导'!$C$16:$C$17)</x:f>
        <x:v>0.11</x:v>
      </x:c>
      <x:c r="L171" s="23" t="n">
        <x:f>SUM('117_价格概率传导'!$C$16:$C$18)</x:f>
        <x:v>0.45</x:v>
      </x:c>
      <x:c r="M171" s="23" t="n">
        <x:f>MAX(0,MIN(H171,L171)-MAX(G171,K171))</x:f>
        <x:v>0</x:v>
      </x:c>
      <x:c r="N171" s="23" t="n">
        <x:f>B171*D171*M171</x:f>
        <x:v>0</x:v>
      </x:c>
      <x:c r="O171" s="460" t="n">
        <x:f>MIN(299900,I171+20000)</x:f>
        <x:v>299900</x:v>
      </x:c>
      <x:c r="P171" s="460" t="str">
        <x:f>""</x:f>
      </x:c>
      <x:c r="Q171" s="460" t="n">
        <x:f>O171-20000</x:f>
        <x:v>279900</x:v>
      </x:c>
      <x:c r="R171" s="460" t="n">
        <x:f>O171-E171</x:f>
        <x:v>80000</x:v>
      </x:c>
      <x:c r="S171" s="460" t="str">
        <x:f>IF(P171&gt;0,P171-E171,"")</x:f>
      </x:c>
      <x:c r="T171" s="460" t="n">
        <x:f>IF(Q171&gt;0,Q171-E171,"")</x:f>
        <x:v>60000</x:v>
      </x:c>
      <x:c r="U171" s="23" t="n">
        <x:f>IF(R171&lt;30000,N171,0)</x:f>
        <x:v>0</x:v>
      </x:c>
      <x:c r="V171" s="23" t="n">
        <x:f>IF(P171&gt;0,N171,0)</x:f>
        <x:v>0</x:v>
      </x:c>
      <x:c r="W171" s="23" t="n">
        <x:f>IF(AND(P171&gt;0,S171&lt;0),N171,0)</x:f>
        <x:v>0</x:v>
      </x:c>
      <x:c r="X171" s="23" t="n">
        <x:f>IF(AND(P171&gt;0,S171=0),N171,0)</x:f>
        <x:v>0</x:v>
      </x:c>
      <x:c r="Y171" s="23" t="n">
        <x:f>IF(Q171&gt;0,N171,0)</x:f>
        <x:v>0</x:v>
      </x:c>
      <x:c r="Z171" s="460" t="n">
        <x:f>IF(P171&gt;0,N171*S171,0)</x:f>
        <x:v>0</x:v>
      </x:c>
      <x:c r="AA171" s="460" t="n">
        <x:f>IF(Q171&gt;0,N171*T171,0)</x:f>
        <x:v>0</x:v>
      </x:c>
      <x:c r="AB171" s="460" t="n">
        <x:f>N171*R171</x:f>
        <x:v>0</x:v>
      </x:c>
      <x:c r="AC171" s="460" t="n">
        <x:f>IF(N171&gt;0,R171,999999)</x:f>
        <x:v>999999</x:v>
      </x:c>
      <x:c r="AD171" s="460" t="n">
        <x:f>IF(AND(N171&gt;0,P171&gt;0),S171,999999)</x:f>
        <x:v>999999</x:v>
      </x:c>
      <x:c r="AE171" s="460" t="n">
        <x:f>IF(AND(N171&gt;0,Q171&gt;0),T171,999999)</x:f>
        <x:v>999999</x:v>
      </x:c>
      <x:c r="AF171" s="23" t="n">
        <x:f>B171*D171*F171*J171</x:f>
        <x:v>0.0000595</x:v>
      </x:c>
      <x:c r="AG171" s="23" t="n">
        <x:f>IF(P171&gt;0,AF171,0)</x:f>
        <x:v>0</x:v>
      </x:c>
      <x:c r="AH171" s="23" t="n">
        <x:f>IF(AND(P171&gt;0,S171&lt;0),AF171,0)</x:f>
        <x:v>0</x:v>
      </x:c>
      <x:c r="AI171" s="23" t="n">
        <x:f>IF(AND(P171&gt;0,S171=0),AF171,0)</x:f>
        <x:v>0</x:v>
      </x:c>
      <x:c r="AJ171" s="23" t="n">
        <x:f>IF(R171&lt;30000,AF171,0)</x:f>
        <x:v>0</x:v>
      </x:c>
      <x:c r="AK171" s="460" t="n">
        <x:f>IF(P171&gt;0,AF171*S171,0)</x:f>
        <x:v>0</x:v>
      </x:c>
    </x:row>
    <x:row r="172" ht="22" customHeight="1">
      <x:c r="A172" s="643" t="str">
        <x:v>保守</x:v>
      </x:c>
      <x:c r="B172" s="648" t="n">
        <x:f>'114_降本系数'!B26</x:f>
        <x:v>0.35</x:v>
      </x:c>
      <x:c r="C172" s="643" t="str">
        <x:v>L2</x:v>
      </x:c>
      <x:c r="D172" s="648" t="n">
        <x:f>'130_联合算法'!C19</x:f>
        <x:v>0.05</x:v>
      </x:c>
      <x:c r="E172" s="647" t="n">
        <x:f>'117_价格概率传导'!A11</x:f>
        <x:v>219900</x:v>
      </x:c>
      <x:c r="F172" s="648" t="n">
        <x:f>'117_价格概率传导'!C11</x:f>
        <x:v>0.01</x:v>
      </x:c>
      <x:c r="G172" s="648" t="n">
        <x:f>SUM('117_价格概率传导'!$C$6:$C$10)</x:f>
        <x:v>0.99</x:v>
      </x:c>
      <x:c r="H172" s="648" t="n">
        <x:f>SUM('117_价格概率传导'!$C$6:$C$11)</x:f>
        <x:v>1</x:v>
      </x:c>
      <x:c r="I172" s="647" t="n">
        <x:f>'117_价格概率传导'!A19</x:f>
        <x:v>279900</x:v>
      </x:c>
      <x:c r="J172" s="648" t="n">
        <x:f>'117_价格概率传导'!C19</x:f>
        <x:v>0.39</x:v>
      </x:c>
      <x:c r="K172" s="648" t="n">
        <x:f>SUM('117_价格概率传导'!$C$16:$C$18)</x:f>
        <x:v>0.45</x:v>
      </x:c>
      <x:c r="L172" s="648" t="n">
        <x:f>SUM('117_价格概率传导'!$C$16:$C$19)</x:f>
        <x:v>0.8400000000000001</x:v>
      </x:c>
      <x:c r="M172" s="648" t="n">
        <x:f>MAX(0,MIN(H172,L172)-MAX(G172,K172))</x:f>
        <x:v>0</x:v>
      </x:c>
      <x:c r="N172" s="648" t="n">
        <x:f>B172*D172*M172</x:f>
        <x:v>0</x:v>
      </x:c>
      <x:c r="O172" s="647" t="n">
        <x:f>MIN(299900,I172+20000)</x:f>
        <x:v>299900</x:v>
      </x:c>
      <x:c r="P172" s="647" t="str">
        <x:f>""</x:f>
      </x:c>
      <x:c r="Q172" s="647" t="n">
        <x:f>O172-20000</x:f>
        <x:v>279900</x:v>
      </x:c>
      <x:c r="R172" s="647" t="n">
        <x:f>O172-E172</x:f>
        <x:v>80000</x:v>
      </x:c>
      <x:c r="S172" s="647" t="str">
        <x:f>IF(P172&gt;0,P172-E172,"")</x:f>
      </x:c>
      <x:c r="T172" s="647" t="n">
        <x:f>IF(Q172&gt;0,Q172-E172,"")</x:f>
        <x:v>60000</x:v>
      </x:c>
      <x:c r="U172" s="648" t="n">
        <x:f>IF(R172&lt;30000,N172,0)</x:f>
        <x:v>0</x:v>
      </x:c>
      <x:c r="V172" s="648" t="n">
        <x:f>IF(P172&gt;0,N172,0)</x:f>
        <x:v>0</x:v>
      </x:c>
      <x:c r="W172" s="648" t="n">
        <x:f>IF(AND(P172&gt;0,S172&lt;0),N172,0)</x:f>
        <x:v>0</x:v>
      </x:c>
      <x:c r="X172" s="648" t="n">
        <x:f>IF(AND(P172&gt;0,S172=0),N172,0)</x:f>
        <x:v>0</x:v>
      </x:c>
      <x:c r="Y172" s="648" t="n">
        <x:f>IF(Q172&gt;0,N172,0)</x:f>
        <x:v>0</x:v>
      </x:c>
      <x:c r="Z172" s="647" t="n">
        <x:f>IF(P172&gt;0,N172*S172,0)</x:f>
        <x:v>0</x:v>
      </x:c>
      <x:c r="AA172" s="647" t="n">
        <x:f>IF(Q172&gt;0,N172*T172,0)</x:f>
        <x:v>0</x:v>
      </x:c>
      <x:c r="AB172" s="647" t="n">
        <x:f>N172*R172</x:f>
        <x:v>0</x:v>
      </x:c>
      <x:c r="AC172" s="647" t="n">
        <x:f>IF(N172&gt;0,R172,999999)</x:f>
        <x:v>999999</x:v>
      </x:c>
      <x:c r="AD172" s="647" t="n">
        <x:f>IF(AND(N172&gt;0,P172&gt;0),S172,999999)</x:f>
        <x:v>999999</x:v>
      </x:c>
      <x:c r="AE172" s="647" t="n">
        <x:f>IF(AND(N172&gt;0,Q172&gt;0),T172,999999)</x:f>
        <x:v>999999</x:v>
      </x:c>
      <x:c r="AF172" s="648" t="n">
        <x:f>B172*D172*F172*J172</x:f>
        <x:v>0.00006825</x:v>
      </x:c>
      <x:c r="AG172" s="648" t="n">
        <x:f>IF(P172&gt;0,AF172,0)</x:f>
        <x:v>0</x:v>
      </x:c>
      <x:c r="AH172" s="648" t="n">
        <x:f>IF(AND(P172&gt;0,S172&lt;0),AF172,0)</x:f>
        <x:v>0</x:v>
      </x:c>
      <x:c r="AI172" s="648" t="n">
        <x:f>IF(AND(P172&gt;0,S172=0),AF172,0)</x:f>
        <x:v>0</x:v>
      </x:c>
      <x:c r="AJ172" s="648" t="n">
        <x:f>IF(R172&lt;30000,AF172,0)</x:f>
        <x:v>0</x:v>
      </x:c>
      <x:c r="AK172" s="647" t="n">
        <x:f>IF(P172&gt;0,AF172*S172,0)</x:f>
        <x:v>0</x:v>
      </x:c>
    </x:row>
    <x:row r="173" ht="22" customHeight="1">
      <x:c r="A173" s="19" t="str">
        <x:v>保守</x:v>
      </x:c>
      <x:c r="B173" s="23" t="n">
        <x:f>'114_降本系数'!B26</x:f>
        <x:v>0.35</x:v>
      </x:c>
      <x:c r="C173" s="19" t="str">
        <x:v>L2</x:v>
      </x:c>
      <x:c r="D173" s="23" t="n">
        <x:f>'130_联合算法'!C19</x:f>
        <x:v>0.05</x:v>
      </x:c>
      <x:c r="E173" s="460" t="n">
        <x:f>'117_价格概率传导'!A11</x:f>
        <x:v>219900</x:v>
      </x:c>
      <x:c r="F173" s="23" t="n">
        <x:f>'117_价格概率传导'!C11</x:f>
        <x:v>0.01</x:v>
      </x:c>
      <x:c r="G173" s="23" t="n">
        <x:f>SUM('117_价格概率传导'!$C$6:$C$10)</x:f>
        <x:v>0.99</x:v>
      </x:c>
      <x:c r="H173" s="23" t="n">
        <x:f>SUM('117_价格概率传导'!$C$6:$C$11)</x:f>
        <x:v>1</x:v>
      </x:c>
      <x:c r="I173" s="460" t="n">
        <x:f>'117_价格概率传导'!A20</x:f>
        <x:v>269900</x:v>
      </x:c>
      <x:c r="J173" s="23" t="n">
        <x:f>'117_价格概率传导'!C20</x:f>
        <x:v>0.13</x:v>
      </x:c>
      <x:c r="K173" s="23" t="n">
        <x:f>SUM('117_价格概率传导'!$C$16:$C$19)</x:f>
        <x:v>0.8400000000000001</x:v>
      </x:c>
      <x:c r="L173" s="23" t="n">
        <x:f>SUM('117_价格概率传导'!$C$16:$C$20)</x:f>
        <x:v>0.9700000000000001</x:v>
      </x:c>
      <x:c r="M173" s="23" t="n">
        <x:f>MAX(0,MIN(H173,L173)-MAX(G173,K173))</x:f>
        <x:v>0</x:v>
      </x:c>
      <x:c r="N173" s="23" t="n">
        <x:f>B173*D173*M173</x:f>
        <x:v>0</x:v>
      </x:c>
      <x:c r="O173" s="460" t="n">
        <x:f>MIN(299900,I173+20000)</x:f>
        <x:v>289900</x:v>
      </x:c>
      <x:c r="P173" s="460" t="str">
        <x:f>""</x:f>
      </x:c>
      <x:c r="Q173" s="460" t="n">
        <x:f>O173-20000</x:f>
        <x:v>269900</x:v>
      </x:c>
      <x:c r="R173" s="460" t="n">
        <x:f>O173-E173</x:f>
        <x:v>70000</x:v>
      </x:c>
      <x:c r="S173" s="460" t="str">
        <x:f>IF(P173&gt;0,P173-E173,"")</x:f>
      </x:c>
      <x:c r="T173" s="460" t="n">
        <x:f>IF(Q173&gt;0,Q173-E173,"")</x:f>
        <x:v>50000</x:v>
      </x:c>
      <x:c r="U173" s="23" t="n">
        <x:f>IF(R173&lt;30000,N173,0)</x:f>
        <x:v>0</x:v>
      </x:c>
      <x:c r="V173" s="23" t="n">
        <x:f>IF(P173&gt;0,N173,0)</x:f>
        <x:v>0</x:v>
      </x:c>
      <x:c r="W173" s="23" t="n">
        <x:f>IF(AND(P173&gt;0,S173&lt;0),N173,0)</x:f>
        <x:v>0</x:v>
      </x:c>
      <x:c r="X173" s="23" t="n">
        <x:f>IF(AND(P173&gt;0,S173=0),N173,0)</x:f>
        <x:v>0</x:v>
      </x:c>
      <x:c r="Y173" s="23" t="n">
        <x:f>IF(Q173&gt;0,N173,0)</x:f>
        <x:v>0</x:v>
      </x:c>
      <x:c r="Z173" s="460" t="n">
        <x:f>IF(P173&gt;0,N173*S173,0)</x:f>
        <x:v>0</x:v>
      </x:c>
      <x:c r="AA173" s="460" t="n">
        <x:f>IF(Q173&gt;0,N173*T173,0)</x:f>
        <x:v>0</x:v>
      </x:c>
      <x:c r="AB173" s="460" t="n">
        <x:f>N173*R173</x:f>
        <x:v>0</x:v>
      </x:c>
      <x:c r="AC173" s="460" t="n">
        <x:f>IF(N173&gt;0,R173,999999)</x:f>
        <x:v>999999</x:v>
      </x:c>
      <x:c r="AD173" s="460" t="n">
        <x:f>IF(AND(N173&gt;0,P173&gt;0),S173,999999)</x:f>
        <x:v>999999</x:v>
      </x:c>
      <x:c r="AE173" s="460" t="n">
        <x:f>IF(AND(N173&gt;0,Q173&gt;0),T173,999999)</x:f>
        <x:v>999999</x:v>
      </x:c>
      <x:c r="AF173" s="23" t="n">
        <x:f>B173*D173*F173*J173</x:f>
        <x:v>0.00002275</x:v>
      </x:c>
      <x:c r="AG173" s="23" t="n">
        <x:f>IF(P173&gt;0,AF173,0)</x:f>
        <x:v>0</x:v>
      </x:c>
      <x:c r="AH173" s="23" t="n">
        <x:f>IF(AND(P173&gt;0,S173&lt;0),AF173,0)</x:f>
        <x:v>0</x:v>
      </x:c>
      <x:c r="AI173" s="23" t="n">
        <x:f>IF(AND(P173&gt;0,S173=0),AF173,0)</x:f>
        <x:v>0</x:v>
      </x:c>
      <x:c r="AJ173" s="23" t="n">
        <x:f>IF(R173&lt;30000,AF173,0)</x:f>
        <x:v>0</x:v>
      </x:c>
      <x:c r="AK173" s="460" t="n">
        <x:f>IF(P173&gt;0,AF173*S173,0)</x:f>
        <x:v>0</x:v>
      </x:c>
    </x:row>
    <x:row r="174" ht="22" customHeight="1">
      <x:c r="A174" s="643" t="str">
        <x:v>保守</x:v>
      </x:c>
      <x:c r="B174" s="648" t="n">
        <x:f>'114_降本系数'!B26</x:f>
        <x:v>0.35</x:v>
      </x:c>
      <x:c r="C174" s="643" t="str">
        <x:v>L2</x:v>
      </x:c>
      <x:c r="D174" s="648" t="n">
        <x:f>'130_联合算法'!C19</x:f>
        <x:v>0.05</x:v>
      </x:c>
      <x:c r="E174" s="647" t="n">
        <x:f>'117_价格概率传导'!A11</x:f>
        <x:v>219900</x:v>
      </x:c>
      <x:c r="F174" s="648" t="n">
        <x:f>'117_价格概率传导'!C11</x:f>
        <x:v>0.01</x:v>
      </x:c>
      <x:c r="G174" s="648" t="n">
        <x:f>SUM('117_价格概率传导'!$C$6:$C$10)</x:f>
        <x:v>0.99</x:v>
      </x:c>
      <x:c r="H174" s="648" t="n">
        <x:f>SUM('117_价格概率传导'!$C$6:$C$11)</x:f>
        <x:v>1</x:v>
      </x:c>
      <x:c r="I174" s="647" t="n">
        <x:f>'117_价格概率传导'!A21</x:f>
        <x:v>259900</x:v>
      </x:c>
      <x:c r="J174" s="648" t="n">
        <x:f>'117_价格概率传导'!C21</x:f>
        <x:v>0.03</x:v>
      </x:c>
      <x:c r="K174" s="648" t="n">
        <x:f>SUM('117_价格概率传导'!$C$16:$C$20)</x:f>
        <x:v>0.9700000000000001</x:v>
      </x:c>
      <x:c r="L174" s="648" t="n">
        <x:f>SUM('117_价格概率传导'!$C$16:$C$21)</x:f>
        <x:v>1</x:v>
      </x:c>
      <x:c r="M174" s="648" t="n">
        <x:f>MAX(0,MIN(H174,L174)-MAX(G174,K174))</x:f>
        <x:v>0.010000000000000009</x:v>
      </x:c>
      <x:c r="N174" s="648" t="n">
        <x:f>B174*D174*M174</x:f>
        <x:v>0.00017500000000000013</x:v>
      </x:c>
      <x:c r="O174" s="647" t="n">
        <x:f>MIN(299900,I174+20000)</x:f>
        <x:v>279900</x:v>
      </x:c>
      <x:c r="P174" s="647" t="str">
        <x:f>""</x:f>
      </x:c>
      <x:c r="Q174" s="647" t="n">
        <x:f>O174-20000</x:f>
        <x:v>259900</x:v>
      </x:c>
      <x:c r="R174" s="647" t="n">
        <x:f>O174-E174</x:f>
        <x:v>60000</x:v>
      </x:c>
      <x:c r="S174" s="647" t="str">
        <x:f>IF(P174&gt;0,P174-E174,"")</x:f>
      </x:c>
      <x:c r="T174" s="647" t="n">
        <x:f>IF(Q174&gt;0,Q174-E174,"")</x:f>
        <x:v>40000</x:v>
      </x:c>
      <x:c r="U174" s="648" t="n">
        <x:f>IF(R174&lt;30000,N174,0)</x:f>
        <x:v>0</x:v>
      </x:c>
      <x:c r="V174" s="648" t="n">
        <x:f>IF(P174&gt;0,N174,0)</x:f>
        <x:v>0</x:v>
      </x:c>
      <x:c r="W174" s="648" t="n">
        <x:f>IF(AND(P174&gt;0,S174&lt;0),N174,0)</x:f>
        <x:v>0</x:v>
      </x:c>
      <x:c r="X174" s="648" t="n">
        <x:f>IF(AND(P174&gt;0,S174=0),N174,0)</x:f>
        <x:v>0</x:v>
      </x:c>
      <x:c r="Y174" s="648" t="n">
        <x:f>IF(Q174&gt;0,N174,0)</x:f>
        <x:v>0.00017500000000000013</x:v>
      </x:c>
      <x:c r="Z174" s="647" t="n">
        <x:f>IF(P174&gt;0,N174*S174,0)</x:f>
        <x:v>0</x:v>
      </x:c>
      <x:c r="AA174" s="647" t="n">
        <x:f>IF(Q174&gt;0,N174*T174,0)</x:f>
        <x:v>7.000000000000005</x:v>
      </x:c>
      <x:c r="AB174" s="647" t="n">
        <x:f>N174*R174</x:f>
        <x:v>10.500000000000009</x:v>
      </x:c>
      <x:c r="AC174" s="647" t="n">
        <x:f>IF(N174&gt;0,R174,999999)</x:f>
        <x:v>60000</x:v>
      </x:c>
      <x:c r="AD174" s="647" t="n">
        <x:f>IF(AND(N174&gt;0,P174&gt;0),S174,999999)</x:f>
        <x:v>999999</x:v>
      </x:c>
      <x:c r="AE174" s="647" t="n">
        <x:f>IF(AND(N174&gt;0,Q174&gt;0),T174,999999)</x:f>
        <x:v>40000</x:v>
      </x:c>
      <x:c r="AF174" s="648" t="n">
        <x:f>B174*D174*F174*J174</x:f>
        <x:v>0.00000525</x:v>
      </x:c>
      <x:c r="AG174" s="648" t="n">
        <x:f>IF(P174&gt;0,AF174,0)</x:f>
        <x:v>0</x:v>
      </x:c>
      <x:c r="AH174" s="648" t="n">
        <x:f>IF(AND(P174&gt;0,S174&lt;0),AF174,0)</x:f>
        <x:v>0</x:v>
      </x:c>
      <x:c r="AI174" s="648" t="n">
        <x:f>IF(AND(P174&gt;0,S174=0),AF174,0)</x:f>
        <x:v>0</x:v>
      </x:c>
      <x:c r="AJ174" s="648" t="n">
        <x:f>IF(R174&lt;30000,AF174,0)</x:f>
        <x:v>0</x:v>
      </x:c>
      <x:c r="AK174" s="647" t="n">
        <x:f>IF(P174&gt;0,AF174*S174,0)</x:f>
        <x:v>0</x:v>
      </x:c>
    </x:row>
    <x:row r="175" ht="22" customHeight="1">
      <x:c r="A175" s="19" t="str">
        <x:v>保守</x:v>
      </x:c>
      <x:c r="B175" s="23" t="n">
        <x:f>'114_降本系数'!B26</x:f>
        <x:v>0.35</x:v>
      </x:c>
      <x:c r="C175" s="19" t="str">
        <x:v>L3</x:v>
      </x:c>
      <x:c r="D175" s="23" t="n">
        <x:f>'130_联合算法'!C20</x:f>
        <x:v>0.1</x:v>
      </x:c>
      <x:c r="E175" s="460" t="n">
        <x:f>'117_价格概率传导'!A6</x:f>
        <x:v>259900</x:v>
      </x:c>
      <x:c r="F175" s="23" t="n">
        <x:f>'117_价格概率传导'!C6</x:f>
        <x:v>0.06</x:v>
      </x:c>
      <x:c r="G175" s="23" t="n">
        <x:f>0</x:f>
        <x:v>0</x:v>
      </x:c>
      <x:c r="H175" s="23" t="n">
        <x:f>SUM('117_价格概率传导'!$C$6:$C$6)</x:f>
        <x:v>0.06</x:v>
      </x:c>
      <x:c r="I175" s="460" t="n">
        <x:f>'117_价格概率传导'!A16</x:f>
        <x:v>299900</x:v>
      </x:c>
      <x:c r="J175" s="23" t="n">
        <x:f>'117_价格概率传导'!C16</x:f>
        <x:v>0.05</x:v>
      </x:c>
      <x:c r="K175" s="23" t="n">
        <x:f>0</x:f>
        <x:v>0</x:v>
      </x:c>
      <x:c r="L175" s="23" t="n">
        <x:f>SUM('117_价格概率传导'!$C$16:$C$16)</x:f>
        <x:v>0.05</x:v>
      </x:c>
      <x:c r="M175" s="23" t="n">
        <x:f>MAX(0,MIN(H175,L175)-MAX(G175,K175))</x:f>
        <x:v>0.05</x:v>
      </x:c>
      <x:c r="N175" s="23" t="n">
        <x:f>B175*D175*M175</x:f>
        <x:v>0.0017499999999999998</x:v>
      </x:c>
      <x:c r="O175" s="460" t="n">
        <x:f>MIN(299900,I175+20000)</x:f>
        <x:v>299900</x:v>
      </x:c>
      <x:c r="P175" s="460" t="n">
        <x:f>O175-40000</x:f>
        <x:v>259900</x:v>
      </x:c>
      <x:c r="Q175" s="460" t="n">
        <x:f>O175-20000</x:f>
        <x:v>279900</x:v>
      </x:c>
      <x:c r="R175" s="460" t="n">
        <x:f>O175-E175</x:f>
        <x:v>40000</x:v>
      </x:c>
      <x:c r="S175" s="460" t="n">
        <x:f>IF(P175&gt;0,P175-E175,"")</x:f>
        <x:v>0</x:v>
      </x:c>
      <x:c r="T175" s="460" t="n">
        <x:f>IF(Q175&gt;0,Q175-E175,"")</x:f>
        <x:v>20000</x:v>
      </x:c>
      <x:c r="U175" s="23" t="n">
        <x:f>IF(R175&lt;30000,N175,0)</x:f>
        <x:v>0</x:v>
      </x:c>
      <x:c r="V175" s="23" t="n">
        <x:f>IF(P175&gt;0,N175,0)</x:f>
        <x:v>0.0017499999999999998</x:v>
      </x:c>
      <x:c r="W175" s="23" t="n">
        <x:f>IF(AND(P175&gt;0,S175&lt;0),N175,0)</x:f>
        <x:v>0</x:v>
      </x:c>
      <x:c r="X175" s="23" t="n">
        <x:f>IF(AND(P175&gt;0,S175=0),N175,0)</x:f>
        <x:v>0.0017499999999999998</x:v>
      </x:c>
      <x:c r="Y175" s="23" t="n">
        <x:f>IF(Q175&gt;0,N175,0)</x:f>
        <x:v>0.0017499999999999998</x:v>
      </x:c>
      <x:c r="Z175" s="460" t="n">
        <x:f>IF(P175&gt;0,N175*S175,0)</x:f>
        <x:v>0</x:v>
      </x:c>
      <x:c r="AA175" s="460" t="n">
        <x:f>IF(Q175&gt;0,N175*T175,0)</x:f>
        <x:v>34.99999999999999</x:v>
      </x:c>
      <x:c r="AB175" s="460" t="n">
        <x:f>N175*R175</x:f>
        <x:v>69.99999999999999</x:v>
      </x:c>
      <x:c r="AC175" s="460" t="n">
        <x:f>IF(N175&gt;0,R175,999999)</x:f>
        <x:v>40000</x:v>
      </x:c>
      <x:c r="AD175" s="460" t="n">
        <x:f>IF(AND(N175&gt;0,P175&gt;0),S175,999999)</x:f>
        <x:v>0</x:v>
      </x:c>
      <x:c r="AE175" s="460" t="n">
        <x:f>IF(AND(N175&gt;0,Q175&gt;0),T175,999999)</x:f>
        <x:v>20000</x:v>
      </x:c>
      <x:c r="AF175" s="23" t="n">
        <x:f>B175*D175*F175*J175</x:f>
        <x:v>0.000105</x:v>
      </x:c>
      <x:c r="AG175" s="23" t="n">
        <x:f>IF(P175&gt;0,AF175,0)</x:f>
        <x:v>0.000105</x:v>
      </x:c>
      <x:c r="AH175" s="23" t="n">
        <x:f>IF(AND(P175&gt;0,S175&lt;0),AF175,0)</x:f>
        <x:v>0</x:v>
      </x:c>
      <x:c r="AI175" s="23" t="n">
        <x:f>IF(AND(P175&gt;0,S175=0),AF175,0)</x:f>
        <x:v>0.000105</x:v>
      </x:c>
      <x:c r="AJ175" s="23" t="n">
        <x:f>IF(R175&lt;30000,AF175,0)</x:f>
        <x:v>0</x:v>
      </x:c>
      <x:c r="AK175" s="460" t="n">
        <x:f>IF(P175&gt;0,AF175*S175,0)</x:f>
        <x:v>0</x:v>
      </x:c>
    </x:row>
    <x:row r="176" ht="22" customHeight="1">
      <x:c r="A176" s="643" t="str">
        <x:v>保守</x:v>
      </x:c>
      <x:c r="B176" s="648" t="n">
        <x:f>'114_降本系数'!B26</x:f>
        <x:v>0.35</x:v>
      </x:c>
      <x:c r="C176" s="643" t="str">
        <x:v>L3</x:v>
      </x:c>
      <x:c r="D176" s="648" t="n">
        <x:f>'130_联合算法'!C20</x:f>
        <x:v>0.1</x:v>
      </x:c>
      <x:c r="E176" s="647" t="n">
        <x:f>'117_价格概率传导'!A6</x:f>
        <x:v>259900</x:v>
      </x:c>
      <x:c r="F176" s="648" t="n">
        <x:f>'117_价格概率传导'!C6</x:f>
        <x:v>0.06</x:v>
      </x:c>
      <x:c r="G176" s="648" t="n">
        <x:f>0</x:f>
        <x:v>0</x:v>
      </x:c>
      <x:c r="H176" s="648" t="n">
        <x:f>SUM('117_价格概率传导'!$C$6:$C$6)</x:f>
        <x:v>0.06</x:v>
      </x:c>
      <x:c r="I176" s="647" t="n">
        <x:f>'117_价格概率传导'!A17</x:f>
        <x:v>293900</x:v>
      </x:c>
      <x:c r="J176" s="648" t="n">
        <x:f>'117_价格概率传导'!C17</x:f>
        <x:v>0.06</x:v>
      </x:c>
      <x:c r="K176" s="648" t="n">
        <x:f>SUM('117_价格概率传导'!$C$16:$C$16)</x:f>
        <x:v>0.05</x:v>
      </x:c>
      <x:c r="L176" s="648" t="n">
        <x:f>SUM('117_价格概率传导'!$C$16:$C$17)</x:f>
        <x:v>0.11</x:v>
      </x:c>
      <x:c r="M176" s="648" t="n">
        <x:f>MAX(0,MIN(H176,L176)-MAX(G176,K176))</x:f>
        <x:v>0.009999999999999995</x:v>
      </x:c>
      <x:c r="N176" s="648" t="n">
        <x:f>B176*D176*M176</x:f>
        <x:v>0.0003499999999999998</x:v>
      </x:c>
      <x:c r="O176" s="647" t="n">
        <x:f>MIN(299900,I176+20000)</x:f>
        <x:v>299900</x:v>
      </x:c>
      <x:c r="P176" s="647" t="n">
        <x:f>O176-40000</x:f>
        <x:v>259900</x:v>
      </x:c>
      <x:c r="Q176" s="647" t="n">
        <x:f>O176-20000</x:f>
        <x:v>279900</x:v>
      </x:c>
      <x:c r="R176" s="647" t="n">
        <x:f>O176-E176</x:f>
        <x:v>40000</x:v>
      </x:c>
      <x:c r="S176" s="647" t="n">
        <x:f>IF(P176&gt;0,P176-E176,"")</x:f>
        <x:v>0</x:v>
      </x:c>
      <x:c r="T176" s="647" t="n">
        <x:f>IF(Q176&gt;0,Q176-E176,"")</x:f>
        <x:v>20000</x:v>
      </x:c>
      <x:c r="U176" s="648" t="n">
        <x:f>IF(R176&lt;30000,N176,0)</x:f>
        <x:v>0</x:v>
      </x:c>
      <x:c r="V176" s="648" t="n">
        <x:f>IF(P176&gt;0,N176,0)</x:f>
        <x:v>0.0003499999999999998</x:v>
      </x:c>
      <x:c r="W176" s="648" t="n">
        <x:f>IF(AND(P176&gt;0,S176&lt;0),N176,0)</x:f>
        <x:v>0</x:v>
      </x:c>
      <x:c r="X176" s="648" t="n">
        <x:f>IF(AND(P176&gt;0,S176=0),N176,0)</x:f>
        <x:v>0.0003499999999999998</x:v>
      </x:c>
      <x:c r="Y176" s="648" t="n">
        <x:f>IF(Q176&gt;0,N176,0)</x:f>
        <x:v>0.0003499999999999998</x:v>
      </x:c>
      <x:c r="Z176" s="647" t="n">
        <x:f>IF(P176&gt;0,N176*S176,0)</x:f>
        <x:v>0</x:v>
      </x:c>
      <x:c r="AA176" s="647" t="n">
        <x:f>IF(Q176&gt;0,N176*T176,0)</x:f>
        <x:v>6.999999999999996</x:v>
      </x:c>
      <x:c r="AB176" s="647" t="n">
        <x:f>N176*R176</x:f>
        <x:v>13.999999999999991</x:v>
      </x:c>
      <x:c r="AC176" s="647" t="n">
        <x:f>IF(N176&gt;0,R176,999999)</x:f>
        <x:v>40000</x:v>
      </x:c>
      <x:c r="AD176" s="647" t="n">
        <x:f>IF(AND(N176&gt;0,P176&gt;0),S176,999999)</x:f>
        <x:v>0</x:v>
      </x:c>
      <x:c r="AE176" s="647" t="n">
        <x:f>IF(AND(N176&gt;0,Q176&gt;0),T176,999999)</x:f>
        <x:v>20000</x:v>
      </x:c>
      <x:c r="AF176" s="648" t="n">
        <x:f>B176*D176*F176*J176</x:f>
        <x:v>0.000126</x:v>
      </x:c>
      <x:c r="AG176" s="648" t="n">
        <x:f>IF(P176&gt;0,AF176,0)</x:f>
        <x:v>0.000126</x:v>
      </x:c>
      <x:c r="AH176" s="648" t="n">
        <x:f>IF(AND(P176&gt;0,S176&lt;0),AF176,0)</x:f>
        <x:v>0</x:v>
      </x:c>
      <x:c r="AI176" s="648" t="n">
        <x:f>IF(AND(P176&gt;0,S176=0),AF176,0)</x:f>
        <x:v>0.000126</x:v>
      </x:c>
      <x:c r="AJ176" s="648" t="n">
        <x:f>IF(R176&lt;30000,AF176,0)</x:f>
        <x:v>0</x:v>
      </x:c>
      <x:c r="AK176" s="647" t="n">
        <x:f>IF(P176&gt;0,AF176*S176,0)</x:f>
        <x:v>0</x:v>
      </x:c>
    </x:row>
    <x:row r="177" ht="22" customHeight="1">
      <x:c r="A177" s="19" t="str">
        <x:v>保守</x:v>
      </x:c>
      <x:c r="B177" s="23" t="n">
        <x:f>'114_降本系数'!B26</x:f>
        <x:v>0.35</x:v>
      </x:c>
      <x:c r="C177" s="19" t="str">
        <x:v>L3</x:v>
      </x:c>
      <x:c r="D177" s="23" t="n">
        <x:f>'130_联合算法'!C20</x:f>
        <x:v>0.1</x:v>
      </x:c>
      <x:c r="E177" s="460" t="n">
        <x:f>'117_价格概率传导'!A6</x:f>
        <x:v>259900</x:v>
      </x:c>
      <x:c r="F177" s="23" t="n">
        <x:f>'117_价格概率传导'!C6</x:f>
        <x:v>0.06</x:v>
      </x:c>
      <x:c r="G177" s="23" t="n">
        <x:f>0</x:f>
        <x:v>0</x:v>
      </x:c>
      <x:c r="H177" s="23" t="n">
        <x:f>SUM('117_价格概率传导'!$C$6:$C$6)</x:f>
        <x:v>0.06</x:v>
      </x:c>
      <x:c r="I177" s="460" t="n">
        <x:f>'117_价格概率传导'!A18</x:f>
        <x:v>289900</x:v>
      </x:c>
      <x:c r="J177" s="23" t="n">
        <x:f>'117_价格概率传导'!C18</x:f>
        <x:v>0.34</x:v>
      </x:c>
      <x:c r="K177" s="23" t="n">
        <x:f>SUM('117_价格概率传导'!$C$16:$C$17)</x:f>
        <x:v>0.11</x:v>
      </x:c>
      <x:c r="L177" s="23" t="n">
        <x:f>SUM('117_价格概率传导'!$C$16:$C$18)</x:f>
        <x:v>0.45</x:v>
      </x:c>
      <x:c r="M177" s="23" t="n">
        <x:f>MAX(0,MIN(H177,L177)-MAX(G177,K177))</x:f>
        <x:v>0</x:v>
      </x:c>
      <x:c r="N177" s="23" t="n">
        <x:f>B177*D177*M177</x:f>
        <x:v>0</x:v>
      </x:c>
      <x:c r="O177" s="460" t="n">
        <x:f>MIN(299900,I177+20000)</x:f>
        <x:v>299900</x:v>
      </x:c>
      <x:c r="P177" s="460" t="n">
        <x:f>O177-40000</x:f>
        <x:v>259900</x:v>
      </x:c>
      <x:c r="Q177" s="460" t="n">
        <x:f>O177-20000</x:f>
        <x:v>279900</x:v>
      </x:c>
      <x:c r="R177" s="460" t="n">
        <x:f>O177-E177</x:f>
        <x:v>40000</x:v>
      </x:c>
      <x:c r="S177" s="460" t="n">
        <x:f>IF(P177&gt;0,P177-E177,"")</x:f>
        <x:v>0</x:v>
      </x:c>
      <x:c r="T177" s="460" t="n">
        <x:f>IF(Q177&gt;0,Q177-E177,"")</x:f>
        <x:v>20000</x:v>
      </x:c>
      <x:c r="U177" s="23" t="n">
        <x:f>IF(R177&lt;30000,N177,0)</x:f>
        <x:v>0</x:v>
      </x:c>
      <x:c r="V177" s="23" t="n">
        <x:f>IF(P177&gt;0,N177,0)</x:f>
        <x:v>0</x:v>
      </x:c>
      <x:c r="W177" s="23" t="n">
        <x:f>IF(AND(P177&gt;0,S177&lt;0),N177,0)</x:f>
        <x:v>0</x:v>
      </x:c>
      <x:c r="X177" s="23" t="n">
        <x:f>IF(AND(P177&gt;0,S177=0),N177,0)</x:f>
        <x:v>0</x:v>
      </x:c>
      <x:c r="Y177" s="23" t="n">
        <x:f>IF(Q177&gt;0,N177,0)</x:f>
        <x:v>0</x:v>
      </x:c>
      <x:c r="Z177" s="460" t="n">
        <x:f>IF(P177&gt;0,N177*S177,0)</x:f>
        <x:v>0</x:v>
      </x:c>
      <x:c r="AA177" s="460" t="n">
        <x:f>IF(Q177&gt;0,N177*T177,0)</x:f>
        <x:v>0</x:v>
      </x:c>
      <x:c r="AB177" s="460" t="n">
        <x:f>N177*R177</x:f>
        <x:v>0</x:v>
      </x:c>
      <x:c r="AC177" s="460" t="n">
        <x:f>IF(N177&gt;0,R177,999999)</x:f>
        <x:v>999999</x:v>
      </x:c>
      <x:c r="AD177" s="460" t="n">
        <x:f>IF(AND(N177&gt;0,P177&gt;0),S177,999999)</x:f>
        <x:v>999999</x:v>
      </x:c>
      <x:c r="AE177" s="460" t="n">
        <x:f>IF(AND(N177&gt;0,Q177&gt;0),T177,999999)</x:f>
        <x:v>999999</x:v>
      </x:c>
      <x:c r="AF177" s="23" t="n">
        <x:f>B177*D177*F177*J177</x:f>
        <x:v>0.000714</x:v>
      </x:c>
      <x:c r="AG177" s="23" t="n">
        <x:f>IF(P177&gt;0,AF177,0)</x:f>
        <x:v>0.000714</x:v>
      </x:c>
      <x:c r="AH177" s="23" t="n">
        <x:f>IF(AND(P177&gt;0,S177&lt;0),AF177,0)</x:f>
        <x:v>0</x:v>
      </x:c>
      <x:c r="AI177" s="23" t="n">
        <x:f>IF(AND(P177&gt;0,S177=0),AF177,0)</x:f>
        <x:v>0.000714</x:v>
      </x:c>
      <x:c r="AJ177" s="23" t="n">
        <x:f>IF(R177&lt;30000,AF177,0)</x:f>
        <x:v>0</x:v>
      </x:c>
      <x:c r="AK177" s="460" t="n">
        <x:f>IF(P177&gt;0,AF177*S177,0)</x:f>
        <x:v>0</x:v>
      </x:c>
    </x:row>
    <x:row r="178" ht="22" customHeight="1">
      <x:c r="A178" s="643" t="str">
        <x:v>保守</x:v>
      </x:c>
      <x:c r="B178" s="648" t="n">
        <x:f>'114_降本系数'!B26</x:f>
        <x:v>0.35</x:v>
      </x:c>
      <x:c r="C178" s="643" t="str">
        <x:v>L3</x:v>
      </x:c>
      <x:c r="D178" s="648" t="n">
        <x:f>'130_联合算法'!C20</x:f>
        <x:v>0.1</x:v>
      </x:c>
      <x:c r="E178" s="647" t="n">
        <x:f>'117_价格概率传导'!A6</x:f>
        <x:v>259900</x:v>
      </x:c>
      <x:c r="F178" s="648" t="n">
        <x:f>'117_价格概率传导'!C6</x:f>
        <x:v>0.06</x:v>
      </x:c>
      <x:c r="G178" s="648" t="n">
        <x:f>0</x:f>
        <x:v>0</x:v>
      </x:c>
      <x:c r="H178" s="648" t="n">
        <x:f>SUM('117_价格概率传导'!$C$6:$C$6)</x:f>
        <x:v>0.06</x:v>
      </x:c>
      <x:c r="I178" s="647" t="n">
        <x:f>'117_价格概率传导'!A19</x:f>
        <x:v>279900</x:v>
      </x:c>
      <x:c r="J178" s="648" t="n">
        <x:f>'117_价格概率传导'!C19</x:f>
        <x:v>0.39</x:v>
      </x:c>
      <x:c r="K178" s="648" t="n">
        <x:f>SUM('117_价格概率传导'!$C$16:$C$18)</x:f>
        <x:v>0.45</x:v>
      </x:c>
      <x:c r="L178" s="648" t="n">
        <x:f>SUM('117_价格概率传导'!$C$16:$C$19)</x:f>
        <x:v>0.8400000000000001</x:v>
      </x:c>
      <x:c r="M178" s="648" t="n">
        <x:f>MAX(0,MIN(H178,L178)-MAX(G178,K178))</x:f>
        <x:v>0</x:v>
      </x:c>
      <x:c r="N178" s="648" t="n">
        <x:f>B178*D178*M178</x:f>
        <x:v>0</x:v>
      </x:c>
      <x:c r="O178" s="647" t="n">
        <x:f>MIN(299900,I178+20000)</x:f>
        <x:v>299900</x:v>
      </x:c>
      <x:c r="P178" s="647" t="n">
        <x:f>O178-40000</x:f>
        <x:v>259900</x:v>
      </x:c>
      <x:c r="Q178" s="647" t="n">
        <x:f>O178-20000</x:f>
        <x:v>279900</x:v>
      </x:c>
      <x:c r="R178" s="647" t="n">
        <x:f>O178-E178</x:f>
        <x:v>40000</x:v>
      </x:c>
      <x:c r="S178" s="647" t="n">
        <x:f>IF(P178&gt;0,P178-E178,"")</x:f>
        <x:v>0</x:v>
      </x:c>
      <x:c r="T178" s="647" t="n">
        <x:f>IF(Q178&gt;0,Q178-E178,"")</x:f>
        <x:v>20000</x:v>
      </x:c>
      <x:c r="U178" s="648" t="n">
        <x:f>IF(R178&lt;30000,N178,0)</x:f>
        <x:v>0</x:v>
      </x:c>
      <x:c r="V178" s="648" t="n">
        <x:f>IF(P178&gt;0,N178,0)</x:f>
        <x:v>0</x:v>
      </x:c>
      <x:c r="W178" s="648" t="n">
        <x:f>IF(AND(P178&gt;0,S178&lt;0),N178,0)</x:f>
        <x:v>0</x:v>
      </x:c>
      <x:c r="X178" s="648" t="n">
        <x:f>IF(AND(P178&gt;0,S178=0),N178,0)</x:f>
        <x:v>0</x:v>
      </x:c>
      <x:c r="Y178" s="648" t="n">
        <x:f>IF(Q178&gt;0,N178,0)</x:f>
        <x:v>0</x:v>
      </x:c>
      <x:c r="Z178" s="647" t="n">
        <x:f>IF(P178&gt;0,N178*S178,0)</x:f>
        <x:v>0</x:v>
      </x:c>
      <x:c r="AA178" s="647" t="n">
        <x:f>IF(Q178&gt;0,N178*T178,0)</x:f>
        <x:v>0</x:v>
      </x:c>
      <x:c r="AB178" s="647" t="n">
        <x:f>N178*R178</x:f>
        <x:v>0</x:v>
      </x:c>
      <x:c r="AC178" s="647" t="n">
        <x:f>IF(N178&gt;0,R178,999999)</x:f>
        <x:v>999999</x:v>
      </x:c>
      <x:c r="AD178" s="647" t="n">
        <x:f>IF(AND(N178&gt;0,P178&gt;0),S178,999999)</x:f>
        <x:v>999999</x:v>
      </x:c>
      <x:c r="AE178" s="647" t="n">
        <x:f>IF(AND(N178&gt;0,Q178&gt;0),T178,999999)</x:f>
        <x:v>999999</x:v>
      </x:c>
      <x:c r="AF178" s="648" t="n">
        <x:f>B178*D178*F178*J178</x:f>
        <x:v>0.000819</x:v>
      </x:c>
      <x:c r="AG178" s="648" t="n">
        <x:f>IF(P178&gt;0,AF178,0)</x:f>
        <x:v>0.000819</x:v>
      </x:c>
      <x:c r="AH178" s="648" t="n">
        <x:f>IF(AND(P178&gt;0,S178&lt;0),AF178,0)</x:f>
        <x:v>0</x:v>
      </x:c>
      <x:c r="AI178" s="648" t="n">
        <x:f>IF(AND(P178&gt;0,S178=0),AF178,0)</x:f>
        <x:v>0.000819</x:v>
      </x:c>
      <x:c r="AJ178" s="648" t="n">
        <x:f>IF(R178&lt;30000,AF178,0)</x:f>
        <x:v>0</x:v>
      </x:c>
      <x:c r="AK178" s="647" t="n">
        <x:f>IF(P178&gt;0,AF178*S178,0)</x:f>
        <x:v>0</x:v>
      </x:c>
    </x:row>
    <x:row r="179" ht="22" customHeight="1">
      <x:c r="A179" s="19" t="str">
        <x:v>保守</x:v>
      </x:c>
      <x:c r="B179" s="23" t="n">
        <x:f>'114_降本系数'!B26</x:f>
        <x:v>0.35</x:v>
      </x:c>
      <x:c r="C179" s="19" t="str">
        <x:v>L3</x:v>
      </x:c>
      <x:c r="D179" s="23" t="n">
        <x:f>'130_联合算法'!C20</x:f>
        <x:v>0.1</x:v>
      </x:c>
      <x:c r="E179" s="460" t="n">
        <x:f>'117_价格概率传导'!A6</x:f>
        <x:v>259900</x:v>
      </x:c>
      <x:c r="F179" s="23" t="n">
        <x:f>'117_价格概率传导'!C6</x:f>
        <x:v>0.06</x:v>
      </x:c>
      <x:c r="G179" s="23" t="n">
        <x:f>0</x:f>
        <x:v>0</x:v>
      </x:c>
      <x:c r="H179" s="23" t="n">
        <x:f>SUM('117_价格概率传导'!$C$6:$C$6)</x:f>
        <x:v>0.06</x:v>
      </x:c>
      <x:c r="I179" s="460" t="n">
        <x:f>'117_价格概率传导'!A20</x:f>
        <x:v>269900</x:v>
      </x:c>
      <x:c r="J179" s="23" t="n">
        <x:f>'117_价格概率传导'!C20</x:f>
        <x:v>0.13</x:v>
      </x:c>
      <x:c r="K179" s="23" t="n">
        <x:f>SUM('117_价格概率传导'!$C$16:$C$19)</x:f>
        <x:v>0.8400000000000001</x:v>
      </x:c>
      <x:c r="L179" s="23" t="n">
        <x:f>SUM('117_价格概率传导'!$C$16:$C$20)</x:f>
        <x:v>0.9700000000000001</x:v>
      </x:c>
      <x:c r="M179" s="23" t="n">
        <x:f>MAX(0,MIN(H179,L179)-MAX(G179,K179))</x:f>
        <x:v>0</x:v>
      </x:c>
      <x:c r="N179" s="23" t="n">
        <x:f>B179*D179*M179</x:f>
        <x:v>0</x:v>
      </x:c>
      <x:c r="O179" s="460" t="n">
        <x:f>MIN(299900,I179+20000)</x:f>
        <x:v>289900</x:v>
      </x:c>
      <x:c r="P179" s="460" t="n">
        <x:f>O179-40000</x:f>
        <x:v>249900</x:v>
      </x:c>
      <x:c r="Q179" s="460" t="n">
        <x:f>O179-20000</x:f>
        <x:v>269900</x:v>
      </x:c>
      <x:c r="R179" s="460" t="n">
        <x:f>O179-E179</x:f>
        <x:v>30000</x:v>
      </x:c>
      <x:c r="S179" s="460" t="n">
        <x:f>IF(P179&gt;0,P179-E179,"")</x:f>
        <x:v>-10000</x:v>
      </x:c>
      <x:c r="T179" s="460" t="n">
        <x:f>IF(Q179&gt;0,Q179-E179,"")</x:f>
        <x:v>10000</x:v>
      </x:c>
      <x:c r="U179" s="23" t="n">
        <x:f>IF(R179&lt;30000,N179,0)</x:f>
        <x:v>0</x:v>
      </x:c>
      <x:c r="V179" s="23" t="n">
        <x:f>IF(P179&gt;0,N179,0)</x:f>
        <x:v>0</x:v>
      </x:c>
      <x:c r="W179" s="23" t="n">
        <x:f>IF(AND(P179&gt;0,S179&lt;0),N179,0)</x:f>
        <x:v>0</x:v>
      </x:c>
      <x:c r="X179" s="23" t="n">
        <x:f>IF(AND(P179&gt;0,S179=0),N179,0)</x:f>
        <x:v>0</x:v>
      </x:c>
      <x:c r="Y179" s="23" t="n">
        <x:f>IF(Q179&gt;0,N179,0)</x:f>
        <x:v>0</x:v>
      </x:c>
      <x:c r="Z179" s="460" t="n">
        <x:f>IF(P179&gt;0,N179*S179,0)</x:f>
        <x:v>0</x:v>
      </x:c>
      <x:c r="AA179" s="460" t="n">
        <x:f>IF(Q179&gt;0,N179*T179,0)</x:f>
        <x:v>0</x:v>
      </x:c>
      <x:c r="AB179" s="460" t="n">
        <x:f>N179*R179</x:f>
        <x:v>0</x:v>
      </x:c>
      <x:c r="AC179" s="460" t="n">
        <x:f>IF(N179&gt;0,R179,999999)</x:f>
        <x:v>999999</x:v>
      </x:c>
      <x:c r="AD179" s="460" t="n">
        <x:f>IF(AND(N179&gt;0,P179&gt;0),S179,999999)</x:f>
        <x:v>999999</x:v>
      </x:c>
      <x:c r="AE179" s="460" t="n">
        <x:f>IF(AND(N179&gt;0,Q179&gt;0),T179,999999)</x:f>
        <x:v>999999</x:v>
      </x:c>
      <x:c r="AF179" s="23" t="n">
        <x:f>B179*D179*F179*J179</x:f>
        <x:v>0.00027299999999999997</x:v>
      </x:c>
      <x:c r="AG179" s="23" t="n">
        <x:f>IF(P179&gt;0,AF179,0)</x:f>
        <x:v>0.00027299999999999997</x:v>
      </x:c>
      <x:c r="AH179" s="23" t="n">
        <x:f>IF(AND(P179&gt;0,S179&lt;0),AF179,0)</x:f>
        <x:v>0.00027299999999999997</x:v>
      </x:c>
      <x:c r="AI179" s="23" t="n">
        <x:f>IF(AND(P179&gt;0,S179=0),AF179,0)</x:f>
        <x:v>0</x:v>
      </x:c>
      <x:c r="AJ179" s="23" t="n">
        <x:f>IF(R179&lt;30000,AF179,0)</x:f>
        <x:v>0</x:v>
      </x:c>
      <x:c r="AK179" s="460" t="n">
        <x:f>IF(P179&gt;0,AF179*S179,0)</x:f>
        <x:v>-2.7299999999999995</x:v>
      </x:c>
    </x:row>
    <x:row r="180" ht="22" customHeight="1">
      <x:c r="A180" s="643" t="str">
        <x:v>保守</x:v>
      </x:c>
      <x:c r="B180" s="648" t="n">
        <x:f>'114_降本系数'!B26</x:f>
        <x:v>0.35</x:v>
      </x:c>
      <x:c r="C180" s="643" t="str">
        <x:v>L3</x:v>
      </x:c>
      <x:c r="D180" s="648" t="n">
        <x:f>'130_联合算法'!C20</x:f>
        <x:v>0.1</x:v>
      </x:c>
      <x:c r="E180" s="647" t="n">
        <x:f>'117_价格概率传导'!A6</x:f>
        <x:v>259900</x:v>
      </x:c>
      <x:c r="F180" s="648" t="n">
        <x:f>'117_价格概率传导'!C6</x:f>
        <x:v>0.06</x:v>
      </x:c>
      <x:c r="G180" s="648" t="n">
        <x:f>0</x:f>
        <x:v>0</x:v>
      </x:c>
      <x:c r="H180" s="648" t="n">
        <x:f>SUM('117_价格概率传导'!$C$6:$C$6)</x:f>
        <x:v>0.06</x:v>
      </x:c>
      <x:c r="I180" s="647" t="n">
        <x:f>'117_价格概率传导'!A21</x:f>
        <x:v>259900</x:v>
      </x:c>
      <x:c r="J180" s="648" t="n">
        <x:f>'117_价格概率传导'!C21</x:f>
        <x:v>0.03</x:v>
      </x:c>
      <x:c r="K180" s="648" t="n">
        <x:f>SUM('117_价格概率传导'!$C$16:$C$20)</x:f>
        <x:v>0.9700000000000001</x:v>
      </x:c>
      <x:c r="L180" s="648" t="n">
        <x:f>SUM('117_价格概率传导'!$C$16:$C$21)</x:f>
        <x:v>1</x:v>
      </x:c>
      <x:c r="M180" s="648" t="n">
        <x:f>MAX(0,MIN(H180,L180)-MAX(G180,K180))</x:f>
        <x:v>0</x:v>
      </x:c>
      <x:c r="N180" s="648" t="n">
        <x:f>B180*D180*M180</x:f>
        <x:v>0</x:v>
      </x:c>
      <x:c r="O180" s="647" t="n">
        <x:f>MIN(299900,I180+20000)</x:f>
        <x:v>279900</x:v>
      </x:c>
      <x:c r="P180" s="647" t="n">
        <x:f>O180-40000</x:f>
        <x:v>239900</x:v>
      </x:c>
      <x:c r="Q180" s="647" t="n">
        <x:f>O180-20000</x:f>
        <x:v>259900</x:v>
      </x:c>
      <x:c r="R180" s="647" t="n">
        <x:f>O180-E180</x:f>
        <x:v>20000</x:v>
      </x:c>
      <x:c r="S180" s="647" t="n">
        <x:f>IF(P180&gt;0,P180-E180,"")</x:f>
        <x:v>-20000</x:v>
      </x:c>
      <x:c r="T180" s="647" t="n">
        <x:f>IF(Q180&gt;0,Q180-E180,"")</x:f>
        <x:v>0</x:v>
      </x:c>
      <x:c r="U180" s="648" t="n">
        <x:f>IF(R180&lt;30000,N180,0)</x:f>
        <x:v>0</x:v>
      </x:c>
      <x:c r="V180" s="648" t="n">
        <x:f>IF(P180&gt;0,N180,0)</x:f>
        <x:v>0</x:v>
      </x:c>
      <x:c r="W180" s="648" t="n">
        <x:f>IF(AND(P180&gt;0,S180&lt;0),N180,0)</x:f>
        <x:v>0</x:v>
      </x:c>
      <x:c r="X180" s="648" t="n">
        <x:f>IF(AND(P180&gt;0,S180=0),N180,0)</x:f>
        <x:v>0</x:v>
      </x:c>
      <x:c r="Y180" s="648" t="n">
        <x:f>IF(Q180&gt;0,N180,0)</x:f>
        <x:v>0</x:v>
      </x:c>
      <x:c r="Z180" s="647" t="n">
        <x:f>IF(P180&gt;0,N180*S180,0)</x:f>
        <x:v>0</x:v>
      </x:c>
      <x:c r="AA180" s="647" t="n">
        <x:f>IF(Q180&gt;0,N180*T180,0)</x:f>
        <x:v>0</x:v>
      </x:c>
      <x:c r="AB180" s="647" t="n">
        <x:f>N180*R180</x:f>
        <x:v>0</x:v>
      </x:c>
      <x:c r="AC180" s="647" t="n">
        <x:f>IF(N180&gt;0,R180,999999)</x:f>
        <x:v>999999</x:v>
      </x:c>
      <x:c r="AD180" s="647" t="n">
        <x:f>IF(AND(N180&gt;0,P180&gt;0),S180,999999)</x:f>
        <x:v>999999</x:v>
      </x:c>
      <x:c r="AE180" s="647" t="n">
        <x:f>IF(AND(N180&gt;0,Q180&gt;0),T180,999999)</x:f>
        <x:v>999999</x:v>
      </x:c>
      <x:c r="AF180" s="648" t="n">
        <x:f>B180*D180*F180*J180</x:f>
        <x:v>0.000063</x:v>
      </x:c>
      <x:c r="AG180" s="648" t="n">
        <x:f>IF(P180&gt;0,AF180,0)</x:f>
        <x:v>0.000063</x:v>
      </x:c>
      <x:c r="AH180" s="648" t="n">
        <x:f>IF(AND(P180&gt;0,S180&lt;0),AF180,0)</x:f>
        <x:v>0.000063</x:v>
      </x:c>
      <x:c r="AI180" s="648" t="n">
        <x:f>IF(AND(P180&gt;0,S180=0),AF180,0)</x:f>
        <x:v>0</x:v>
      </x:c>
      <x:c r="AJ180" s="648" t="n">
        <x:f>IF(R180&lt;30000,AF180,0)</x:f>
        <x:v>0.000063</x:v>
      </x:c>
      <x:c r="AK180" s="647" t="n">
        <x:f>IF(P180&gt;0,AF180*S180,0)</x:f>
        <x:v>-1.26</x:v>
      </x:c>
    </x:row>
    <x:row r="181" ht="22" customHeight="1">
      <x:c r="A181" s="19" t="str">
        <x:v>保守</x:v>
      </x:c>
      <x:c r="B181" s="23" t="n">
        <x:f>'114_降本系数'!B26</x:f>
        <x:v>0.35</x:v>
      </x:c>
      <x:c r="C181" s="19" t="str">
        <x:v>L3</x:v>
      </x:c>
      <x:c r="D181" s="23" t="n">
        <x:f>'130_联合算法'!C20</x:f>
        <x:v>0.1</x:v>
      </x:c>
      <x:c r="E181" s="460" t="n">
        <x:f>'117_价格概率传导'!A7</x:f>
        <x:v>253900</x:v>
      </x:c>
      <x:c r="F181" s="23" t="n">
        <x:f>'117_价格概率传导'!C7</x:f>
        <x:v>0.07</x:v>
      </x:c>
      <x:c r="G181" s="23" t="n">
        <x:f>SUM('117_价格概率传导'!$C$6:$C$6)</x:f>
        <x:v>0.06</x:v>
      </x:c>
      <x:c r="H181" s="23" t="n">
        <x:f>SUM('117_价格概率传导'!$C$6:$C$7)</x:f>
        <x:v>0.13</x:v>
      </x:c>
      <x:c r="I181" s="460" t="n">
        <x:f>'117_价格概率传导'!A16</x:f>
        <x:v>299900</x:v>
      </x:c>
      <x:c r="J181" s="23" t="n">
        <x:f>'117_价格概率传导'!C16</x:f>
        <x:v>0.05</x:v>
      </x:c>
      <x:c r="K181" s="23" t="n">
        <x:f>0</x:f>
        <x:v>0</x:v>
      </x:c>
      <x:c r="L181" s="23" t="n">
        <x:f>SUM('117_价格概率传导'!$C$16:$C$16)</x:f>
        <x:v>0.05</x:v>
      </x:c>
      <x:c r="M181" s="23" t="n">
        <x:f>MAX(0,MIN(H181,L181)-MAX(G181,K181))</x:f>
        <x:v>0</x:v>
      </x:c>
      <x:c r="N181" s="23" t="n">
        <x:f>B181*D181*M181</x:f>
        <x:v>0</x:v>
      </x:c>
      <x:c r="O181" s="460" t="n">
        <x:f>MIN(299900,I181+20000)</x:f>
        <x:v>299900</x:v>
      </x:c>
      <x:c r="P181" s="460" t="n">
        <x:f>O181-40000</x:f>
        <x:v>259900</x:v>
      </x:c>
      <x:c r="Q181" s="460" t="n">
        <x:f>O181-20000</x:f>
        <x:v>279900</x:v>
      </x:c>
      <x:c r="R181" s="460" t="n">
        <x:f>O181-E181</x:f>
        <x:v>46000</x:v>
      </x:c>
      <x:c r="S181" s="460" t="n">
        <x:f>IF(P181&gt;0,P181-E181,"")</x:f>
        <x:v>6000</x:v>
      </x:c>
      <x:c r="T181" s="460" t="n">
        <x:f>IF(Q181&gt;0,Q181-E181,"")</x:f>
        <x:v>26000</x:v>
      </x:c>
      <x:c r="U181" s="23" t="n">
        <x:f>IF(R181&lt;30000,N181,0)</x:f>
        <x:v>0</x:v>
      </x:c>
      <x:c r="V181" s="23" t="n">
        <x:f>IF(P181&gt;0,N181,0)</x:f>
        <x:v>0</x:v>
      </x:c>
      <x:c r="W181" s="23" t="n">
        <x:f>IF(AND(P181&gt;0,S181&lt;0),N181,0)</x:f>
        <x:v>0</x:v>
      </x:c>
      <x:c r="X181" s="23" t="n">
        <x:f>IF(AND(P181&gt;0,S181=0),N181,0)</x:f>
        <x:v>0</x:v>
      </x:c>
      <x:c r="Y181" s="23" t="n">
        <x:f>IF(Q181&gt;0,N181,0)</x:f>
        <x:v>0</x:v>
      </x:c>
      <x:c r="Z181" s="460" t="n">
        <x:f>IF(P181&gt;0,N181*S181,0)</x:f>
        <x:v>0</x:v>
      </x:c>
      <x:c r="AA181" s="460" t="n">
        <x:f>IF(Q181&gt;0,N181*T181,0)</x:f>
        <x:v>0</x:v>
      </x:c>
      <x:c r="AB181" s="460" t="n">
        <x:f>N181*R181</x:f>
        <x:v>0</x:v>
      </x:c>
      <x:c r="AC181" s="460" t="n">
        <x:f>IF(N181&gt;0,R181,999999)</x:f>
        <x:v>999999</x:v>
      </x:c>
      <x:c r="AD181" s="460" t="n">
        <x:f>IF(AND(N181&gt;0,P181&gt;0),S181,999999)</x:f>
        <x:v>999999</x:v>
      </x:c>
      <x:c r="AE181" s="460" t="n">
        <x:f>IF(AND(N181&gt;0,Q181&gt;0),T181,999999)</x:f>
        <x:v>999999</x:v>
      </x:c>
      <x:c r="AF181" s="23" t="n">
        <x:f>B181*D181*F181*J181</x:f>
        <x:v>0.0001225</x:v>
      </x:c>
      <x:c r="AG181" s="23" t="n">
        <x:f>IF(P181&gt;0,AF181,0)</x:f>
        <x:v>0.0001225</x:v>
      </x:c>
      <x:c r="AH181" s="23" t="n">
        <x:f>IF(AND(P181&gt;0,S181&lt;0),AF181,0)</x:f>
        <x:v>0</x:v>
      </x:c>
      <x:c r="AI181" s="23" t="n">
        <x:f>IF(AND(P181&gt;0,S181=0),AF181,0)</x:f>
        <x:v>0</x:v>
      </x:c>
      <x:c r="AJ181" s="23" t="n">
        <x:f>IF(R181&lt;30000,AF181,0)</x:f>
        <x:v>0</x:v>
      </x:c>
      <x:c r="AK181" s="460" t="n">
        <x:f>IF(P181&gt;0,AF181*S181,0)</x:f>
        <x:v>0.735</x:v>
      </x:c>
    </x:row>
    <x:row r="182" ht="22" customHeight="1">
      <x:c r="A182" s="643" t="str">
        <x:v>保守</x:v>
      </x:c>
      <x:c r="B182" s="648" t="n">
        <x:f>'114_降本系数'!B26</x:f>
        <x:v>0.35</x:v>
      </x:c>
      <x:c r="C182" s="643" t="str">
        <x:v>L3</x:v>
      </x:c>
      <x:c r="D182" s="648" t="n">
        <x:f>'130_联合算法'!C20</x:f>
        <x:v>0.1</x:v>
      </x:c>
      <x:c r="E182" s="647" t="n">
        <x:f>'117_价格概率传导'!A7</x:f>
        <x:v>253900</x:v>
      </x:c>
      <x:c r="F182" s="648" t="n">
        <x:f>'117_价格概率传导'!C7</x:f>
        <x:v>0.07</x:v>
      </x:c>
      <x:c r="G182" s="648" t="n">
        <x:f>SUM('117_价格概率传导'!$C$6:$C$6)</x:f>
        <x:v>0.06</x:v>
      </x:c>
      <x:c r="H182" s="648" t="n">
        <x:f>SUM('117_价格概率传导'!$C$6:$C$7)</x:f>
        <x:v>0.13</x:v>
      </x:c>
      <x:c r="I182" s="647" t="n">
        <x:f>'117_价格概率传导'!A17</x:f>
        <x:v>293900</x:v>
      </x:c>
      <x:c r="J182" s="648" t="n">
        <x:f>'117_价格概率传导'!C17</x:f>
        <x:v>0.06</x:v>
      </x:c>
      <x:c r="K182" s="648" t="n">
        <x:f>SUM('117_价格概率传导'!$C$16:$C$16)</x:f>
        <x:v>0.05</x:v>
      </x:c>
      <x:c r="L182" s="648" t="n">
        <x:f>SUM('117_价格概率传导'!$C$16:$C$17)</x:f>
        <x:v>0.11</x:v>
      </x:c>
      <x:c r="M182" s="648" t="n">
        <x:f>MAX(0,MIN(H182,L182)-MAX(G182,K182))</x:f>
        <x:v>0.05</x:v>
      </x:c>
      <x:c r="N182" s="648" t="n">
        <x:f>B182*D182*M182</x:f>
        <x:v>0.0017499999999999998</x:v>
      </x:c>
      <x:c r="O182" s="647" t="n">
        <x:f>MIN(299900,I182+20000)</x:f>
        <x:v>299900</x:v>
      </x:c>
      <x:c r="P182" s="647" t="n">
        <x:f>O182-40000</x:f>
        <x:v>259900</x:v>
      </x:c>
      <x:c r="Q182" s="647" t="n">
        <x:f>O182-20000</x:f>
        <x:v>279900</x:v>
      </x:c>
      <x:c r="R182" s="647" t="n">
        <x:f>O182-E182</x:f>
        <x:v>46000</x:v>
      </x:c>
      <x:c r="S182" s="647" t="n">
        <x:f>IF(P182&gt;0,P182-E182,"")</x:f>
        <x:v>6000</x:v>
      </x:c>
      <x:c r="T182" s="647" t="n">
        <x:f>IF(Q182&gt;0,Q182-E182,"")</x:f>
        <x:v>26000</x:v>
      </x:c>
      <x:c r="U182" s="648" t="n">
        <x:f>IF(R182&lt;30000,N182,0)</x:f>
        <x:v>0</x:v>
      </x:c>
      <x:c r="V182" s="648" t="n">
        <x:f>IF(P182&gt;0,N182,0)</x:f>
        <x:v>0.0017499999999999998</x:v>
      </x:c>
      <x:c r="W182" s="648" t="n">
        <x:f>IF(AND(P182&gt;0,S182&lt;0),N182,0)</x:f>
        <x:v>0</x:v>
      </x:c>
      <x:c r="X182" s="648" t="n">
        <x:f>IF(AND(P182&gt;0,S182=0),N182,0)</x:f>
        <x:v>0</x:v>
      </x:c>
      <x:c r="Y182" s="648" t="n">
        <x:f>IF(Q182&gt;0,N182,0)</x:f>
        <x:v>0.0017499999999999998</x:v>
      </x:c>
      <x:c r="Z182" s="647" t="n">
        <x:f>IF(P182&gt;0,N182*S182,0)</x:f>
        <x:v>10.499999999999998</x:v>
      </x:c>
      <x:c r="AA182" s="647" t="n">
        <x:f>IF(Q182&gt;0,N182*T182,0)</x:f>
        <x:v>45.49999999999999</x:v>
      </x:c>
      <x:c r="AB182" s="647" t="n">
        <x:f>N182*R182</x:f>
        <x:v>80.49999999999999</x:v>
      </x:c>
      <x:c r="AC182" s="647" t="n">
        <x:f>IF(N182&gt;0,R182,999999)</x:f>
        <x:v>46000</x:v>
      </x:c>
      <x:c r="AD182" s="647" t="n">
        <x:f>IF(AND(N182&gt;0,P182&gt;0),S182,999999)</x:f>
        <x:v>6000</x:v>
      </x:c>
      <x:c r="AE182" s="647" t="n">
        <x:f>IF(AND(N182&gt;0,Q182&gt;0),T182,999999)</x:f>
        <x:v>26000</x:v>
      </x:c>
      <x:c r="AF182" s="648" t="n">
        <x:f>B182*D182*F182*J182</x:f>
        <x:v>0.000147</x:v>
      </x:c>
      <x:c r="AG182" s="648" t="n">
        <x:f>IF(P182&gt;0,AF182,0)</x:f>
        <x:v>0.000147</x:v>
      </x:c>
      <x:c r="AH182" s="648" t="n">
        <x:f>IF(AND(P182&gt;0,S182&lt;0),AF182,0)</x:f>
        <x:v>0</x:v>
      </x:c>
      <x:c r="AI182" s="648" t="n">
        <x:f>IF(AND(P182&gt;0,S182=0),AF182,0)</x:f>
        <x:v>0</x:v>
      </x:c>
      <x:c r="AJ182" s="648" t="n">
        <x:f>IF(R182&lt;30000,AF182,0)</x:f>
        <x:v>0</x:v>
      </x:c>
      <x:c r="AK182" s="647" t="n">
        <x:f>IF(P182&gt;0,AF182*S182,0)</x:f>
        <x:v>0.882</x:v>
      </x:c>
    </x:row>
    <x:row r="183" ht="22" customHeight="1">
      <x:c r="A183" s="19" t="str">
        <x:v>保守</x:v>
      </x:c>
      <x:c r="B183" s="23" t="n">
        <x:f>'114_降本系数'!B26</x:f>
        <x:v>0.35</x:v>
      </x:c>
      <x:c r="C183" s="19" t="str">
        <x:v>L3</x:v>
      </x:c>
      <x:c r="D183" s="23" t="n">
        <x:f>'130_联合算法'!C20</x:f>
        <x:v>0.1</x:v>
      </x:c>
      <x:c r="E183" s="460" t="n">
        <x:f>'117_价格概率传导'!A7</x:f>
        <x:v>253900</x:v>
      </x:c>
      <x:c r="F183" s="23" t="n">
        <x:f>'117_价格概率传导'!C7</x:f>
        <x:v>0.07</x:v>
      </x:c>
      <x:c r="G183" s="23" t="n">
        <x:f>SUM('117_价格概率传导'!$C$6:$C$6)</x:f>
        <x:v>0.06</x:v>
      </x:c>
      <x:c r="H183" s="23" t="n">
        <x:f>SUM('117_价格概率传导'!$C$6:$C$7)</x:f>
        <x:v>0.13</x:v>
      </x:c>
      <x:c r="I183" s="460" t="n">
        <x:f>'117_价格概率传导'!A18</x:f>
        <x:v>289900</x:v>
      </x:c>
      <x:c r="J183" s="23" t="n">
        <x:f>'117_价格概率传导'!C18</x:f>
        <x:v>0.34</x:v>
      </x:c>
      <x:c r="K183" s="23" t="n">
        <x:f>SUM('117_价格概率传导'!$C$16:$C$17)</x:f>
        <x:v>0.11</x:v>
      </x:c>
      <x:c r="L183" s="23" t="n">
        <x:f>SUM('117_价格概率传导'!$C$16:$C$18)</x:f>
        <x:v>0.45</x:v>
      </x:c>
      <x:c r="M183" s="23" t="n">
        <x:f>MAX(0,MIN(H183,L183)-MAX(G183,K183))</x:f>
        <x:v>0.020000000000000004</x:v>
      </x:c>
      <x:c r="N183" s="23" t="n">
        <x:f>B183*D183*M183</x:f>
        <x:v>0.0007000000000000001</x:v>
      </x:c>
      <x:c r="O183" s="460" t="n">
        <x:f>MIN(299900,I183+20000)</x:f>
        <x:v>299900</x:v>
      </x:c>
      <x:c r="P183" s="460" t="n">
        <x:f>O183-40000</x:f>
        <x:v>259900</x:v>
      </x:c>
      <x:c r="Q183" s="460" t="n">
        <x:f>O183-20000</x:f>
        <x:v>279900</x:v>
      </x:c>
      <x:c r="R183" s="460" t="n">
        <x:f>O183-E183</x:f>
        <x:v>46000</x:v>
      </x:c>
      <x:c r="S183" s="460" t="n">
        <x:f>IF(P183&gt;0,P183-E183,"")</x:f>
        <x:v>6000</x:v>
      </x:c>
      <x:c r="T183" s="460" t="n">
        <x:f>IF(Q183&gt;0,Q183-E183,"")</x:f>
        <x:v>26000</x:v>
      </x:c>
      <x:c r="U183" s="23" t="n">
        <x:f>IF(R183&lt;30000,N183,0)</x:f>
        <x:v>0</x:v>
      </x:c>
      <x:c r="V183" s="23" t="n">
        <x:f>IF(P183&gt;0,N183,0)</x:f>
        <x:v>0.0007000000000000001</x:v>
      </x:c>
      <x:c r="W183" s="23" t="n">
        <x:f>IF(AND(P183&gt;0,S183&lt;0),N183,0)</x:f>
        <x:v>0</x:v>
      </x:c>
      <x:c r="X183" s="23" t="n">
        <x:f>IF(AND(P183&gt;0,S183=0),N183,0)</x:f>
        <x:v>0</x:v>
      </x:c>
      <x:c r="Y183" s="23" t="n">
        <x:f>IF(Q183&gt;0,N183,0)</x:f>
        <x:v>0.0007000000000000001</x:v>
      </x:c>
      <x:c r="Z183" s="460" t="n">
        <x:f>IF(P183&gt;0,N183*S183,0)</x:f>
        <x:v>4.2</x:v>
      </x:c>
      <x:c r="AA183" s="460" t="n">
        <x:f>IF(Q183&gt;0,N183*T183,0)</x:f>
        <x:v>18.200000000000003</x:v>
      </x:c>
      <x:c r="AB183" s="460" t="n">
        <x:f>N183*R183</x:f>
        <x:v>32.2</x:v>
      </x:c>
      <x:c r="AC183" s="460" t="n">
        <x:f>IF(N183&gt;0,R183,999999)</x:f>
        <x:v>46000</x:v>
      </x:c>
      <x:c r="AD183" s="460" t="n">
        <x:f>IF(AND(N183&gt;0,P183&gt;0),S183,999999)</x:f>
        <x:v>6000</x:v>
      </x:c>
      <x:c r="AE183" s="460" t="n">
        <x:f>IF(AND(N183&gt;0,Q183&gt;0),T183,999999)</x:f>
        <x:v>26000</x:v>
      </x:c>
      <x:c r="AF183" s="23" t="n">
        <x:f>B183*D183*F183*J183</x:f>
        <x:v>0.0008330000000000001</x:v>
      </x:c>
      <x:c r="AG183" s="23" t="n">
        <x:f>IF(P183&gt;0,AF183,0)</x:f>
        <x:v>0.0008330000000000001</x:v>
      </x:c>
      <x:c r="AH183" s="23" t="n">
        <x:f>IF(AND(P183&gt;0,S183&lt;0),AF183,0)</x:f>
        <x:v>0</x:v>
      </x:c>
      <x:c r="AI183" s="23" t="n">
        <x:f>IF(AND(P183&gt;0,S183=0),AF183,0)</x:f>
        <x:v>0</x:v>
      </x:c>
      <x:c r="AJ183" s="23" t="n">
        <x:f>IF(R183&lt;30000,AF183,0)</x:f>
        <x:v>0</x:v>
      </x:c>
      <x:c r="AK183" s="460" t="n">
        <x:f>IF(P183&gt;0,AF183*S183,0)</x:f>
        <x:v>4.998</x:v>
      </x:c>
    </x:row>
    <x:row r="184" ht="22" customHeight="1">
      <x:c r="A184" s="643" t="str">
        <x:v>保守</x:v>
      </x:c>
      <x:c r="B184" s="648" t="n">
        <x:f>'114_降本系数'!B26</x:f>
        <x:v>0.35</x:v>
      </x:c>
      <x:c r="C184" s="643" t="str">
        <x:v>L3</x:v>
      </x:c>
      <x:c r="D184" s="648" t="n">
        <x:f>'130_联合算法'!C20</x:f>
        <x:v>0.1</x:v>
      </x:c>
      <x:c r="E184" s="647" t="n">
        <x:f>'117_价格概率传导'!A7</x:f>
        <x:v>253900</x:v>
      </x:c>
      <x:c r="F184" s="648" t="n">
        <x:f>'117_价格概率传导'!C7</x:f>
        <x:v>0.07</x:v>
      </x:c>
      <x:c r="G184" s="648" t="n">
        <x:f>SUM('117_价格概率传导'!$C$6:$C$6)</x:f>
        <x:v>0.06</x:v>
      </x:c>
      <x:c r="H184" s="648" t="n">
        <x:f>SUM('117_价格概率传导'!$C$6:$C$7)</x:f>
        <x:v>0.13</x:v>
      </x:c>
      <x:c r="I184" s="647" t="n">
        <x:f>'117_价格概率传导'!A19</x:f>
        <x:v>279900</x:v>
      </x:c>
      <x:c r="J184" s="648" t="n">
        <x:f>'117_价格概率传导'!C19</x:f>
        <x:v>0.39</x:v>
      </x:c>
      <x:c r="K184" s="648" t="n">
        <x:f>SUM('117_价格概率传导'!$C$16:$C$18)</x:f>
        <x:v>0.45</x:v>
      </x:c>
      <x:c r="L184" s="648" t="n">
        <x:f>SUM('117_价格概率传导'!$C$16:$C$19)</x:f>
        <x:v>0.8400000000000001</x:v>
      </x:c>
      <x:c r="M184" s="648" t="n">
        <x:f>MAX(0,MIN(H184,L184)-MAX(G184,K184))</x:f>
        <x:v>0</x:v>
      </x:c>
      <x:c r="N184" s="648" t="n">
        <x:f>B184*D184*M184</x:f>
        <x:v>0</x:v>
      </x:c>
      <x:c r="O184" s="647" t="n">
        <x:f>MIN(299900,I184+20000)</x:f>
        <x:v>299900</x:v>
      </x:c>
      <x:c r="P184" s="647" t="n">
        <x:f>O184-40000</x:f>
        <x:v>259900</x:v>
      </x:c>
      <x:c r="Q184" s="647" t="n">
        <x:f>O184-20000</x:f>
        <x:v>279900</x:v>
      </x:c>
      <x:c r="R184" s="647" t="n">
        <x:f>O184-E184</x:f>
        <x:v>46000</x:v>
      </x:c>
      <x:c r="S184" s="647" t="n">
        <x:f>IF(P184&gt;0,P184-E184,"")</x:f>
        <x:v>6000</x:v>
      </x:c>
      <x:c r="T184" s="647" t="n">
        <x:f>IF(Q184&gt;0,Q184-E184,"")</x:f>
        <x:v>26000</x:v>
      </x:c>
      <x:c r="U184" s="648" t="n">
        <x:f>IF(R184&lt;30000,N184,0)</x:f>
        <x:v>0</x:v>
      </x:c>
      <x:c r="V184" s="648" t="n">
        <x:f>IF(P184&gt;0,N184,0)</x:f>
        <x:v>0</x:v>
      </x:c>
      <x:c r="W184" s="648" t="n">
        <x:f>IF(AND(P184&gt;0,S184&lt;0),N184,0)</x:f>
        <x:v>0</x:v>
      </x:c>
      <x:c r="X184" s="648" t="n">
        <x:f>IF(AND(P184&gt;0,S184=0),N184,0)</x:f>
        <x:v>0</x:v>
      </x:c>
      <x:c r="Y184" s="648" t="n">
        <x:f>IF(Q184&gt;0,N184,0)</x:f>
        <x:v>0</x:v>
      </x:c>
      <x:c r="Z184" s="647" t="n">
        <x:f>IF(P184&gt;0,N184*S184,0)</x:f>
        <x:v>0</x:v>
      </x:c>
      <x:c r="AA184" s="647" t="n">
        <x:f>IF(Q184&gt;0,N184*T184,0)</x:f>
        <x:v>0</x:v>
      </x:c>
      <x:c r="AB184" s="647" t="n">
        <x:f>N184*R184</x:f>
        <x:v>0</x:v>
      </x:c>
      <x:c r="AC184" s="647" t="n">
        <x:f>IF(N184&gt;0,R184,999999)</x:f>
        <x:v>999999</x:v>
      </x:c>
      <x:c r="AD184" s="647" t="n">
        <x:f>IF(AND(N184&gt;0,P184&gt;0),S184,999999)</x:f>
        <x:v>999999</x:v>
      </x:c>
      <x:c r="AE184" s="647" t="n">
        <x:f>IF(AND(N184&gt;0,Q184&gt;0),T184,999999)</x:f>
        <x:v>999999</x:v>
      </x:c>
      <x:c r="AF184" s="648" t="n">
        <x:f>B184*D184*F184*J184</x:f>
        <x:v>0.0009555</x:v>
      </x:c>
      <x:c r="AG184" s="648" t="n">
        <x:f>IF(P184&gt;0,AF184,0)</x:f>
        <x:v>0.0009555</x:v>
      </x:c>
      <x:c r="AH184" s="648" t="n">
        <x:f>IF(AND(P184&gt;0,S184&lt;0),AF184,0)</x:f>
        <x:v>0</x:v>
      </x:c>
      <x:c r="AI184" s="648" t="n">
        <x:f>IF(AND(P184&gt;0,S184=0),AF184,0)</x:f>
        <x:v>0</x:v>
      </x:c>
      <x:c r="AJ184" s="648" t="n">
        <x:f>IF(R184&lt;30000,AF184,0)</x:f>
        <x:v>0</x:v>
      </x:c>
      <x:c r="AK184" s="647" t="n">
        <x:f>IF(P184&gt;0,AF184*S184,0)</x:f>
        <x:v>5.733</x:v>
      </x:c>
    </x:row>
    <x:row r="185" ht="22" customHeight="1">
      <x:c r="A185" s="19" t="str">
        <x:v>保守</x:v>
      </x:c>
      <x:c r="B185" s="23" t="n">
        <x:f>'114_降本系数'!B26</x:f>
        <x:v>0.35</x:v>
      </x:c>
      <x:c r="C185" s="19" t="str">
        <x:v>L3</x:v>
      </x:c>
      <x:c r="D185" s="23" t="n">
        <x:f>'130_联合算法'!C20</x:f>
        <x:v>0.1</x:v>
      </x:c>
      <x:c r="E185" s="460" t="n">
        <x:f>'117_价格概率传导'!A7</x:f>
        <x:v>253900</x:v>
      </x:c>
      <x:c r="F185" s="23" t="n">
        <x:f>'117_价格概率传导'!C7</x:f>
        <x:v>0.07</x:v>
      </x:c>
      <x:c r="G185" s="23" t="n">
        <x:f>SUM('117_价格概率传导'!$C$6:$C$6)</x:f>
        <x:v>0.06</x:v>
      </x:c>
      <x:c r="H185" s="23" t="n">
        <x:f>SUM('117_价格概率传导'!$C$6:$C$7)</x:f>
        <x:v>0.13</x:v>
      </x:c>
      <x:c r="I185" s="460" t="n">
        <x:f>'117_价格概率传导'!A20</x:f>
        <x:v>269900</x:v>
      </x:c>
      <x:c r="J185" s="23" t="n">
        <x:f>'117_价格概率传导'!C20</x:f>
        <x:v>0.13</x:v>
      </x:c>
      <x:c r="K185" s="23" t="n">
        <x:f>SUM('117_价格概率传导'!$C$16:$C$19)</x:f>
        <x:v>0.8400000000000001</x:v>
      </x:c>
      <x:c r="L185" s="23" t="n">
        <x:f>SUM('117_价格概率传导'!$C$16:$C$20)</x:f>
        <x:v>0.9700000000000001</x:v>
      </x:c>
      <x:c r="M185" s="23" t="n">
        <x:f>MAX(0,MIN(H185,L185)-MAX(G185,K185))</x:f>
        <x:v>0</x:v>
      </x:c>
      <x:c r="N185" s="23" t="n">
        <x:f>B185*D185*M185</x:f>
        <x:v>0</x:v>
      </x:c>
      <x:c r="O185" s="460" t="n">
        <x:f>MIN(299900,I185+20000)</x:f>
        <x:v>289900</x:v>
      </x:c>
      <x:c r="P185" s="460" t="n">
        <x:f>O185-40000</x:f>
        <x:v>249900</x:v>
      </x:c>
      <x:c r="Q185" s="460" t="n">
        <x:f>O185-20000</x:f>
        <x:v>269900</x:v>
      </x:c>
      <x:c r="R185" s="460" t="n">
        <x:f>O185-E185</x:f>
        <x:v>36000</x:v>
      </x:c>
      <x:c r="S185" s="460" t="n">
        <x:f>IF(P185&gt;0,P185-E185,"")</x:f>
        <x:v>-4000</x:v>
      </x:c>
      <x:c r="T185" s="460" t="n">
        <x:f>IF(Q185&gt;0,Q185-E185,"")</x:f>
        <x:v>16000</x:v>
      </x:c>
      <x:c r="U185" s="23" t="n">
        <x:f>IF(R185&lt;30000,N185,0)</x:f>
        <x:v>0</x:v>
      </x:c>
      <x:c r="V185" s="23" t="n">
        <x:f>IF(P185&gt;0,N185,0)</x:f>
        <x:v>0</x:v>
      </x:c>
      <x:c r="W185" s="23" t="n">
        <x:f>IF(AND(P185&gt;0,S185&lt;0),N185,0)</x:f>
        <x:v>0</x:v>
      </x:c>
      <x:c r="X185" s="23" t="n">
        <x:f>IF(AND(P185&gt;0,S185=0),N185,0)</x:f>
        <x:v>0</x:v>
      </x:c>
      <x:c r="Y185" s="23" t="n">
        <x:f>IF(Q185&gt;0,N185,0)</x:f>
        <x:v>0</x:v>
      </x:c>
      <x:c r="Z185" s="460" t="n">
        <x:f>IF(P185&gt;0,N185*S185,0)</x:f>
        <x:v>0</x:v>
      </x:c>
      <x:c r="AA185" s="460" t="n">
        <x:f>IF(Q185&gt;0,N185*T185,0)</x:f>
        <x:v>0</x:v>
      </x:c>
      <x:c r="AB185" s="460" t="n">
        <x:f>N185*R185</x:f>
        <x:v>0</x:v>
      </x:c>
      <x:c r="AC185" s="460" t="n">
        <x:f>IF(N185&gt;0,R185,999999)</x:f>
        <x:v>999999</x:v>
      </x:c>
      <x:c r="AD185" s="460" t="n">
        <x:f>IF(AND(N185&gt;0,P185&gt;0),S185,999999)</x:f>
        <x:v>999999</x:v>
      </x:c>
      <x:c r="AE185" s="460" t="n">
        <x:f>IF(AND(N185&gt;0,Q185&gt;0),T185,999999)</x:f>
        <x:v>999999</x:v>
      </x:c>
      <x:c r="AF185" s="23" t="n">
        <x:f>B185*D185*F185*J185</x:f>
        <x:v>0.0003185</x:v>
      </x:c>
      <x:c r="AG185" s="23" t="n">
        <x:f>IF(P185&gt;0,AF185,0)</x:f>
        <x:v>0.0003185</x:v>
      </x:c>
      <x:c r="AH185" s="23" t="n">
        <x:f>IF(AND(P185&gt;0,S185&lt;0),AF185,0)</x:f>
        <x:v>0.0003185</x:v>
      </x:c>
      <x:c r="AI185" s="23" t="n">
        <x:f>IF(AND(P185&gt;0,S185=0),AF185,0)</x:f>
        <x:v>0</x:v>
      </x:c>
      <x:c r="AJ185" s="23" t="n">
        <x:f>IF(R185&lt;30000,AF185,0)</x:f>
        <x:v>0</x:v>
      </x:c>
      <x:c r="AK185" s="460" t="n">
        <x:f>IF(P185&gt;0,AF185*S185,0)</x:f>
        <x:v>-1.274</x:v>
      </x:c>
    </x:row>
    <x:row r="186" ht="22" customHeight="1">
      <x:c r="A186" s="643" t="str">
        <x:v>保守</x:v>
      </x:c>
      <x:c r="B186" s="648" t="n">
        <x:f>'114_降本系数'!B26</x:f>
        <x:v>0.35</x:v>
      </x:c>
      <x:c r="C186" s="643" t="str">
        <x:v>L3</x:v>
      </x:c>
      <x:c r="D186" s="648" t="n">
        <x:f>'130_联合算法'!C20</x:f>
        <x:v>0.1</x:v>
      </x:c>
      <x:c r="E186" s="647" t="n">
        <x:f>'117_价格概率传导'!A7</x:f>
        <x:v>253900</x:v>
      </x:c>
      <x:c r="F186" s="648" t="n">
        <x:f>'117_价格概率传导'!C7</x:f>
        <x:v>0.07</x:v>
      </x:c>
      <x:c r="G186" s="648" t="n">
        <x:f>SUM('117_价格概率传导'!$C$6:$C$6)</x:f>
        <x:v>0.06</x:v>
      </x:c>
      <x:c r="H186" s="648" t="n">
        <x:f>SUM('117_价格概率传导'!$C$6:$C$7)</x:f>
        <x:v>0.13</x:v>
      </x:c>
      <x:c r="I186" s="647" t="n">
        <x:f>'117_价格概率传导'!A21</x:f>
        <x:v>259900</x:v>
      </x:c>
      <x:c r="J186" s="648" t="n">
        <x:f>'117_价格概率传导'!C21</x:f>
        <x:v>0.03</x:v>
      </x:c>
      <x:c r="K186" s="648" t="n">
        <x:f>SUM('117_价格概率传导'!$C$16:$C$20)</x:f>
        <x:v>0.9700000000000001</x:v>
      </x:c>
      <x:c r="L186" s="648" t="n">
        <x:f>SUM('117_价格概率传导'!$C$16:$C$21)</x:f>
        <x:v>1</x:v>
      </x:c>
      <x:c r="M186" s="648" t="n">
        <x:f>MAX(0,MIN(H186,L186)-MAX(G186,K186))</x:f>
        <x:v>0</x:v>
      </x:c>
      <x:c r="N186" s="648" t="n">
        <x:f>B186*D186*M186</x:f>
        <x:v>0</x:v>
      </x:c>
      <x:c r="O186" s="647" t="n">
        <x:f>MIN(299900,I186+20000)</x:f>
        <x:v>279900</x:v>
      </x:c>
      <x:c r="P186" s="647" t="n">
        <x:f>O186-40000</x:f>
        <x:v>239900</x:v>
      </x:c>
      <x:c r="Q186" s="647" t="n">
        <x:f>O186-20000</x:f>
        <x:v>259900</x:v>
      </x:c>
      <x:c r="R186" s="647" t="n">
        <x:f>O186-E186</x:f>
        <x:v>26000</x:v>
      </x:c>
      <x:c r="S186" s="647" t="n">
        <x:f>IF(P186&gt;0,P186-E186,"")</x:f>
        <x:v>-14000</x:v>
      </x:c>
      <x:c r="T186" s="647" t="n">
        <x:f>IF(Q186&gt;0,Q186-E186,"")</x:f>
        <x:v>6000</x:v>
      </x:c>
      <x:c r="U186" s="648" t="n">
        <x:f>IF(R186&lt;30000,N186,0)</x:f>
        <x:v>0</x:v>
      </x:c>
      <x:c r="V186" s="648" t="n">
        <x:f>IF(P186&gt;0,N186,0)</x:f>
        <x:v>0</x:v>
      </x:c>
      <x:c r="W186" s="648" t="n">
        <x:f>IF(AND(P186&gt;0,S186&lt;0),N186,0)</x:f>
        <x:v>0</x:v>
      </x:c>
      <x:c r="X186" s="648" t="n">
        <x:f>IF(AND(P186&gt;0,S186=0),N186,0)</x:f>
        <x:v>0</x:v>
      </x:c>
      <x:c r="Y186" s="648" t="n">
        <x:f>IF(Q186&gt;0,N186,0)</x:f>
        <x:v>0</x:v>
      </x:c>
      <x:c r="Z186" s="647" t="n">
        <x:f>IF(P186&gt;0,N186*S186,0)</x:f>
        <x:v>0</x:v>
      </x:c>
      <x:c r="AA186" s="647" t="n">
        <x:f>IF(Q186&gt;0,N186*T186,0)</x:f>
        <x:v>0</x:v>
      </x:c>
      <x:c r="AB186" s="647" t="n">
        <x:f>N186*R186</x:f>
        <x:v>0</x:v>
      </x:c>
      <x:c r="AC186" s="647" t="n">
        <x:f>IF(N186&gt;0,R186,999999)</x:f>
        <x:v>999999</x:v>
      </x:c>
      <x:c r="AD186" s="647" t="n">
        <x:f>IF(AND(N186&gt;0,P186&gt;0),S186,999999)</x:f>
        <x:v>999999</x:v>
      </x:c>
      <x:c r="AE186" s="647" t="n">
        <x:f>IF(AND(N186&gt;0,Q186&gt;0),T186,999999)</x:f>
        <x:v>999999</x:v>
      </x:c>
      <x:c r="AF186" s="648" t="n">
        <x:f>B186*D186*F186*J186</x:f>
        <x:v>0.0000735</x:v>
      </x:c>
      <x:c r="AG186" s="648" t="n">
        <x:f>IF(P186&gt;0,AF186,0)</x:f>
        <x:v>0.0000735</x:v>
      </x:c>
      <x:c r="AH186" s="648" t="n">
        <x:f>IF(AND(P186&gt;0,S186&lt;0),AF186,0)</x:f>
        <x:v>0.0000735</x:v>
      </x:c>
      <x:c r="AI186" s="648" t="n">
        <x:f>IF(AND(P186&gt;0,S186=0),AF186,0)</x:f>
        <x:v>0</x:v>
      </x:c>
      <x:c r="AJ186" s="648" t="n">
        <x:f>IF(R186&lt;30000,AF186,0)</x:f>
        <x:v>0.0000735</x:v>
      </x:c>
      <x:c r="AK186" s="647" t="n">
        <x:f>IF(P186&gt;0,AF186*S186,0)</x:f>
        <x:v>-1.029</x:v>
      </x:c>
    </x:row>
    <x:row r="187" ht="22" customHeight="1">
      <x:c r="A187" s="19" t="str">
        <x:v>保守</x:v>
      </x:c>
      <x:c r="B187" s="23" t="n">
        <x:f>'114_降本系数'!B26</x:f>
        <x:v>0.35</x:v>
      </x:c>
      <x:c r="C187" s="19" t="str">
        <x:v>L3</x:v>
      </x:c>
      <x:c r="D187" s="23" t="n">
        <x:f>'130_联合算法'!C20</x:f>
        <x:v>0.1</x:v>
      </x:c>
      <x:c r="E187" s="460" t="n">
        <x:f>'117_价格概率传导'!A8</x:f>
        <x:v>249900</x:v>
      </x:c>
      <x:c r="F187" s="23" t="n">
        <x:f>'117_价格概率传导'!C8</x:f>
        <x:v>0.54</x:v>
      </x:c>
      <x:c r="G187" s="23" t="n">
        <x:f>SUM('117_价格概率传导'!$C$6:$C$7)</x:f>
        <x:v>0.13</x:v>
      </x:c>
      <x:c r="H187" s="23" t="n">
        <x:f>SUM('117_价格概率传导'!$C$6:$C$8)</x:f>
        <x:v>0.67</x:v>
      </x:c>
      <x:c r="I187" s="460" t="n">
        <x:f>'117_价格概率传导'!A16</x:f>
        <x:v>299900</x:v>
      </x:c>
      <x:c r="J187" s="23" t="n">
        <x:f>'117_价格概率传导'!C16</x:f>
        <x:v>0.05</x:v>
      </x:c>
      <x:c r="K187" s="23" t="n">
        <x:f>0</x:f>
        <x:v>0</x:v>
      </x:c>
      <x:c r="L187" s="23" t="n">
        <x:f>SUM('117_价格概率传导'!$C$16:$C$16)</x:f>
        <x:v>0.05</x:v>
      </x:c>
      <x:c r="M187" s="23" t="n">
        <x:f>MAX(0,MIN(H187,L187)-MAX(G187,K187))</x:f>
        <x:v>0</x:v>
      </x:c>
      <x:c r="N187" s="23" t="n">
        <x:f>B187*D187*M187</x:f>
        <x:v>0</x:v>
      </x:c>
      <x:c r="O187" s="460" t="n">
        <x:f>MIN(299900,I187+20000)</x:f>
        <x:v>299900</x:v>
      </x:c>
      <x:c r="P187" s="460" t="n">
        <x:f>O187-40000</x:f>
        <x:v>259900</x:v>
      </x:c>
      <x:c r="Q187" s="460" t="n">
        <x:f>O187-20000</x:f>
        <x:v>279900</x:v>
      </x:c>
      <x:c r="R187" s="460" t="n">
        <x:f>O187-E187</x:f>
        <x:v>50000</x:v>
      </x:c>
      <x:c r="S187" s="460" t="n">
        <x:f>IF(P187&gt;0,P187-E187,"")</x:f>
        <x:v>10000</x:v>
      </x:c>
      <x:c r="T187" s="460" t="n">
        <x:f>IF(Q187&gt;0,Q187-E187,"")</x:f>
        <x:v>30000</x:v>
      </x:c>
      <x:c r="U187" s="23" t="n">
        <x:f>IF(R187&lt;30000,N187,0)</x:f>
        <x:v>0</x:v>
      </x:c>
      <x:c r="V187" s="23" t="n">
        <x:f>IF(P187&gt;0,N187,0)</x:f>
        <x:v>0</x:v>
      </x:c>
      <x:c r="W187" s="23" t="n">
        <x:f>IF(AND(P187&gt;0,S187&lt;0),N187,0)</x:f>
        <x:v>0</x:v>
      </x:c>
      <x:c r="X187" s="23" t="n">
        <x:f>IF(AND(P187&gt;0,S187=0),N187,0)</x:f>
        <x:v>0</x:v>
      </x:c>
      <x:c r="Y187" s="23" t="n">
        <x:f>IF(Q187&gt;0,N187,0)</x:f>
        <x:v>0</x:v>
      </x:c>
      <x:c r="Z187" s="460" t="n">
        <x:f>IF(P187&gt;0,N187*S187,0)</x:f>
        <x:v>0</x:v>
      </x:c>
      <x:c r="AA187" s="460" t="n">
        <x:f>IF(Q187&gt;0,N187*T187,0)</x:f>
        <x:v>0</x:v>
      </x:c>
      <x:c r="AB187" s="460" t="n">
        <x:f>N187*R187</x:f>
        <x:v>0</x:v>
      </x:c>
      <x:c r="AC187" s="460" t="n">
        <x:f>IF(N187&gt;0,R187,999999)</x:f>
        <x:v>999999</x:v>
      </x:c>
      <x:c r="AD187" s="460" t="n">
        <x:f>IF(AND(N187&gt;0,P187&gt;0),S187,999999)</x:f>
        <x:v>999999</x:v>
      </x:c>
      <x:c r="AE187" s="460" t="n">
        <x:f>IF(AND(N187&gt;0,Q187&gt;0),T187,999999)</x:f>
        <x:v>999999</x:v>
      </x:c>
      <x:c r="AF187" s="23" t="n">
        <x:f>B187*D187*F187*J187</x:f>
        <x:v>0.0009450000000000001</x:v>
      </x:c>
      <x:c r="AG187" s="23" t="n">
        <x:f>IF(P187&gt;0,AF187,0)</x:f>
        <x:v>0.0009450000000000001</x:v>
      </x:c>
      <x:c r="AH187" s="23" t="n">
        <x:f>IF(AND(P187&gt;0,S187&lt;0),AF187,0)</x:f>
        <x:v>0</x:v>
      </x:c>
      <x:c r="AI187" s="23" t="n">
        <x:f>IF(AND(P187&gt;0,S187=0),AF187,0)</x:f>
        <x:v>0</x:v>
      </x:c>
      <x:c r="AJ187" s="23" t="n">
        <x:f>IF(R187&lt;30000,AF187,0)</x:f>
        <x:v>0</x:v>
      </x:c>
      <x:c r="AK187" s="460" t="n">
        <x:f>IF(P187&gt;0,AF187*S187,0)</x:f>
        <x:v>9.450000000000001</x:v>
      </x:c>
    </x:row>
    <x:row r="188" ht="22" customHeight="1">
      <x:c r="A188" s="643" t="str">
        <x:v>保守</x:v>
      </x:c>
      <x:c r="B188" s="648" t="n">
        <x:f>'114_降本系数'!B26</x:f>
        <x:v>0.35</x:v>
      </x:c>
      <x:c r="C188" s="643" t="str">
        <x:v>L3</x:v>
      </x:c>
      <x:c r="D188" s="648" t="n">
        <x:f>'130_联合算法'!C20</x:f>
        <x:v>0.1</x:v>
      </x:c>
      <x:c r="E188" s="647" t="n">
        <x:f>'117_价格概率传导'!A8</x:f>
        <x:v>249900</x:v>
      </x:c>
      <x:c r="F188" s="648" t="n">
        <x:f>'117_价格概率传导'!C8</x:f>
        <x:v>0.54</x:v>
      </x:c>
      <x:c r="G188" s="648" t="n">
        <x:f>SUM('117_价格概率传导'!$C$6:$C$7)</x:f>
        <x:v>0.13</x:v>
      </x:c>
      <x:c r="H188" s="648" t="n">
        <x:f>SUM('117_价格概率传导'!$C$6:$C$8)</x:f>
        <x:v>0.67</x:v>
      </x:c>
      <x:c r="I188" s="647" t="n">
        <x:f>'117_价格概率传导'!A17</x:f>
        <x:v>293900</x:v>
      </x:c>
      <x:c r="J188" s="648" t="n">
        <x:f>'117_价格概率传导'!C17</x:f>
        <x:v>0.06</x:v>
      </x:c>
      <x:c r="K188" s="648" t="n">
        <x:f>SUM('117_价格概率传导'!$C$16:$C$16)</x:f>
        <x:v>0.05</x:v>
      </x:c>
      <x:c r="L188" s="648" t="n">
        <x:f>SUM('117_价格概率传导'!$C$16:$C$17)</x:f>
        <x:v>0.11</x:v>
      </x:c>
      <x:c r="M188" s="648" t="n">
        <x:f>MAX(0,MIN(H188,L188)-MAX(G188,K188))</x:f>
        <x:v>0</x:v>
      </x:c>
      <x:c r="N188" s="648" t="n">
        <x:f>B188*D188*M188</x:f>
        <x:v>0</x:v>
      </x:c>
      <x:c r="O188" s="647" t="n">
        <x:f>MIN(299900,I188+20000)</x:f>
        <x:v>299900</x:v>
      </x:c>
      <x:c r="P188" s="647" t="n">
        <x:f>O188-40000</x:f>
        <x:v>259900</x:v>
      </x:c>
      <x:c r="Q188" s="647" t="n">
        <x:f>O188-20000</x:f>
        <x:v>279900</x:v>
      </x:c>
      <x:c r="R188" s="647" t="n">
        <x:f>O188-E188</x:f>
        <x:v>50000</x:v>
      </x:c>
      <x:c r="S188" s="647" t="n">
        <x:f>IF(P188&gt;0,P188-E188,"")</x:f>
        <x:v>10000</x:v>
      </x:c>
      <x:c r="T188" s="647" t="n">
        <x:f>IF(Q188&gt;0,Q188-E188,"")</x:f>
        <x:v>30000</x:v>
      </x:c>
      <x:c r="U188" s="648" t="n">
        <x:f>IF(R188&lt;30000,N188,0)</x:f>
        <x:v>0</x:v>
      </x:c>
      <x:c r="V188" s="648" t="n">
        <x:f>IF(P188&gt;0,N188,0)</x:f>
        <x:v>0</x:v>
      </x:c>
      <x:c r="W188" s="648" t="n">
        <x:f>IF(AND(P188&gt;0,S188&lt;0),N188,0)</x:f>
        <x:v>0</x:v>
      </x:c>
      <x:c r="X188" s="648" t="n">
        <x:f>IF(AND(P188&gt;0,S188=0),N188,0)</x:f>
        <x:v>0</x:v>
      </x:c>
      <x:c r="Y188" s="648" t="n">
        <x:f>IF(Q188&gt;0,N188,0)</x:f>
        <x:v>0</x:v>
      </x:c>
      <x:c r="Z188" s="647" t="n">
        <x:f>IF(P188&gt;0,N188*S188,0)</x:f>
        <x:v>0</x:v>
      </x:c>
      <x:c r="AA188" s="647" t="n">
        <x:f>IF(Q188&gt;0,N188*T188,0)</x:f>
        <x:v>0</x:v>
      </x:c>
      <x:c r="AB188" s="647" t="n">
        <x:f>N188*R188</x:f>
        <x:v>0</x:v>
      </x:c>
      <x:c r="AC188" s="647" t="n">
        <x:f>IF(N188&gt;0,R188,999999)</x:f>
        <x:v>999999</x:v>
      </x:c>
      <x:c r="AD188" s="647" t="n">
        <x:f>IF(AND(N188&gt;0,P188&gt;0),S188,999999)</x:f>
        <x:v>999999</x:v>
      </x:c>
      <x:c r="AE188" s="647" t="n">
        <x:f>IF(AND(N188&gt;0,Q188&gt;0),T188,999999)</x:f>
        <x:v>999999</x:v>
      </x:c>
      <x:c r="AF188" s="648" t="n">
        <x:f>B188*D188*F188*J188</x:f>
        <x:v>0.001134</x:v>
      </x:c>
      <x:c r="AG188" s="648" t="n">
        <x:f>IF(P188&gt;0,AF188,0)</x:f>
        <x:v>0.001134</x:v>
      </x:c>
      <x:c r="AH188" s="648" t="n">
        <x:f>IF(AND(P188&gt;0,S188&lt;0),AF188,0)</x:f>
        <x:v>0</x:v>
      </x:c>
      <x:c r="AI188" s="648" t="n">
        <x:f>IF(AND(P188&gt;0,S188=0),AF188,0)</x:f>
        <x:v>0</x:v>
      </x:c>
      <x:c r="AJ188" s="648" t="n">
        <x:f>IF(R188&lt;30000,AF188,0)</x:f>
        <x:v>0</x:v>
      </x:c>
      <x:c r="AK188" s="647" t="n">
        <x:f>IF(P188&gt;0,AF188*S188,0)</x:f>
        <x:v>11.34</x:v>
      </x:c>
    </x:row>
    <x:row r="189" ht="22" customHeight="1">
      <x:c r="A189" s="19" t="str">
        <x:v>保守</x:v>
      </x:c>
      <x:c r="B189" s="23" t="n">
        <x:f>'114_降本系数'!B26</x:f>
        <x:v>0.35</x:v>
      </x:c>
      <x:c r="C189" s="19" t="str">
        <x:v>L3</x:v>
      </x:c>
      <x:c r="D189" s="23" t="n">
        <x:f>'130_联合算法'!C20</x:f>
        <x:v>0.1</x:v>
      </x:c>
      <x:c r="E189" s="460" t="n">
        <x:f>'117_价格概率传导'!A8</x:f>
        <x:v>249900</x:v>
      </x:c>
      <x:c r="F189" s="23" t="n">
        <x:f>'117_价格概率传导'!C8</x:f>
        <x:v>0.54</x:v>
      </x:c>
      <x:c r="G189" s="23" t="n">
        <x:f>SUM('117_价格概率传导'!$C$6:$C$7)</x:f>
        <x:v>0.13</x:v>
      </x:c>
      <x:c r="H189" s="23" t="n">
        <x:f>SUM('117_价格概率传导'!$C$6:$C$8)</x:f>
        <x:v>0.67</x:v>
      </x:c>
      <x:c r="I189" s="460" t="n">
        <x:f>'117_价格概率传导'!A18</x:f>
        <x:v>289900</x:v>
      </x:c>
      <x:c r="J189" s="23" t="n">
        <x:f>'117_价格概率传导'!C18</x:f>
        <x:v>0.34</x:v>
      </x:c>
      <x:c r="K189" s="23" t="n">
        <x:f>SUM('117_价格概率传导'!$C$16:$C$17)</x:f>
        <x:v>0.11</x:v>
      </x:c>
      <x:c r="L189" s="23" t="n">
        <x:f>SUM('117_价格概率传导'!$C$16:$C$18)</x:f>
        <x:v>0.45</x:v>
      </x:c>
      <x:c r="M189" s="23" t="n">
        <x:f>MAX(0,MIN(H189,L189)-MAX(G189,K189))</x:f>
        <x:v>0.32</x:v>
      </x:c>
      <x:c r="N189" s="23" t="n">
        <x:f>B189*D189*M189</x:f>
        <x:v>0.0112</x:v>
      </x:c>
      <x:c r="O189" s="460" t="n">
        <x:f>MIN(299900,I189+20000)</x:f>
        <x:v>299900</x:v>
      </x:c>
      <x:c r="P189" s="460" t="n">
        <x:f>O189-40000</x:f>
        <x:v>259900</x:v>
      </x:c>
      <x:c r="Q189" s="460" t="n">
        <x:f>O189-20000</x:f>
        <x:v>279900</x:v>
      </x:c>
      <x:c r="R189" s="460" t="n">
        <x:f>O189-E189</x:f>
        <x:v>50000</x:v>
      </x:c>
      <x:c r="S189" s="460" t="n">
        <x:f>IF(P189&gt;0,P189-E189,"")</x:f>
        <x:v>10000</x:v>
      </x:c>
      <x:c r="T189" s="460" t="n">
        <x:f>IF(Q189&gt;0,Q189-E189,"")</x:f>
        <x:v>30000</x:v>
      </x:c>
      <x:c r="U189" s="23" t="n">
        <x:f>IF(R189&lt;30000,N189,0)</x:f>
        <x:v>0</x:v>
      </x:c>
      <x:c r="V189" s="23" t="n">
        <x:f>IF(P189&gt;0,N189,0)</x:f>
        <x:v>0.0112</x:v>
      </x:c>
      <x:c r="W189" s="23" t="n">
        <x:f>IF(AND(P189&gt;0,S189&lt;0),N189,0)</x:f>
        <x:v>0</x:v>
      </x:c>
      <x:c r="X189" s="23" t="n">
        <x:f>IF(AND(P189&gt;0,S189=0),N189,0)</x:f>
        <x:v>0</x:v>
      </x:c>
      <x:c r="Y189" s="23" t="n">
        <x:f>IF(Q189&gt;0,N189,0)</x:f>
        <x:v>0.0112</x:v>
      </x:c>
      <x:c r="Z189" s="460" t="n">
        <x:f>IF(P189&gt;0,N189*S189,0)</x:f>
        <x:v>112</x:v>
      </x:c>
      <x:c r="AA189" s="460" t="n">
        <x:f>IF(Q189&gt;0,N189*T189,0)</x:f>
        <x:v>336</x:v>
      </x:c>
      <x:c r="AB189" s="460" t="n">
        <x:f>N189*R189</x:f>
        <x:v>560</x:v>
      </x:c>
      <x:c r="AC189" s="460" t="n">
        <x:f>IF(N189&gt;0,R189,999999)</x:f>
        <x:v>50000</x:v>
      </x:c>
      <x:c r="AD189" s="460" t="n">
        <x:f>IF(AND(N189&gt;0,P189&gt;0),S189,999999)</x:f>
        <x:v>10000</x:v>
      </x:c>
      <x:c r="AE189" s="460" t="n">
        <x:f>IF(AND(N189&gt;0,Q189&gt;0),T189,999999)</x:f>
        <x:v>30000</x:v>
      </x:c>
      <x:c r="AF189" s="23" t="n">
        <x:f>B189*D189*F189*J189</x:f>
        <x:v>0.006426</x:v>
      </x:c>
      <x:c r="AG189" s="23" t="n">
        <x:f>IF(P189&gt;0,AF189,0)</x:f>
        <x:v>0.006426</x:v>
      </x:c>
      <x:c r="AH189" s="23" t="n">
        <x:f>IF(AND(P189&gt;0,S189&lt;0),AF189,0)</x:f>
        <x:v>0</x:v>
      </x:c>
      <x:c r="AI189" s="23" t="n">
        <x:f>IF(AND(P189&gt;0,S189=0),AF189,0)</x:f>
        <x:v>0</x:v>
      </x:c>
      <x:c r="AJ189" s="23" t="n">
        <x:f>IF(R189&lt;30000,AF189,0)</x:f>
        <x:v>0</x:v>
      </x:c>
      <x:c r="AK189" s="460" t="n">
        <x:f>IF(P189&gt;0,AF189*S189,0)</x:f>
        <x:v>64.26</x:v>
      </x:c>
    </x:row>
    <x:row r="190" ht="22" customHeight="1">
      <x:c r="A190" s="643" t="str">
        <x:v>保守</x:v>
      </x:c>
      <x:c r="B190" s="648" t="n">
        <x:f>'114_降本系数'!B26</x:f>
        <x:v>0.35</x:v>
      </x:c>
      <x:c r="C190" s="643" t="str">
        <x:v>L3</x:v>
      </x:c>
      <x:c r="D190" s="648" t="n">
        <x:f>'130_联合算法'!C20</x:f>
        <x:v>0.1</x:v>
      </x:c>
      <x:c r="E190" s="647" t="n">
        <x:f>'117_价格概率传导'!A8</x:f>
        <x:v>249900</x:v>
      </x:c>
      <x:c r="F190" s="648" t="n">
        <x:f>'117_价格概率传导'!C8</x:f>
        <x:v>0.54</x:v>
      </x:c>
      <x:c r="G190" s="648" t="n">
        <x:f>SUM('117_价格概率传导'!$C$6:$C$7)</x:f>
        <x:v>0.13</x:v>
      </x:c>
      <x:c r="H190" s="648" t="n">
        <x:f>SUM('117_价格概率传导'!$C$6:$C$8)</x:f>
        <x:v>0.67</x:v>
      </x:c>
      <x:c r="I190" s="647" t="n">
        <x:f>'117_价格概率传导'!A19</x:f>
        <x:v>279900</x:v>
      </x:c>
      <x:c r="J190" s="648" t="n">
        <x:f>'117_价格概率传导'!C19</x:f>
        <x:v>0.39</x:v>
      </x:c>
      <x:c r="K190" s="648" t="n">
        <x:f>SUM('117_价格概率传导'!$C$16:$C$18)</x:f>
        <x:v>0.45</x:v>
      </x:c>
      <x:c r="L190" s="648" t="n">
        <x:f>SUM('117_价格概率传导'!$C$16:$C$19)</x:f>
        <x:v>0.8400000000000001</x:v>
      </x:c>
      <x:c r="M190" s="648" t="n">
        <x:f>MAX(0,MIN(H190,L190)-MAX(G190,K190))</x:f>
        <x:v>0.22000000000000003</x:v>
      </x:c>
      <x:c r="N190" s="648" t="n">
        <x:f>B190*D190*M190</x:f>
        <x:v>0.0077</x:v>
      </x:c>
      <x:c r="O190" s="647" t="n">
        <x:f>MIN(299900,I190+20000)</x:f>
        <x:v>299900</x:v>
      </x:c>
      <x:c r="P190" s="647" t="n">
        <x:f>O190-40000</x:f>
        <x:v>259900</x:v>
      </x:c>
      <x:c r="Q190" s="647" t="n">
        <x:f>O190-20000</x:f>
        <x:v>279900</x:v>
      </x:c>
      <x:c r="R190" s="647" t="n">
        <x:f>O190-E190</x:f>
        <x:v>50000</x:v>
      </x:c>
      <x:c r="S190" s="647" t="n">
        <x:f>IF(P190&gt;0,P190-E190,"")</x:f>
        <x:v>10000</x:v>
      </x:c>
      <x:c r="T190" s="647" t="n">
        <x:f>IF(Q190&gt;0,Q190-E190,"")</x:f>
        <x:v>30000</x:v>
      </x:c>
      <x:c r="U190" s="648" t="n">
        <x:f>IF(R190&lt;30000,N190,0)</x:f>
        <x:v>0</x:v>
      </x:c>
      <x:c r="V190" s="648" t="n">
        <x:f>IF(P190&gt;0,N190,0)</x:f>
        <x:v>0.0077</x:v>
      </x:c>
      <x:c r="W190" s="648" t="n">
        <x:f>IF(AND(P190&gt;0,S190&lt;0),N190,0)</x:f>
        <x:v>0</x:v>
      </x:c>
      <x:c r="X190" s="648" t="n">
        <x:f>IF(AND(P190&gt;0,S190=0),N190,0)</x:f>
        <x:v>0</x:v>
      </x:c>
      <x:c r="Y190" s="648" t="n">
        <x:f>IF(Q190&gt;0,N190,0)</x:f>
        <x:v>0.0077</x:v>
      </x:c>
      <x:c r="Z190" s="647" t="n">
        <x:f>IF(P190&gt;0,N190*S190,0)</x:f>
        <x:v>77</x:v>
      </x:c>
      <x:c r="AA190" s="647" t="n">
        <x:f>IF(Q190&gt;0,N190*T190,0)</x:f>
        <x:v>231</x:v>
      </x:c>
      <x:c r="AB190" s="647" t="n">
        <x:f>N190*R190</x:f>
        <x:v>385</x:v>
      </x:c>
      <x:c r="AC190" s="647" t="n">
        <x:f>IF(N190&gt;0,R190,999999)</x:f>
        <x:v>50000</x:v>
      </x:c>
      <x:c r="AD190" s="647" t="n">
        <x:f>IF(AND(N190&gt;0,P190&gt;0),S190,999999)</x:f>
        <x:v>10000</x:v>
      </x:c>
      <x:c r="AE190" s="647" t="n">
        <x:f>IF(AND(N190&gt;0,Q190&gt;0),T190,999999)</x:f>
        <x:v>30000</x:v>
      </x:c>
      <x:c r="AF190" s="648" t="n">
        <x:f>B190*D190*F190*J190</x:f>
        <x:v>0.007371</x:v>
      </x:c>
      <x:c r="AG190" s="648" t="n">
        <x:f>IF(P190&gt;0,AF190,0)</x:f>
        <x:v>0.007371</x:v>
      </x:c>
      <x:c r="AH190" s="648" t="n">
        <x:f>IF(AND(P190&gt;0,S190&lt;0),AF190,0)</x:f>
        <x:v>0</x:v>
      </x:c>
      <x:c r="AI190" s="648" t="n">
        <x:f>IF(AND(P190&gt;0,S190=0),AF190,0)</x:f>
        <x:v>0</x:v>
      </x:c>
      <x:c r="AJ190" s="648" t="n">
        <x:f>IF(R190&lt;30000,AF190,0)</x:f>
        <x:v>0</x:v>
      </x:c>
      <x:c r="AK190" s="647" t="n">
        <x:f>IF(P190&gt;0,AF190*S190,0)</x:f>
        <x:v>73.71</x:v>
      </x:c>
    </x:row>
    <x:row r="191" ht="22" customHeight="1">
      <x:c r="A191" s="19" t="str">
        <x:v>保守</x:v>
      </x:c>
      <x:c r="B191" s="23" t="n">
        <x:f>'114_降本系数'!B26</x:f>
        <x:v>0.35</x:v>
      </x:c>
      <x:c r="C191" s="19" t="str">
        <x:v>L3</x:v>
      </x:c>
      <x:c r="D191" s="23" t="n">
        <x:f>'130_联合算法'!C20</x:f>
        <x:v>0.1</x:v>
      </x:c>
      <x:c r="E191" s="460" t="n">
        <x:f>'117_价格概率传导'!A8</x:f>
        <x:v>249900</x:v>
      </x:c>
      <x:c r="F191" s="23" t="n">
        <x:f>'117_价格概率传导'!C8</x:f>
        <x:v>0.54</x:v>
      </x:c>
      <x:c r="G191" s="23" t="n">
        <x:f>SUM('117_价格概率传导'!$C$6:$C$7)</x:f>
        <x:v>0.13</x:v>
      </x:c>
      <x:c r="H191" s="23" t="n">
        <x:f>SUM('117_价格概率传导'!$C$6:$C$8)</x:f>
        <x:v>0.67</x:v>
      </x:c>
      <x:c r="I191" s="460" t="n">
        <x:f>'117_价格概率传导'!A20</x:f>
        <x:v>269900</x:v>
      </x:c>
      <x:c r="J191" s="23" t="n">
        <x:f>'117_价格概率传导'!C20</x:f>
        <x:v>0.13</x:v>
      </x:c>
      <x:c r="K191" s="23" t="n">
        <x:f>SUM('117_价格概率传导'!$C$16:$C$19)</x:f>
        <x:v>0.8400000000000001</x:v>
      </x:c>
      <x:c r="L191" s="23" t="n">
        <x:f>SUM('117_价格概率传导'!$C$16:$C$20)</x:f>
        <x:v>0.9700000000000001</x:v>
      </x:c>
      <x:c r="M191" s="23" t="n">
        <x:f>MAX(0,MIN(H191,L191)-MAX(G191,K191))</x:f>
        <x:v>0</x:v>
      </x:c>
      <x:c r="N191" s="23" t="n">
        <x:f>B191*D191*M191</x:f>
        <x:v>0</x:v>
      </x:c>
      <x:c r="O191" s="460" t="n">
        <x:f>MIN(299900,I191+20000)</x:f>
        <x:v>289900</x:v>
      </x:c>
      <x:c r="P191" s="460" t="n">
        <x:f>O191-40000</x:f>
        <x:v>249900</x:v>
      </x:c>
      <x:c r="Q191" s="460" t="n">
        <x:f>O191-20000</x:f>
        <x:v>269900</x:v>
      </x:c>
      <x:c r="R191" s="460" t="n">
        <x:f>O191-E191</x:f>
        <x:v>40000</x:v>
      </x:c>
      <x:c r="S191" s="460" t="n">
        <x:f>IF(P191&gt;0,P191-E191,"")</x:f>
        <x:v>0</x:v>
      </x:c>
      <x:c r="T191" s="460" t="n">
        <x:f>IF(Q191&gt;0,Q191-E191,"")</x:f>
        <x:v>20000</x:v>
      </x:c>
      <x:c r="U191" s="23" t="n">
        <x:f>IF(R191&lt;30000,N191,0)</x:f>
        <x:v>0</x:v>
      </x:c>
      <x:c r="V191" s="23" t="n">
        <x:f>IF(P191&gt;0,N191,0)</x:f>
        <x:v>0</x:v>
      </x:c>
      <x:c r="W191" s="23" t="n">
        <x:f>IF(AND(P191&gt;0,S191&lt;0),N191,0)</x:f>
        <x:v>0</x:v>
      </x:c>
      <x:c r="X191" s="23" t="n">
        <x:f>IF(AND(P191&gt;0,S191=0),N191,0)</x:f>
        <x:v>0</x:v>
      </x:c>
      <x:c r="Y191" s="23" t="n">
        <x:f>IF(Q191&gt;0,N191,0)</x:f>
        <x:v>0</x:v>
      </x:c>
      <x:c r="Z191" s="460" t="n">
        <x:f>IF(P191&gt;0,N191*S191,0)</x:f>
        <x:v>0</x:v>
      </x:c>
      <x:c r="AA191" s="460" t="n">
        <x:f>IF(Q191&gt;0,N191*T191,0)</x:f>
        <x:v>0</x:v>
      </x:c>
      <x:c r="AB191" s="460" t="n">
        <x:f>N191*R191</x:f>
        <x:v>0</x:v>
      </x:c>
      <x:c r="AC191" s="460" t="n">
        <x:f>IF(N191&gt;0,R191,999999)</x:f>
        <x:v>999999</x:v>
      </x:c>
      <x:c r="AD191" s="460" t="n">
        <x:f>IF(AND(N191&gt;0,P191&gt;0),S191,999999)</x:f>
        <x:v>999999</x:v>
      </x:c>
      <x:c r="AE191" s="460" t="n">
        <x:f>IF(AND(N191&gt;0,Q191&gt;0),T191,999999)</x:f>
        <x:v>999999</x:v>
      </x:c>
      <x:c r="AF191" s="23" t="n">
        <x:f>B191*D191*F191*J191</x:f>
        <x:v>0.002457</x:v>
      </x:c>
      <x:c r="AG191" s="23" t="n">
        <x:f>IF(P191&gt;0,AF191,0)</x:f>
        <x:v>0.002457</x:v>
      </x:c>
      <x:c r="AH191" s="23" t="n">
        <x:f>IF(AND(P191&gt;0,S191&lt;0),AF191,0)</x:f>
        <x:v>0</x:v>
      </x:c>
      <x:c r="AI191" s="23" t="n">
        <x:f>IF(AND(P191&gt;0,S191=0),AF191,0)</x:f>
        <x:v>0.002457</x:v>
      </x:c>
      <x:c r="AJ191" s="23" t="n">
        <x:f>IF(R191&lt;30000,AF191,0)</x:f>
        <x:v>0</x:v>
      </x:c>
      <x:c r="AK191" s="460" t="n">
        <x:f>IF(P191&gt;0,AF191*S191,0)</x:f>
        <x:v>0</x:v>
      </x:c>
    </x:row>
    <x:row r="192" ht="22" customHeight="1">
      <x:c r="A192" s="643" t="str">
        <x:v>保守</x:v>
      </x:c>
      <x:c r="B192" s="648" t="n">
        <x:f>'114_降本系数'!B26</x:f>
        <x:v>0.35</x:v>
      </x:c>
      <x:c r="C192" s="643" t="str">
        <x:v>L3</x:v>
      </x:c>
      <x:c r="D192" s="648" t="n">
        <x:f>'130_联合算法'!C20</x:f>
        <x:v>0.1</x:v>
      </x:c>
      <x:c r="E192" s="647" t="n">
        <x:f>'117_价格概率传导'!A8</x:f>
        <x:v>249900</x:v>
      </x:c>
      <x:c r="F192" s="648" t="n">
        <x:f>'117_价格概率传导'!C8</x:f>
        <x:v>0.54</x:v>
      </x:c>
      <x:c r="G192" s="648" t="n">
        <x:f>SUM('117_价格概率传导'!$C$6:$C$7)</x:f>
        <x:v>0.13</x:v>
      </x:c>
      <x:c r="H192" s="648" t="n">
        <x:f>SUM('117_价格概率传导'!$C$6:$C$8)</x:f>
        <x:v>0.67</x:v>
      </x:c>
      <x:c r="I192" s="647" t="n">
        <x:f>'117_价格概率传导'!A21</x:f>
        <x:v>259900</x:v>
      </x:c>
      <x:c r="J192" s="648" t="n">
        <x:f>'117_价格概率传导'!C21</x:f>
        <x:v>0.03</x:v>
      </x:c>
      <x:c r="K192" s="648" t="n">
        <x:f>SUM('117_价格概率传导'!$C$16:$C$20)</x:f>
        <x:v>0.9700000000000001</x:v>
      </x:c>
      <x:c r="L192" s="648" t="n">
        <x:f>SUM('117_价格概率传导'!$C$16:$C$21)</x:f>
        <x:v>1</x:v>
      </x:c>
      <x:c r="M192" s="648" t="n">
        <x:f>MAX(0,MIN(H192,L192)-MAX(G192,K192))</x:f>
        <x:v>0</x:v>
      </x:c>
      <x:c r="N192" s="648" t="n">
        <x:f>B192*D192*M192</x:f>
        <x:v>0</x:v>
      </x:c>
      <x:c r="O192" s="647" t="n">
        <x:f>MIN(299900,I192+20000)</x:f>
        <x:v>279900</x:v>
      </x:c>
      <x:c r="P192" s="647" t="n">
        <x:f>O192-40000</x:f>
        <x:v>239900</x:v>
      </x:c>
      <x:c r="Q192" s="647" t="n">
        <x:f>O192-20000</x:f>
        <x:v>259900</x:v>
      </x:c>
      <x:c r="R192" s="647" t="n">
        <x:f>O192-E192</x:f>
        <x:v>30000</x:v>
      </x:c>
      <x:c r="S192" s="647" t="n">
        <x:f>IF(P192&gt;0,P192-E192,"")</x:f>
        <x:v>-10000</x:v>
      </x:c>
      <x:c r="T192" s="647" t="n">
        <x:f>IF(Q192&gt;0,Q192-E192,"")</x:f>
        <x:v>10000</x:v>
      </x:c>
      <x:c r="U192" s="648" t="n">
        <x:f>IF(R192&lt;30000,N192,0)</x:f>
        <x:v>0</x:v>
      </x:c>
      <x:c r="V192" s="648" t="n">
        <x:f>IF(P192&gt;0,N192,0)</x:f>
        <x:v>0</x:v>
      </x:c>
      <x:c r="W192" s="648" t="n">
        <x:f>IF(AND(P192&gt;0,S192&lt;0),N192,0)</x:f>
        <x:v>0</x:v>
      </x:c>
      <x:c r="X192" s="648" t="n">
        <x:f>IF(AND(P192&gt;0,S192=0),N192,0)</x:f>
        <x:v>0</x:v>
      </x:c>
      <x:c r="Y192" s="648" t="n">
        <x:f>IF(Q192&gt;0,N192,0)</x:f>
        <x:v>0</x:v>
      </x:c>
      <x:c r="Z192" s="647" t="n">
        <x:f>IF(P192&gt;0,N192*S192,0)</x:f>
        <x:v>0</x:v>
      </x:c>
      <x:c r="AA192" s="647" t="n">
        <x:f>IF(Q192&gt;0,N192*T192,0)</x:f>
        <x:v>0</x:v>
      </x:c>
      <x:c r="AB192" s="647" t="n">
        <x:f>N192*R192</x:f>
        <x:v>0</x:v>
      </x:c>
      <x:c r="AC192" s="647" t="n">
        <x:f>IF(N192&gt;0,R192,999999)</x:f>
        <x:v>999999</x:v>
      </x:c>
      <x:c r="AD192" s="647" t="n">
        <x:f>IF(AND(N192&gt;0,P192&gt;0),S192,999999)</x:f>
        <x:v>999999</x:v>
      </x:c>
      <x:c r="AE192" s="647" t="n">
        <x:f>IF(AND(N192&gt;0,Q192&gt;0),T192,999999)</x:f>
        <x:v>999999</x:v>
      </x:c>
      <x:c r="AF192" s="648" t="n">
        <x:f>B192*D192*F192*J192</x:f>
        <x:v>0.000567</x:v>
      </x:c>
      <x:c r="AG192" s="648" t="n">
        <x:f>IF(P192&gt;0,AF192,0)</x:f>
        <x:v>0.000567</x:v>
      </x:c>
      <x:c r="AH192" s="648" t="n">
        <x:f>IF(AND(P192&gt;0,S192&lt;0),AF192,0)</x:f>
        <x:v>0.000567</x:v>
      </x:c>
      <x:c r="AI192" s="648" t="n">
        <x:f>IF(AND(P192&gt;0,S192=0),AF192,0)</x:f>
        <x:v>0</x:v>
      </x:c>
      <x:c r="AJ192" s="648" t="n">
        <x:f>IF(R192&lt;30000,AF192,0)</x:f>
        <x:v>0</x:v>
      </x:c>
      <x:c r="AK192" s="647" t="n">
        <x:f>IF(P192&gt;0,AF192*S192,0)</x:f>
        <x:v>-5.67</x:v>
      </x:c>
    </x:row>
    <x:row r="193" ht="22" customHeight="1">
      <x:c r="A193" s="19" t="str">
        <x:v>保守</x:v>
      </x:c>
      <x:c r="B193" s="23" t="n">
        <x:f>'114_降本系数'!B26</x:f>
        <x:v>0.35</x:v>
      </x:c>
      <x:c r="C193" s="19" t="str">
        <x:v>L3</x:v>
      </x:c>
      <x:c r="D193" s="23" t="n">
        <x:f>'130_联合算法'!C20</x:f>
        <x:v>0.1</x:v>
      </x:c>
      <x:c r="E193" s="460" t="n">
        <x:f>'117_价格概率传导'!A9</x:f>
        <x:v>239900</x:v>
      </x:c>
      <x:c r="F193" s="23" t="n">
        <x:f>'117_价格概率传导'!C9</x:f>
        <x:v>0.26</x:v>
      </x:c>
      <x:c r="G193" s="23" t="n">
        <x:f>SUM('117_价格概率传导'!$C$6:$C$8)</x:f>
        <x:v>0.67</x:v>
      </x:c>
      <x:c r="H193" s="23" t="n">
        <x:f>SUM('117_价格概率传导'!$C$6:$C$9)</x:f>
        <x:v>0.93</x:v>
      </x:c>
      <x:c r="I193" s="460" t="n">
        <x:f>'117_价格概率传导'!A16</x:f>
        <x:v>299900</x:v>
      </x:c>
      <x:c r="J193" s="23" t="n">
        <x:f>'117_价格概率传导'!C16</x:f>
        <x:v>0.05</x:v>
      </x:c>
      <x:c r="K193" s="23" t="n">
        <x:f>0</x:f>
        <x:v>0</x:v>
      </x:c>
      <x:c r="L193" s="23" t="n">
        <x:f>SUM('117_价格概率传导'!$C$16:$C$16)</x:f>
        <x:v>0.05</x:v>
      </x:c>
      <x:c r="M193" s="23" t="n">
        <x:f>MAX(0,MIN(H193,L193)-MAX(G193,K193))</x:f>
        <x:v>0</x:v>
      </x:c>
      <x:c r="N193" s="23" t="n">
        <x:f>B193*D193*M193</x:f>
        <x:v>0</x:v>
      </x:c>
      <x:c r="O193" s="460" t="n">
        <x:f>MIN(299900,I193+20000)</x:f>
        <x:v>299900</x:v>
      </x:c>
      <x:c r="P193" s="460" t="n">
        <x:f>O193-40000</x:f>
        <x:v>259900</x:v>
      </x:c>
      <x:c r="Q193" s="460" t="n">
        <x:f>O193-20000</x:f>
        <x:v>279900</x:v>
      </x:c>
      <x:c r="R193" s="460" t="n">
        <x:f>O193-E193</x:f>
        <x:v>60000</x:v>
      </x:c>
      <x:c r="S193" s="460" t="n">
        <x:f>IF(P193&gt;0,P193-E193,"")</x:f>
        <x:v>20000</x:v>
      </x:c>
      <x:c r="T193" s="460" t="n">
        <x:f>IF(Q193&gt;0,Q193-E193,"")</x:f>
        <x:v>40000</x:v>
      </x:c>
      <x:c r="U193" s="23" t="n">
        <x:f>IF(R193&lt;30000,N193,0)</x:f>
        <x:v>0</x:v>
      </x:c>
      <x:c r="V193" s="23" t="n">
        <x:f>IF(P193&gt;0,N193,0)</x:f>
        <x:v>0</x:v>
      </x:c>
      <x:c r="W193" s="23" t="n">
        <x:f>IF(AND(P193&gt;0,S193&lt;0),N193,0)</x:f>
        <x:v>0</x:v>
      </x:c>
      <x:c r="X193" s="23" t="n">
        <x:f>IF(AND(P193&gt;0,S193=0),N193,0)</x:f>
        <x:v>0</x:v>
      </x:c>
      <x:c r="Y193" s="23" t="n">
        <x:f>IF(Q193&gt;0,N193,0)</x:f>
        <x:v>0</x:v>
      </x:c>
      <x:c r="Z193" s="460" t="n">
        <x:f>IF(P193&gt;0,N193*S193,0)</x:f>
        <x:v>0</x:v>
      </x:c>
      <x:c r="AA193" s="460" t="n">
        <x:f>IF(Q193&gt;0,N193*T193,0)</x:f>
        <x:v>0</x:v>
      </x:c>
      <x:c r="AB193" s="460" t="n">
        <x:f>N193*R193</x:f>
        <x:v>0</x:v>
      </x:c>
      <x:c r="AC193" s="460" t="n">
        <x:f>IF(N193&gt;0,R193,999999)</x:f>
        <x:v>999999</x:v>
      </x:c>
      <x:c r="AD193" s="460" t="n">
        <x:f>IF(AND(N193&gt;0,P193&gt;0),S193,999999)</x:f>
        <x:v>999999</x:v>
      </x:c>
      <x:c r="AE193" s="460" t="n">
        <x:f>IF(AND(N193&gt;0,Q193&gt;0),T193,999999)</x:f>
        <x:v>999999</x:v>
      </x:c>
      <x:c r="AF193" s="23" t="n">
        <x:f>B193*D193*F193*J193</x:f>
        <x:v>0.00045499999999999995</x:v>
      </x:c>
      <x:c r="AG193" s="23" t="n">
        <x:f>IF(P193&gt;0,AF193,0)</x:f>
        <x:v>0.00045499999999999995</x:v>
      </x:c>
      <x:c r="AH193" s="23" t="n">
        <x:f>IF(AND(P193&gt;0,S193&lt;0),AF193,0)</x:f>
        <x:v>0</x:v>
      </x:c>
      <x:c r="AI193" s="23" t="n">
        <x:f>IF(AND(P193&gt;0,S193=0),AF193,0)</x:f>
        <x:v>0</x:v>
      </x:c>
      <x:c r="AJ193" s="23" t="n">
        <x:f>IF(R193&lt;30000,AF193,0)</x:f>
        <x:v>0</x:v>
      </x:c>
      <x:c r="AK193" s="460" t="n">
        <x:f>IF(P193&gt;0,AF193*S193,0)</x:f>
        <x:v>9.1</x:v>
      </x:c>
    </x:row>
    <x:row r="194" ht="22" customHeight="1">
      <x:c r="A194" s="643" t="str">
        <x:v>保守</x:v>
      </x:c>
      <x:c r="B194" s="648" t="n">
        <x:f>'114_降本系数'!B26</x:f>
        <x:v>0.35</x:v>
      </x:c>
      <x:c r="C194" s="643" t="str">
        <x:v>L3</x:v>
      </x:c>
      <x:c r="D194" s="648" t="n">
        <x:f>'130_联合算法'!C20</x:f>
        <x:v>0.1</x:v>
      </x:c>
      <x:c r="E194" s="647" t="n">
        <x:f>'117_价格概率传导'!A9</x:f>
        <x:v>239900</x:v>
      </x:c>
      <x:c r="F194" s="648" t="n">
        <x:f>'117_价格概率传导'!C9</x:f>
        <x:v>0.26</x:v>
      </x:c>
      <x:c r="G194" s="648" t="n">
        <x:f>SUM('117_价格概率传导'!$C$6:$C$8)</x:f>
        <x:v>0.67</x:v>
      </x:c>
      <x:c r="H194" s="648" t="n">
        <x:f>SUM('117_价格概率传导'!$C$6:$C$9)</x:f>
        <x:v>0.93</x:v>
      </x:c>
      <x:c r="I194" s="647" t="n">
        <x:f>'117_价格概率传导'!A17</x:f>
        <x:v>293900</x:v>
      </x:c>
      <x:c r="J194" s="648" t="n">
        <x:f>'117_价格概率传导'!C17</x:f>
        <x:v>0.06</x:v>
      </x:c>
      <x:c r="K194" s="648" t="n">
        <x:f>SUM('117_价格概率传导'!$C$16:$C$16)</x:f>
        <x:v>0.05</x:v>
      </x:c>
      <x:c r="L194" s="648" t="n">
        <x:f>SUM('117_价格概率传导'!$C$16:$C$17)</x:f>
        <x:v>0.11</x:v>
      </x:c>
      <x:c r="M194" s="648" t="n">
        <x:f>MAX(0,MIN(H194,L194)-MAX(G194,K194))</x:f>
        <x:v>0</x:v>
      </x:c>
      <x:c r="N194" s="648" t="n">
        <x:f>B194*D194*M194</x:f>
        <x:v>0</x:v>
      </x:c>
      <x:c r="O194" s="647" t="n">
        <x:f>MIN(299900,I194+20000)</x:f>
        <x:v>299900</x:v>
      </x:c>
      <x:c r="P194" s="647" t="n">
        <x:f>O194-40000</x:f>
        <x:v>259900</x:v>
      </x:c>
      <x:c r="Q194" s="647" t="n">
        <x:f>O194-20000</x:f>
        <x:v>279900</x:v>
      </x:c>
      <x:c r="R194" s="647" t="n">
        <x:f>O194-E194</x:f>
        <x:v>60000</x:v>
      </x:c>
      <x:c r="S194" s="647" t="n">
        <x:f>IF(P194&gt;0,P194-E194,"")</x:f>
        <x:v>20000</x:v>
      </x:c>
      <x:c r="T194" s="647" t="n">
        <x:f>IF(Q194&gt;0,Q194-E194,"")</x:f>
        <x:v>40000</x:v>
      </x:c>
      <x:c r="U194" s="648" t="n">
        <x:f>IF(R194&lt;30000,N194,0)</x:f>
        <x:v>0</x:v>
      </x:c>
      <x:c r="V194" s="648" t="n">
        <x:f>IF(P194&gt;0,N194,0)</x:f>
        <x:v>0</x:v>
      </x:c>
      <x:c r="W194" s="648" t="n">
        <x:f>IF(AND(P194&gt;0,S194&lt;0),N194,0)</x:f>
        <x:v>0</x:v>
      </x:c>
      <x:c r="X194" s="648" t="n">
        <x:f>IF(AND(P194&gt;0,S194=0),N194,0)</x:f>
        <x:v>0</x:v>
      </x:c>
      <x:c r="Y194" s="648" t="n">
        <x:f>IF(Q194&gt;0,N194,0)</x:f>
        <x:v>0</x:v>
      </x:c>
      <x:c r="Z194" s="647" t="n">
        <x:f>IF(P194&gt;0,N194*S194,0)</x:f>
        <x:v>0</x:v>
      </x:c>
      <x:c r="AA194" s="647" t="n">
        <x:f>IF(Q194&gt;0,N194*T194,0)</x:f>
        <x:v>0</x:v>
      </x:c>
      <x:c r="AB194" s="647" t="n">
        <x:f>N194*R194</x:f>
        <x:v>0</x:v>
      </x:c>
      <x:c r="AC194" s="647" t="n">
        <x:f>IF(N194&gt;0,R194,999999)</x:f>
        <x:v>999999</x:v>
      </x:c>
      <x:c r="AD194" s="647" t="n">
        <x:f>IF(AND(N194&gt;0,P194&gt;0),S194,999999)</x:f>
        <x:v>999999</x:v>
      </x:c>
      <x:c r="AE194" s="647" t="n">
        <x:f>IF(AND(N194&gt;0,Q194&gt;0),T194,999999)</x:f>
        <x:v>999999</x:v>
      </x:c>
      <x:c r="AF194" s="648" t="n">
        <x:f>B194*D194*F194*J194</x:f>
        <x:v>0.0005459999999999999</x:v>
      </x:c>
      <x:c r="AG194" s="648" t="n">
        <x:f>IF(P194&gt;0,AF194,0)</x:f>
        <x:v>0.0005459999999999999</x:v>
      </x:c>
      <x:c r="AH194" s="648" t="n">
        <x:f>IF(AND(P194&gt;0,S194&lt;0),AF194,0)</x:f>
        <x:v>0</x:v>
      </x:c>
      <x:c r="AI194" s="648" t="n">
        <x:f>IF(AND(P194&gt;0,S194=0),AF194,0)</x:f>
        <x:v>0</x:v>
      </x:c>
      <x:c r="AJ194" s="648" t="n">
        <x:f>IF(R194&lt;30000,AF194,0)</x:f>
        <x:v>0</x:v>
      </x:c>
      <x:c r="AK194" s="647" t="n">
        <x:f>IF(P194&gt;0,AF194*S194,0)</x:f>
        <x:v>10.919999999999998</x:v>
      </x:c>
    </x:row>
    <x:row r="195" ht="22" customHeight="1">
      <x:c r="A195" s="19" t="str">
        <x:v>保守</x:v>
      </x:c>
      <x:c r="B195" s="23" t="n">
        <x:f>'114_降本系数'!B26</x:f>
        <x:v>0.35</x:v>
      </x:c>
      <x:c r="C195" s="19" t="str">
        <x:v>L3</x:v>
      </x:c>
      <x:c r="D195" s="23" t="n">
        <x:f>'130_联合算法'!C20</x:f>
        <x:v>0.1</x:v>
      </x:c>
      <x:c r="E195" s="460" t="n">
        <x:f>'117_价格概率传导'!A9</x:f>
        <x:v>239900</x:v>
      </x:c>
      <x:c r="F195" s="23" t="n">
        <x:f>'117_价格概率传导'!C9</x:f>
        <x:v>0.26</x:v>
      </x:c>
      <x:c r="G195" s="23" t="n">
        <x:f>SUM('117_价格概率传导'!$C$6:$C$8)</x:f>
        <x:v>0.67</x:v>
      </x:c>
      <x:c r="H195" s="23" t="n">
        <x:f>SUM('117_价格概率传导'!$C$6:$C$9)</x:f>
        <x:v>0.93</x:v>
      </x:c>
      <x:c r="I195" s="460" t="n">
        <x:f>'117_价格概率传导'!A18</x:f>
        <x:v>289900</x:v>
      </x:c>
      <x:c r="J195" s="23" t="n">
        <x:f>'117_价格概率传导'!C18</x:f>
        <x:v>0.34</x:v>
      </x:c>
      <x:c r="K195" s="23" t="n">
        <x:f>SUM('117_价格概率传导'!$C$16:$C$17)</x:f>
        <x:v>0.11</x:v>
      </x:c>
      <x:c r="L195" s="23" t="n">
        <x:f>SUM('117_价格概率传导'!$C$16:$C$18)</x:f>
        <x:v>0.45</x:v>
      </x:c>
      <x:c r="M195" s="23" t="n">
        <x:f>MAX(0,MIN(H195,L195)-MAX(G195,K195))</x:f>
        <x:v>0</x:v>
      </x:c>
      <x:c r="N195" s="23" t="n">
        <x:f>B195*D195*M195</x:f>
        <x:v>0</x:v>
      </x:c>
      <x:c r="O195" s="460" t="n">
        <x:f>MIN(299900,I195+20000)</x:f>
        <x:v>299900</x:v>
      </x:c>
      <x:c r="P195" s="460" t="n">
        <x:f>O195-40000</x:f>
        <x:v>259900</x:v>
      </x:c>
      <x:c r="Q195" s="460" t="n">
        <x:f>O195-20000</x:f>
        <x:v>279900</x:v>
      </x:c>
      <x:c r="R195" s="460" t="n">
        <x:f>O195-E195</x:f>
        <x:v>60000</x:v>
      </x:c>
      <x:c r="S195" s="460" t="n">
        <x:f>IF(P195&gt;0,P195-E195,"")</x:f>
        <x:v>20000</x:v>
      </x:c>
      <x:c r="T195" s="460" t="n">
        <x:f>IF(Q195&gt;0,Q195-E195,"")</x:f>
        <x:v>40000</x:v>
      </x:c>
      <x:c r="U195" s="23" t="n">
        <x:f>IF(R195&lt;30000,N195,0)</x:f>
        <x:v>0</x:v>
      </x:c>
      <x:c r="V195" s="23" t="n">
        <x:f>IF(P195&gt;0,N195,0)</x:f>
        <x:v>0</x:v>
      </x:c>
      <x:c r="W195" s="23" t="n">
        <x:f>IF(AND(P195&gt;0,S195&lt;0),N195,0)</x:f>
        <x:v>0</x:v>
      </x:c>
      <x:c r="X195" s="23" t="n">
        <x:f>IF(AND(P195&gt;0,S195=0),N195,0)</x:f>
        <x:v>0</x:v>
      </x:c>
      <x:c r="Y195" s="23" t="n">
        <x:f>IF(Q195&gt;0,N195,0)</x:f>
        <x:v>0</x:v>
      </x:c>
      <x:c r="Z195" s="460" t="n">
        <x:f>IF(P195&gt;0,N195*S195,0)</x:f>
        <x:v>0</x:v>
      </x:c>
      <x:c r="AA195" s="460" t="n">
        <x:f>IF(Q195&gt;0,N195*T195,0)</x:f>
        <x:v>0</x:v>
      </x:c>
      <x:c r="AB195" s="460" t="n">
        <x:f>N195*R195</x:f>
        <x:v>0</x:v>
      </x:c>
      <x:c r="AC195" s="460" t="n">
        <x:f>IF(N195&gt;0,R195,999999)</x:f>
        <x:v>999999</x:v>
      </x:c>
      <x:c r="AD195" s="460" t="n">
        <x:f>IF(AND(N195&gt;0,P195&gt;0),S195,999999)</x:f>
        <x:v>999999</x:v>
      </x:c>
      <x:c r="AE195" s="460" t="n">
        <x:f>IF(AND(N195&gt;0,Q195&gt;0),T195,999999)</x:f>
        <x:v>999999</x:v>
      </x:c>
      <x:c r="AF195" s="23" t="n">
        <x:f>B195*D195*F195*J195</x:f>
        <x:v>0.003094</x:v>
      </x:c>
      <x:c r="AG195" s="23" t="n">
        <x:f>IF(P195&gt;0,AF195,0)</x:f>
        <x:v>0.003094</x:v>
      </x:c>
      <x:c r="AH195" s="23" t="n">
        <x:f>IF(AND(P195&gt;0,S195&lt;0),AF195,0)</x:f>
        <x:v>0</x:v>
      </x:c>
      <x:c r="AI195" s="23" t="n">
        <x:f>IF(AND(P195&gt;0,S195=0),AF195,0)</x:f>
        <x:v>0</x:v>
      </x:c>
      <x:c r="AJ195" s="23" t="n">
        <x:f>IF(R195&lt;30000,AF195,0)</x:f>
        <x:v>0</x:v>
      </x:c>
      <x:c r="AK195" s="460" t="n">
        <x:f>IF(P195&gt;0,AF195*S195,0)</x:f>
        <x:v>61.88</x:v>
      </x:c>
    </x:row>
    <x:row r="196" ht="22" customHeight="1">
      <x:c r="A196" s="643" t="str">
        <x:v>保守</x:v>
      </x:c>
      <x:c r="B196" s="648" t="n">
        <x:f>'114_降本系数'!B26</x:f>
        <x:v>0.35</x:v>
      </x:c>
      <x:c r="C196" s="643" t="str">
        <x:v>L3</x:v>
      </x:c>
      <x:c r="D196" s="648" t="n">
        <x:f>'130_联合算法'!C20</x:f>
        <x:v>0.1</x:v>
      </x:c>
      <x:c r="E196" s="647" t="n">
        <x:f>'117_价格概率传导'!A9</x:f>
        <x:v>239900</x:v>
      </x:c>
      <x:c r="F196" s="648" t="n">
        <x:f>'117_价格概率传导'!C9</x:f>
        <x:v>0.26</x:v>
      </x:c>
      <x:c r="G196" s="648" t="n">
        <x:f>SUM('117_价格概率传导'!$C$6:$C$8)</x:f>
        <x:v>0.67</x:v>
      </x:c>
      <x:c r="H196" s="648" t="n">
        <x:f>SUM('117_价格概率传导'!$C$6:$C$9)</x:f>
        <x:v>0.93</x:v>
      </x:c>
      <x:c r="I196" s="647" t="n">
        <x:f>'117_价格概率传导'!A19</x:f>
        <x:v>279900</x:v>
      </x:c>
      <x:c r="J196" s="648" t="n">
        <x:f>'117_价格概率传导'!C19</x:f>
        <x:v>0.39</x:v>
      </x:c>
      <x:c r="K196" s="648" t="n">
        <x:f>SUM('117_价格概率传导'!$C$16:$C$18)</x:f>
        <x:v>0.45</x:v>
      </x:c>
      <x:c r="L196" s="648" t="n">
        <x:f>SUM('117_价格概率传导'!$C$16:$C$19)</x:f>
        <x:v>0.8400000000000001</x:v>
      </x:c>
      <x:c r="M196" s="648" t="n">
        <x:f>MAX(0,MIN(H196,L196)-MAX(G196,K196))</x:f>
        <x:v>0.17000000000000004</x:v>
      </x:c>
      <x:c r="N196" s="648" t="n">
        <x:f>B196*D196*M196</x:f>
        <x:v>0.00595</x:v>
      </x:c>
      <x:c r="O196" s="647" t="n">
        <x:f>MIN(299900,I196+20000)</x:f>
        <x:v>299900</x:v>
      </x:c>
      <x:c r="P196" s="647" t="n">
        <x:f>O196-40000</x:f>
        <x:v>259900</x:v>
      </x:c>
      <x:c r="Q196" s="647" t="n">
        <x:f>O196-20000</x:f>
        <x:v>279900</x:v>
      </x:c>
      <x:c r="R196" s="647" t="n">
        <x:f>O196-E196</x:f>
        <x:v>60000</x:v>
      </x:c>
      <x:c r="S196" s="647" t="n">
        <x:f>IF(P196&gt;0,P196-E196,"")</x:f>
        <x:v>20000</x:v>
      </x:c>
      <x:c r="T196" s="647" t="n">
        <x:f>IF(Q196&gt;0,Q196-E196,"")</x:f>
        <x:v>40000</x:v>
      </x:c>
      <x:c r="U196" s="648" t="n">
        <x:f>IF(R196&lt;30000,N196,0)</x:f>
        <x:v>0</x:v>
      </x:c>
      <x:c r="V196" s="648" t="n">
        <x:f>IF(P196&gt;0,N196,0)</x:f>
        <x:v>0.00595</x:v>
      </x:c>
      <x:c r="W196" s="648" t="n">
        <x:f>IF(AND(P196&gt;0,S196&lt;0),N196,0)</x:f>
        <x:v>0</x:v>
      </x:c>
      <x:c r="X196" s="648" t="n">
        <x:f>IF(AND(P196&gt;0,S196=0),N196,0)</x:f>
        <x:v>0</x:v>
      </x:c>
      <x:c r="Y196" s="648" t="n">
        <x:f>IF(Q196&gt;0,N196,0)</x:f>
        <x:v>0.00595</x:v>
      </x:c>
      <x:c r="Z196" s="647" t="n">
        <x:f>IF(P196&gt;0,N196*S196,0)</x:f>
        <x:v>119.00000000000001</x:v>
      </x:c>
      <x:c r="AA196" s="647" t="n">
        <x:f>IF(Q196&gt;0,N196*T196,0)</x:f>
        <x:v>238.00000000000003</x:v>
      </x:c>
      <x:c r="AB196" s="647" t="n">
        <x:f>N196*R196</x:f>
        <x:v>357</x:v>
      </x:c>
      <x:c r="AC196" s="647" t="n">
        <x:f>IF(N196&gt;0,R196,999999)</x:f>
        <x:v>60000</x:v>
      </x:c>
      <x:c r="AD196" s="647" t="n">
        <x:f>IF(AND(N196&gt;0,P196&gt;0),S196,999999)</x:f>
        <x:v>20000</x:v>
      </x:c>
      <x:c r="AE196" s="647" t="n">
        <x:f>IF(AND(N196&gt;0,Q196&gt;0),T196,999999)</x:f>
        <x:v>40000</x:v>
      </x:c>
      <x:c r="AF196" s="648" t="n">
        <x:f>B196*D196*F196*J196</x:f>
        <x:v>0.0035489999999999996</x:v>
      </x:c>
      <x:c r="AG196" s="648" t="n">
        <x:f>IF(P196&gt;0,AF196,0)</x:f>
        <x:v>0.0035489999999999996</x:v>
      </x:c>
      <x:c r="AH196" s="648" t="n">
        <x:f>IF(AND(P196&gt;0,S196&lt;0),AF196,0)</x:f>
        <x:v>0</x:v>
      </x:c>
      <x:c r="AI196" s="648" t="n">
        <x:f>IF(AND(P196&gt;0,S196=0),AF196,0)</x:f>
        <x:v>0</x:v>
      </x:c>
      <x:c r="AJ196" s="648" t="n">
        <x:f>IF(R196&lt;30000,AF196,0)</x:f>
        <x:v>0</x:v>
      </x:c>
      <x:c r="AK196" s="647" t="n">
        <x:f>IF(P196&gt;0,AF196*S196,0)</x:f>
        <x:v>70.97999999999999</x:v>
      </x:c>
    </x:row>
    <x:row r="197" ht="22" customHeight="1">
      <x:c r="A197" s="19" t="str">
        <x:v>保守</x:v>
      </x:c>
      <x:c r="B197" s="23" t="n">
        <x:f>'114_降本系数'!B26</x:f>
        <x:v>0.35</x:v>
      </x:c>
      <x:c r="C197" s="19" t="str">
        <x:v>L3</x:v>
      </x:c>
      <x:c r="D197" s="23" t="n">
        <x:f>'130_联合算法'!C20</x:f>
        <x:v>0.1</x:v>
      </x:c>
      <x:c r="E197" s="460" t="n">
        <x:f>'117_价格概率传导'!A9</x:f>
        <x:v>239900</x:v>
      </x:c>
      <x:c r="F197" s="23" t="n">
        <x:f>'117_价格概率传导'!C9</x:f>
        <x:v>0.26</x:v>
      </x:c>
      <x:c r="G197" s="23" t="n">
        <x:f>SUM('117_价格概率传导'!$C$6:$C$8)</x:f>
        <x:v>0.67</x:v>
      </x:c>
      <x:c r="H197" s="23" t="n">
        <x:f>SUM('117_价格概率传导'!$C$6:$C$9)</x:f>
        <x:v>0.93</x:v>
      </x:c>
      <x:c r="I197" s="460" t="n">
        <x:f>'117_价格概率传导'!A20</x:f>
        <x:v>269900</x:v>
      </x:c>
      <x:c r="J197" s="23" t="n">
        <x:f>'117_价格概率传导'!C20</x:f>
        <x:v>0.13</x:v>
      </x:c>
      <x:c r="K197" s="23" t="n">
        <x:f>SUM('117_价格概率传导'!$C$16:$C$19)</x:f>
        <x:v>0.8400000000000001</x:v>
      </x:c>
      <x:c r="L197" s="23" t="n">
        <x:f>SUM('117_价格概率传导'!$C$16:$C$20)</x:f>
        <x:v>0.9700000000000001</x:v>
      </x:c>
      <x:c r="M197" s="23" t="n">
        <x:f>MAX(0,MIN(H197,L197)-MAX(G197,K197))</x:f>
        <x:v>0.08999999999999997</x:v>
      </x:c>
      <x:c r="N197" s="23" t="n">
        <x:f>B197*D197*M197</x:f>
        <x:v>0.0031499999999999987</x:v>
      </x:c>
      <x:c r="O197" s="460" t="n">
        <x:f>MIN(299900,I197+20000)</x:f>
        <x:v>289900</x:v>
      </x:c>
      <x:c r="P197" s="460" t="n">
        <x:f>O197-40000</x:f>
        <x:v>249900</x:v>
      </x:c>
      <x:c r="Q197" s="460" t="n">
        <x:f>O197-20000</x:f>
        <x:v>269900</x:v>
      </x:c>
      <x:c r="R197" s="460" t="n">
        <x:f>O197-E197</x:f>
        <x:v>50000</x:v>
      </x:c>
      <x:c r="S197" s="460" t="n">
        <x:f>IF(P197&gt;0,P197-E197,"")</x:f>
        <x:v>10000</x:v>
      </x:c>
      <x:c r="T197" s="460" t="n">
        <x:f>IF(Q197&gt;0,Q197-E197,"")</x:f>
        <x:v>30000</x:v>
      </x:c>
      <x:c r="U197" s="23" t="n">
        <x:f>IF(R197&lt;30000,N197,0)</x:f>
        <x:v>0</x:v>
      </x:c>
      <x:c r="V197" s="23" t="n">
        <x:f>IF(P197&gt;0,N197,0)</x:f>
        <x:v>0.0031499999999999987</x:v>
      </x:c>
      <x:c r="W197" s="23" t="n">
        <x:f>IF(AND(P197&gt;0,S197&lt;0),N197,0)</x:f>
        <x:v>0</x:v>
      </x:c>
      <x:c r="X197" s="23" t="n">
        <x:f>IF(AND(P197&gt;0,S197=0),N197,0)</x:f>
        <x:v>0</x:v>
      </x:c>
      <x:c r="Y197" s="23" t="n">
        <x:f>IF(Q197&gt;0,N197,0)</x:f>
        <x:v>0.0031499999999999987</x:v>
      </x:c>
      <x:c r="Z197" s="460" t="n">
        <x:f>IF(P197&gt;0,N197*S197,0)</x:f>
        <x:v>31.499999999999986</x:v>
      </x:c>
      <x:c r="AA197" s="460" t="n">
        <x:f>IF(Q197&gt;0,N197*T197,0)</x:f>
        <x:v>94.49999999999996</x:v>
      </x:c>
      <x:c r="AB197" s="460" t="n">
        <x:f>N197*R197</x:f>
        <x:v>157.49999999999994</x:v>
      </x:c>
      <x:c r="AC197" s="460" t="n">
        <x:f>IF(N197&gt;0,R197,999999)</x:f>
        <x:v>50000</x:v>
      </x:c>
      <x:c r="AD197" s="460" t="n">
        <x:f>IF(AND(N197&gt;0,P197&gt;0),S197,999999)</x:f>
        <x:v>10000</x:v>
      </x:c>
      <x:c r="AE197" s="460" t="n">
        <x:f>IF(AND(N197&gt;0,Q197&gt;0),T197,999999)</x:f>
        <x:v>30000</x:v>
      </x:c>
      <x:c r="AF197" s="23" t="n">
        <x:f>B197*D197*F197*J197</x:f>
        <x:v>0.0011829999999999998</x:v>
      </x:c>
      <x:c r="AG197" s="23" t="n">
        <x:f>IF(P197&gt;0,AF197,0)</x:f>
        <x:v>0.0011829999999999998</x:v>
      </x:c>
      <x:c r="AH197" s="23" t="n">
        <x:f>IF(AND(P197&gt;0,S197&lt;0),AF197,0)</x:f>
        <x:v>0</x:v>
      </x:c>
      <x:c r="AI197" s="23" t="n">
        <x:f>IF(AND(P197&gt;0,S197=0),AF197,0)</x:f>
        <x:v>0</x:v>
      </x:c>
      <x:c r="AJ197" s="23" t="n">
        <x:f>IF(R197&lt;30000,AF197,0)</x:f>
        <x:v>0</x:v>
      </x:c>
      <x:c r="AK197" s="460" t="n">
        <x:f>IF(P197&gt;0,AF197*S197,0)</x:f>
        <x:v>11.829999999999998</x:v>
      </x:c>
    </x:row>
    <x:row r="198" ht="22" customHeight="1">
      <x:c r="A198" s="643" t="str">
        <x:v>保守</x:v>
      </x:c>
      <x:c r="B198" s="648" t="n">
        <x:f>'114_降本系数'!B26</x:f>
        <x:v>0.35</x:v>
      </x:c>
      <x:c r="C198" s="643" t="str">
        <x:v>L3</x:v>
      </x:c>
      <x:c r="D198" s="648" t="n">
        <x:f>'130_联合算法'!C20</x:f>
        <x:v>0.1</x:v>
      </x:c>
      <x:c r="E198" s="647" t="n">
        <x:f>'117_价格概率传导'!A9</x:f>
        <x:v>239900</x:v>
      </x:c>
      <x:c r="F198" s="648" t="n">
        <x:f>'117_价格概率传导'!C9</x:f>
        <x:v>0.26</x:v>
      </x:c>
      <x:c r="G198" s="648" t="n">
        <x:f>SUM('117_价格概率传导'!$C$6:$C$8)</x:f>
        <x:v>0.67</x:v>
      </x:c>
      <x:c r="H198" s="648" t="n">
        <x:f>SUM('117_价格概率传导'!$C$6:$C$9)</x:f>
        <x:v>0.93</x:v>
      </x:c>
      <x:c r="I198" s="647" t="n">
        <x:f>'117_价格概率传导'!A21</x:f>
        <x:v>259900</x:v>
      </x:c>
      <x:c r="J198" s="648" t="n">
        <x:f>'117_价格概率传导'!C21</x:f>
        <x:v>0.03</x:v>
      </x:c>
      <x:c r="K198" s="648" t="n">
        <x:f>SUM('117_价格概率传导'!$C$16:$C$20)</x:f>
        <x:v>0.9700000000000001</x:v>
      </x:c>
      <x:c r="L198" s="648" t="n">
        <x:f>SUM('117_价格概率传导'!$C$16:$C$21)</x:f>
        <x:v>1</x:v>
      </x:c>
      <x:c r="M198" s="648" t="n">
        <x:f>MAX(0,MIN(H198,L198)-MAX(G198,K198))</x:f>
        <x:v>0</x:v>
      </x:c>
      <x:c r="N198" s="648" t="n">
        <x:f>B198*D198*M198</x:f>
        <x:v>0</x:v>
      </x:c>
      <x:c r="O198" s="647" t="n">
        <x:f>MIN(299900,I198+20000)</x:f>
        <x:v>279900</x:v>
      </x:c>
      <x:c r="P198" s="647" t="n">
        <x:f>O198-40000</x:f>
        <x:v>239900</x:v>
      </x:c>
      <x:c r="Q198" s="647" t="n">
        <x:f>O198-20000</x:f>
        <x:v>259900</x:v>
      </x:c>
      <x:c r="R198" s="647" t="n">
        <x:f>O198-E198</x:f>
        <x:v>40000</x:v>
      </x:c>
      <x:c r="S198" s="647" t="n">
        <x:f>IF(P198&gt;0,P198-E198,"")</x:f>
        <x:v>0</x:v>
      </x:c>
      <x:c r="T198" s="647" t="n">
        <x:f>IF(Q198&gt;0,Q198-E198,"")</x:f>
        <x:v>20000</x:v>
      </x:c>
      <x:c r="U198" s="648" t="n">
        <x:f>IF(R198&lt;30000,N198,0)</x:f>
        <x:v>0</x:v>
      </x:c>
      <x:c r="V198" s="648" t="n">
        <x:f>IF(P198&gt;0,N198,0)</x:f>
        <x:v>0</x:v>
      </x:c>
      <x:c r="W198" s="648" t="n">
        <x:f>IF(AND(P198&gt;0,S198&lt;0),N198,0)</x:f>
        <x:v>0</x:v>
      </x:c>
      <x:c r="X198" s="648" t="n">
        <x:f>IF(AND(P198&gt;0,S198=0),N198,0)</x:f>
        <x:v>0</x:v>
      </x:c>
      <x:c r="Y198" s="648" t="n">
        <x:f>IF(Q198&gt;0,N198,0)</x:f>
        <x:v>0</x:v>
      </x:c>
      <x:c r="Z198" s="647" t="n">
        <x:f>IF(P198&gt;0,N198*S198,0)</x:f>
        <x:v>0</x:v>
      </x:c>
      <x:c r="AA198" s="647" t="n">
        <x:f>IF(Q198&gt;0,N198*T198,0)</x:f>
        <x:v>0</x:v>
      </x:c>
      <x:c r="AB198" s="647" t="n">
        <x:f>N198*R198</x:f>
        <x:v>0</x:v>
      </x:c>
      <x:c r="AC198" s="647" t="n">
        <x:f>IF(N198&gt;0,R198,999999)</x:f>
        <x:v>999999</x:v>
      </x:c>
      <x:c r="AD198" s="647" t="n">
        <x:f>IF(AND(N198&gt;0,P198&gt;0),S198,999999)</x:f>
        <x:v>999999</x:v>
      </x:c>
      <x:c r="AE198" s="647" t="n">
        <x:f>IF(AND(N198&gt;0,Q198&gt;0),T198,999999)</x:f>
        <x:v>999999</x:v>
      </x:c>
      <x:c r="AF198" s="648" t="n">
        <x:f>B198*D198*F198*J198</x:f>
        <x:v>0.00027299999999999997</x:v>
      </x:c>
      <x:c r="AG198" s="648" t="n">
        <x:f>IF(P198&gt;0,AF198,0)</x:f>
        <x:v>0.00027299999999999997</x:v>
      </x:c>
      <x:c r="AH198" s="648" t="n">
        <x:f>IF(AND(P198&gt;0,S198&lt;0),AF198,0)</x:f>
        <x:v>0</x:v>
      </x:c>
      <x:c r="AI198" s="648" t="n">
        <x:f>IF(AND(P198&gt;0,S198=0),AF198,0)</x:f>
        <x:v>0.00027299999999999997</x:v>
      </x:c>
      <x:c r="AJ198" s="648" t="n">
        <x:f>IF(R198&lt;30000,AF198,0)</x:f>
        <x:v>0</x:v>
      </x:c>
      <x:c r="AK198" s="647" t="n">
        <x:f>IF(P198&gt;0,AF198*S198,0)</x:f>
        <x:v>0</x:v>
      </x:c>
    </x:row>
    <x:row r="199" ht="22" customHeight="1">
      <x:c r="A199" s="19" t="str">
        <x:v>保守</x:v>
      </x:c>
      <x:c r="B199" s="23" t="n">
        <x:f>'114_降本系数'!B26</x:f>
        <x:v>0.35</x:v>
      </x:c>
      <x:c r="C199" s="19" t="str">
        <x:v>L3</x:v>
      </x:c>
      <x:c r="D199" s="23" t="n">
        <x:f>'130_联合算法'!C20</x:f>
        <x:v>0.1</x:v>
      </x:c>
      <x:c r="E199" s="460" t="n">
        <x:f>'117_价格概率传导'!A10</x:f>
        <x:v>229900</x:v>
      </x:c>
      <x:c r="F199" s="23" t="n">
        <x:f>'117_价格概率传导'!C10</x:f>
        <x:v>0.06</x:v>
      </x:c>
      <x:c r="G199" s="23" t="n">
        <x:f>SUM('117_价格概率传导'!$C$6:$C$9)</x:f>
        <x:v>0.93</x:v>
      </x:c>
      <x:c r="H199" s="23" t="n">
        <x:f>SUM('117_价格概率传导'!$C$6:$C$10)</x:f>
        <x:v>0.99</x:v>
      </x:c>
      <x:c r="I199" s="460" t="n">
        <x:f>'117_价格概率传导'!A16</x:f>
        <x:v>299900</x:v>
      </x:c>
      <x:c r="J199" s="23" t="n">
        <x:f>'117_价格概率传导'!C16</x:f>
        <x:v>0.05</x:v>
      </x:c>
      <x:c r="K199" s="23" t="n">
        <x:f>0</x:f>
        <x:v>0</x:v>
      </x:c>
      <x:c r="L199" s="23" t="n">
        <x:f>SUM('117_价格概率传导'!$C$16:$C$16)</x:f>
        <x:v>0.05</x:v>
      </x:c>
      <x:c r="M199" s="23" t="n">
        <x:f>MAX(0,MIN(H199,L199)-MAX(G199,K199))</x:f>
        <x:v>0</x:v>
      </x:c>
      <x:c r="N199" s="23" t="n">
        <x:f>B199*D199*M199</x:f>
        <x:v>0</x:v>
      </x:c>
      <x:c r="O199" s="460" t="n">
        <x:f>MIN(299900,I199+20000)</x:f>
        <x:v>299900</x:v>
      </x:c>
      <x:c r="P199" s="460" t="n">
        <x:f>O199-40000</x:f>
        <x:v>259900</x:v>
      </x:c>
      <x:c r="Q199" s="460" t="n">
        <x:f>O199-20000</x:f>
        <x:v>279900</x:v>
      </x:c>
      <x:c r="R199" s="460" t="n">
        <x:f>O199-E199</x:f>
        <x:v>70000</x:v>
      </x:c>
      <x:c r="S199" s="460" t="n">
        <x:f>IF(P199&gt;0,P199-E199,"")</x:f>
        <x:v>30000</x:v>
      </x:c>
      <x:c r="T199" s="460" t="n">
        <x:f>IF(Q199&gt;0,Q199-E199,"")</x:f>
        <x:v>50000</x:v>
      </x:c>
      <x:c r="U199" s="23" t="n">
        <x:f>IF(R199&lt;30000,N199,0)</x:f>
        <x:v>0</x:v>
      </x:c>
      <x:c r="V199" s="23" t="n">
        <x:f>IF(P199&gt;0,N199,0)</x:f>
        <x:v>0</x:v>
      </x:c>
      <x:c r="W199" s="23" t="n">
        <x:f>IF(AND(P199&gt;0,S199&lt;0),N199,0)</x:f>
        <x:v>0</x:v>
      </x:c>
      <x:c r="X199" s="23" t="n">
        <x:f>IF(AND(P199&gt;0,S199=0),N199,0)</x:f>
        <x:v>0</x:v>
      </x:c>
      <x:c r="Y199" s="23" t="n">
        <x:f>IF(Q199&gt;0,N199,0)</x:f>
        <x:v>0</x:v>
      </x:c>
      <x:c r="Z199" s="460" t="n">
        <x:f>IF(P199&gt;0,N199*S199,0)</x:f>
        <x:v>0</x:v>
      </x:c>
      <x:c r="AA199" s="460" t="n">
        <x:f>IF(Q199&gt;0,N199*T199,0)</x:f>
        <x:v>0</x:v>
      </x:c>
      <x:c r="AB199" s="460" t="n">
        <x:f>N199*R199</x:f>
        <x:v>0</x:v>
      </x:c>
      <x:c r="AC199" s="460" t="n">
        <x:f>IF(N199&gt;0,R199,999999)</x:f>
        <x:v>999999</x:v>
      </x:c>
      <x:c r="AD199" s="460" t="n">
        <x:f>IF(AND(N199&gt;0,P199&gt;0),S199,999999)</x:f>
        <x:v>999999</x:v>
      </x:c>
      <x:c r="AE199" s="460" t="n">
        <x:f>IF(AND(N199&gt;0,Q199&gt;0),T199,999999)</x:f>
        <x:v>999999</x:v>
      </x:c>
      <x:c r="AF199" s="23" t="n">
        <x:f>B199*D199*F199*J199</x:f>
        <x:v>0.000105</x:v>
      </x:c>
      <x:c r="AG199" s="23" t="n">
        <x:f>IF(P199&gt;0,AF199,0)</x:f>
        <x:v>0.000105</x:v>
      </x:c>
      <x:c r="AH199" s="23" t="n">
        <x:f>IF(AND(P199&gt;0,S199&lt;0),AF199,0)</x:f>
        <x:v>0</x:v>
      </x:c>
      <x:c r="AI199" s="23" t="n">
        <x:f>IF(AND(P199&gt;0,S199=0),AF199,0)</x:f>
        <x:v>0</x:v>
      </x:c>
      <x:c r="AJ199" s="23" t="n">
        <x:f>IF(R199&lt;30000,AF199,0)</x:f>
        <x:v>0</x:v>
      </x:c>
      <x:c r="AK199" s="460" t="n">
        <x:f>IF(P199&gt;0,AF199*S199,0)</x:f>
        <x:v>3.15</x:v>
      </x:c>
    </x:row>
    <x:row r="200" ht="22" customHeight="1">
      <x:c r="A200" s="643" t="str">
        <x:v>保守</x:v>
      </x:c>
      <x:c r="B200" s="648" t="n">
        <x:f>'114_降本系数'!B26</x:f>
        <x:v>0.35</x:v>
      </x:c>
      <x:c r="C200" s="643" t="str">
        <x:v>L3</x:v>
      </x:c>
      <x:c r="D200" s="648" t="n">
        <x:f>'130_联合算法'!C20</x:f>
        <x:v>0.1</x:v>
      </x:c>
      <x:c r="E200" s="647" t="n">
        <x:f>'117_价格概率传导'!A10</x:f>
        <x:v>229900</x:v>
      </x:c>
      <x:c r="F200" s="648" t="n">
        <x:f>'117_价格概率传导'!C10</x:f>
        <x:v>0.06</x:v>
      </x:c>
      <x:c r="G200" s="648" t="n">
        <x:f>SUM('117_价格概率传导'!$C$6:$C$9)</x:f>
        <x:v>0.93</x:v>
      </x:c>
      <x:c r="H200" s="648" t="n">
        <x:f>SUM('117_价格概率传导'!$C$6:$C$10)</x:f>
        <x:v>0.99</x:v>
      </x:c>
      <x:c r="I200" s="647" t="n">
        <x:f>'117_价格概率传导'!A17</x:f>
        <x:v>293900</x:v>
      </x:c>
      <x:c r="J200" s="648" t="n">
        <x:f>'117_价格概率传导'!C17</x:f>
        <x:v>0.06</x:v>
      </x:c>
      <x:c r="K200" s="648" t="n">
        <x:f>SUM('117_价格概率传导'!$C$16:$C$16)</x:f>
        <x:v>0.05</x:v>
      </x:c>
      <x:c r="L200" s="648" t="n">
        <x:f>SUM('117_价格概率传导'!$C$16:$C$17)</x:f>
        <x:v>0.11</x:v>
      </x:c>
      <x:c r="M200" s="648" t="n">
        <x:f>MAX(0,MIN(H200,L200)-MAX(G200,K200))</x:f>
        <x:v>0</x:v>
      </x:c>
      <x:c r="N200" s="648" t="n">
        <x:f>B200*D200*M200</x:f>
        <x:v>0</x:v>
      </x:c>
      <x:c r="O200" s="647" t="n">
        <x:f>MIN(299900,I200+20000)</x:f>
        <x:v>299900</x:v>
      </x:c>
      <x:c r="P200" s="647" t="n">
        <x:f>O200-40000</x:f>
        <x:v>259900</x:v>
      </x:c>
      <x:c r="Q200" s="647" t="n">
        <x:f>O200-20000</x:f>
        <x:v>279900</x:v>
      </x:c>
      <x:c r="R200" s="647" t="n">
        <x:f>O200-E200</x:f>
        <x:v>70000</x:v>
      </x:c>
      <x:c r="S200" s="647" t="n">
        <x:f>IF(P200&gt;0,P200-E200,"")</x:f>
        <x:v>30000</x:v>
      </x:c>
      <x:c r="T200" s="647" t="n">
        <x:f>IF(Q200&gt;0,Q200-E200,"")</x:f>
        <x:v>50000</x:v>
      </x:c>
      <x:c r="U200" s="648" t="n">
        <x:f>IF(R200&lt;30000,N200,0)</x:f>
        <x:v>0</x:v>
      </x:c>
      <x:c r="V200" s="648" t="n">
        <x:f>IF(P200&gt;0,N200,0)</x:f>
        <x:v>0</x:v>
      </x:c>
      <x:c r="W200" s="648" t="n">
        <x:f>IF(AND(P200&gt;0,S200&lt;0),N200,0)</x:f>
        <x:v>0</x:v>
      </x:c>
      <x:c r="X200" s="648" t="n">
        <x:f>IF(AND(P200&gt;0,S200=0),N200,0)</x:f>
        <x:v>0</x:v>
      </x:c>
      <x:c r="Y200" s="648" t="n">
        <x:f>IF(Q200&gt;0,N200,0)</x:f>
        <x:v>0</x:v>
      </x:c>
      <x:c r="Z200" s="647" t="n">
        <x:f>IF(P200&gt;0,N200*S200,0)</x:f>
        <x:v>0</x:v>
      </x:c>
      <x:c r="AA200" s="647" t="n">
        <x:f>IF(Q200&gt;0,N200*T200,0)</x:f>
        <x:v>0</x:v>
      </x:c>
      <x:c r="AB200" s="647" t="n">
        <x:f>N200*R200</x:f>
        <x:v>0</x:v>
      </x:c>
      <x:c r="AC200" s="647" t="n">
        <x:f>IF(N200&gt;0,R200,999999)</x:f>
        <x:v>999999</x:v>
      </x:c>
      <x:c r="AD200" s="647" t="n">
        <x:f>IF(AND(N200&gt;0,P200&gt;0),S200,999999)</x:f>
        <x:v>999999</x:v>
      </x:c>
      <x:c r="AE200" s="647" t="n">
        <x:f>IF(AND(N200&gt;0,Q200&gt;0),T200,999999)</x:f>
        <x:v>999999</x:v>
      </x:c>
      <x:c r="AF200" s="648" t="n">
        <x:f>B200*D200*F200*J200</x:f>
        <x:v>0.000126</x:v>
      </x:c>
      <x:c r="AG200" s="648" t="n">
        <x:f>IF(P200&gt;0,AF200,0)</x:f>
        <x:v>0.000126</x:v>
      </x:c>
      <x:c r="AH200" s="648" t="n">
        <x:f>IF(AND(P200&gt;0,S200&lt;0),AF200,0)</x:f>
        <x:v>0</x:v>
      </x:c>
      <x:c r="AI200" s="648" t="n">
        <x:f>IF(AND(P200&gt;0,S200=0),AF200,0)</x:f>
        <x:v>0</x:v>
      </x:c>
      <x:c r="AJ200" s="648" t="n">
        <x:f>IF(R200&lt;30000,AF200,0)</x:f>
        <x:v>0</x:v>
      </x:c>
      <x:c r="AK200" s="647" t="n">
        <x:f>IF(P200&gt;0,AF200*S200,0)</x:f>
        <x:v>3.78</x:v>
      </x:c>
    </x:row>
    <x:row r="201" ht="22" customHeight="1">
      <x:c r="A201" s="19" t="str">
        <x:v>保守</x:v>
      </x:c>
      <x:c r="B201" s="23" t="n">
        <x:f>'114_降本系数'!B26</x:f>
        <x:v>0.35</x:v>
      </x:c>
      <x:c r="C201" s="19" t="str">
        <x:v>L3</x:v>
      </x:c>
      <x:c r="D201" s="23" t="n">
        <x:f>'130_联合算法'!C20</x:f>
        <x:v>0.1</x:v>
      </x:c>
      <x:c r="E201" s="460" t="n">
        <x:f>'117_价格概率传导'!A10</x:f>
        <x:v>229900</x:v>
      </x:c>
      <x:c r="F201" s="23" t="n">
        <x:f>'117_价格概率传导'!C10</x:f>
        <x:v>0.06</x:v>
      </x:c>
      <x:c r="G201" s="23" t="n">
        <x:f>SUM('117_价格概率传导'!$C$6:$C$9)</x:f>
        <x:v>0.93</x:v>
      </x:c>
      <x:c r="H201" s="23" t="n">
        <x:f>SUM('117_价格概率传导'!$C$6:$C$10)</x:f>
        <x:v>0.99</x:v>
      </x:c>
      <x:c r="I201" s="460" t="n">
        <x:f>'117_价格概率传导'!A18</x:f>
        <x:v>289900</x:v>
      </x:c>
      <x:c r="J201" s="23" t="n">
        <x:f>'117_价格概率传导'!C18</x:f>
        <x:v>0.34</x:v>
      </x:c>
      <x:c r="K201" s="23" t="n">
        <x:f>SUM('117_价格概率传导'!$C$16:$C$17)</x:f>
        <x:v>0.11</x:v>
      </x:c>
      <x:c r="L201" s="23" t="n">
        <x:f>SUM('117_价格概率传导'!$C$16:$C$18)</x:f>
        <x:v>0.45</x:v>
      </x:c>
      <x:c r="M201" s="23" t="n">
        <x:f>MAX(0,MIN(H201,L201)-MAX(G201,K201))</x:f>
        <x:v>0</x:v>
      </x:c>
      <x:c r="N201" s="23" t="n">
        <x:f>B201*D201*M201</x:f>
        <x:v>0</x:v>
      </x:c>
      <x:c r="O201" s="460" t="n">
        <x:f>MIN(299900,I201+20000)</x:f>
        <x:v>299900</x:v>
      </x:c>
      <x:c r="P201" s="460" t="n">
        <x:f>O201-40000</x:f>
        <x:v>259900</x:v>
      </x:c>
      <x:c r="Q201" s="460" t="n">
        <x:f>O201-20000</x:f>
        <x:v>279900</x:v>
      </x:c>
      <x:c r="R201" s="460" t="n">
        <x:f>O201-E201</x:f>
        <x:v>70000</x:v>
      </x:c>
      <x:c r="S201" s="460" t="n">
        <x:f>IF(P201&gt;0,P201-E201,"")</x:f>
        <x:v>30000</x:v>
      </x:c>
      <x:c r="T201" s="460" t="n">
        <x:f>IF(Q201&gt;0,Q201-E201,"")</x:f>
        <x:v>50000</x:v>
      </x:c>
      <x:c r="U201" s="23" t="n">
        <x:f>IF(R201&lt;30000,N201,0)</x:f>
        <x:v>0</x:v>
      </x:c>
      <x:c r="V201" s="23" t="n">
        <x:f>IF(P201&gt;0,N201,0)</x:f>
        <x:v>0</x:v>
      </x:c>
      <x:c r="W201" s="23" t="n">
        <x:f>IF(AND(P201&gt;0,S201&lt;0),N201,0)</x:f>
        <x:v>0</x:v>
      </x:c>
      <x:c r="X201" s="23" t="n">
        <x:f>IF(AND(P201&gt;0,S201=0),N201,0)</x:f>
        <x:v>0</x:v>
      </x:c>
      <x:c r="Y201" s="23" t="n">
        <x:f>IF(Q201&gt;0,N201,0)</x:f>
        <x:v>0</x:v>
      </x:c>
      <x:c r="Z201" s="460" t="n">
        <x:f>IF(P201&gt;0,N201*S201,0)</x:f>
        <x:v>0</x:v>
      </x:c>
      <x:c r="AA201" s="460" t="n">
        <x:f>IF(Q201&gt;0,N201*T201,0)</x:f>
        <x:v>0</x:v>
      </x:c>
      <x:c r="AB201" s="460" t="n">
        <x:f>N201*R201</x:f>
        <x:v>0</x:v>
      </x:c>
      <x:c r="AC201" s="460" t="n">
        <x:f>IF(N201&gt;0,R201,999999)</x:f>
        <x:v>999999</x:v>
      </x:c>
      <x:c r="AD201" s="460" t="n">
        <x:f>IF(AND(N201&gt;0,P201&gt;0),S201,999999)</x:f>
        <x:v>999999</x:v>
      </x:c>
      <x:c r="AE201" s="460" t="n">
        <x:f>IF(AND(N201&gt;0,Q201&gt;0),T201,999999)</x:f>
        <x:v>999999</x:v>
      </x:c>
      <x:c r="AF201" s="23" t="n">
        <x:f>B201*D201*F201*J201</x:f>
        <x:v>0.000714</x:v>
      </x:c>
      <x:c r="AG201" s="23" t="n">
        <x:f>IF(P201&gt;0,AF201,0)</x:f>
        <x:v>0.000714</x:v>
      </x:c>
      <x:c r="AH201" s="23" t="n">
        <x:f>IF(AND(P201&gt;0,S201&lt;0),AF201,0)</x:f>
        <x:v>0</x:v>
      </x:c>
      <x:c r="AI201" s="23" t="n">
        <x:f>IF(AND(P201&gt;0,S201=0),AF201,0)</x:f>
        <x:v>0</x:v>
      </x:c>
      <x:c r="AJ201" s="23" t="n">
        <x:f>IF(R201&lt;30000,AF201,0)</x:f>
        <x:v>0</x:v>
      </x:c>
      <x:c r="AK201" s="460" t="n">
        <x:f>IF(P201&gt;0,AF201*S201,0)</x:f>
        <x:v>21.42</x:v>
      </x:c>
    </x:row>
    <x:row r="202" ht="22" customHeight="1">
      <x:c r="A202" s="643" t="str">
        <x:v>保守</x:v>
      </x:c>
      <x:c r="B202" s="648" t="n">
        <x:f>'114_降本系数'!B26</x:f>
        <x:v>0.35</x:v>
      </x:c>
      <x:c r="C202" s="643" t="str">
        <x:v>L3</x:v>
      </x:c>
      <x:c r="D202" s="648" t="n">
        <x:f>'130_联合算法'!C20</x:f>
        <x:v>0.1</x:v>
      </x:c>
      <x:c r="E202" s="647" t="n">
        <x:f>'117_价格概率传导'!A10</x:f>
        <x:v>229900</x:v>
      </x:c>
      <x:c r="F202" s="648" t="n">
        <x:f>'117_价格概率传导'!C10</x:f>
        <x:v>0.06</x:v>
      </x:c>
      <x:c r="G202" s="648" t="n">
        <x:f>SUM('117_价格概率传导'!$C$6:$C$9)</x:f>
        <x:v>0.93</x:v>
      </x:c>
      <x:c r="H202" s="648" t="n">
        <x:f>SUM('117_价格概率传导'!$C$6:$C$10)</x:f>
        <x:v>0.99</x:v>
      </x:c>
      <x:c r="I202" s="647" t="n">
        <x:f>'117_价格概率传导'!A19</x:f>
        <x:v>279900</x:v>
      </x:c>
      <x:c r="J202" s="648" t="n">
        <x:f>'117_价格概率传导'!C19</x:f>
        <x:v>0.39</x:v>
      </x:c>
      <x:c r="K202" s="648" t="n">
        <x:f>SUM('117_价格概率传导'!$C$16:$C$18)</x:f>
        <x:v>0.45</x:v>
      </x:c>
      <x:c r="L202" s="648" t="n">
        <x:f>SUM('117_价格概率传导'!$C$16:$C$19)</x:f>
        <x:v>0.8400000000000001</x:v>
      </x:c>
      <x:c r="M202" s="648" t="n">
        <x:f>MAX(0,MIN(H202,L202)-MAX(G202,K202))</x:f>
        <x:v>0</x:v>
      </x:c>
      <x:c r="N202" s="648" t="n">
        <x:f>B202*D202*M202</x:f>
        <x:v>0</x:v>
      </x:c>
      <x:c r="O202" s="647" t="n">
        <x:f>MIN(299900,I202+20000)</x:f>
        <x:v>299900</x:v>
      </x:c>
      <x:c r="P202" s="647" t="n">
        <x:f>O202-40000</x:f>
        <x:v>259900</x:v>
      </x:c>
      <x:c r="Q202" s="647" t="n">
        <x:f>O202-20000</x:f>
        <x:v>279900</x:v>
      </x:c>
      <x:c r="R202" s="647" t="n">
        <x:f>O202-E202</x:f>
        <x:v>70000</x:v>
      </x:c>
      <x:c r="S202" s="647" t="n">
        <x:f>IF(P202&gt;0,P202-E202,"")</x:f>
        <x:v>30000</x:v>
      </x:c>
      <x:c r="T202" s="647" t="n">
        <x:f>IF(Q202&gt;0,Q202-E202,"")</x:f>
        <x:v>50000</x:v>
      </x:c>
      <x:c r="U202" s="648" t="n">
        <x:f>IF(R202&lt;30000,N202,0)</x:f>
        <x:v>0</x:v>
      </x:c>
      <x:c r="V202" s="648" t="n">
        <x:f>IF(P202&gt;0,N202,0)</x:f>
        <x:v>0</x:v>
      </x:c>
      <x:c r="W202" s="648" t="n">
        <x:f>IF(AND(P202&gt;0,S202&lt;0),N202,0)</x:f>
        <x:v>0</x:v>
      </x:c>
      <x:c r="X202" s="648" t="n">
        <x:f>IF(AND(P202&gt;0,S202=0),N202,0)</x:f>
        <x:v>0</x:v>
      </x:c>
      <x:c r="Y202" s="648" t="n">
        <x:f>IF(Q202&gt;0,N202,0)</x:f>
        <x:v>0</x:v>
      </x:c>
      <x:c r="Z202" s="647" t="n">
        <x:f>IF(P202&gt;0,N202*S202,0)</x:f>
        <x:v>0</x:v>
      </x:c>
      <x:c r="AA202" s="647" t="n">
        <x:f>IF(Q202&gt;0,N202*T202,0)</x:f>
        <x:v>0</x:v>
      </x:c>
      <x:c r="AB202" s="647" t="n">
        <x:f>N202*R202</x:f>
        <x:v>0</x:v>
      </x:c>
      <x:c r="AC202" s="647" t="n">
        <x:f>IF(N202&gt;0,R202,999999)</x:f>
        <x:v>999999</x:v>
      </x:c>
      <x:c r="AD202" s="647" t="n">
        <x:f>IF(AND(N202&gt;0,P202&gt;0),S202,999999)</x:f>
        <x:v>999999</x:v>
      </x:c>
      <x:c r="AE202" s="647" t="n">
        <x:f>IF(AND(N202&gt;0,Q202&gt;0),T202,999999)</x:f>
        <x:v>999999</x:v>
      </x:c>
      <x:c r="AF202" s="648" t="n">
        <x:f>B202*D202*F202*J202</x:f>
        <x:v>0.000819</x:v>
      </x:c>
      <x:c r="AG202" s="648" t="n">
        <x:f>IF(P202&gt;0,AF202,0)</x:f>
        <x:v>0.000819</x:v>
      </x:c>
      <x:c r="AH202" s="648" t="n">
        <x:f>IF(AND(P202&gt;0,S202&lt;0),AF202,0)</x:f>
        <x:v>0</x:v>
      </x:c>
      <x:c r="AI202" s="648" t="n">
        <x:f>IF(AND(P202&gt;0,S202=0),AF202,0)</x:f>
        <x:v>0</x:v>
      </x:c>
      <x:c r="AJ202" s="648" t="n">
        <x:f>IF(R202&lt;30000,AF202,0)</x:f>
        <x:v>0</x:v>
      </x:c>
      <x:c r="AK202" s="647" t="n">
        <x:f>IF(P202&gt;0,AF202*S202,0)</x:f>
        <x:v>24.57</x:v>
      </x:c>
    </x:row>
    <x:row r="203" ht="22" customHeight="1">
      <x:c r="A203" s="19" t="str">
        <x:v>保守</x:v>
      </x:c>
      <x:c r="B203" s="23" t="n">
        <x:f>'114_降本系数'!B26</x:f>
        <x:v>0.35</x:v>
      </x:c>
      <x:c r="C203" s="19" t="str">
        <x:v>L3</x:v>
      </x:c>
      <x:c r="D203" s="23" t="n">
        <x:f>'130_联合算法'!C20</x:f>
        <x:v>0.1</x:v>
      </x:c>
      <x:c r="E203" s="460" t="n">
        <x:f>'117_价格概率传导'!A10</x:f>
        <x:v>229900</x:v>
      </x:c>
      <x:c r="F203" s="23" t="n">
        <x:f>'117_价格概率传导'!C10</x:f>
        <x:v>0.06</x:v>
      </x:c>
      <x:c r="G203" s="23" t="n">
        <x:f>SUM('117_价格概率传导'!$C$6:$C$9)</x:f>
        <x:v>0.93</x:v>
      </x:c>
      <x:c r="H203" s="23" t="n">
        <x:f>SUM('117_价格概率传导'!$C$6:$C$10)</x:f>
        <x:v>0.99</x:v>
      </x:c>
      <x:c r="I203" s="460" t="n">
        <x:f>'117_价格概率传导'!A20</x:f>
        <x:v>269900</x:v>
      </x:c>
      <x:c r="J203" s="23" t="n">
        <x:f>'117_价格概率传导'!C20</x:f>
        <x:v>0.13</x:v>
      </x:c>
      <x:c r="K203" s="23" t="n">
        <x:f>SUM('117_价格概率传导'!$C$16:$C$19)</x:f>
        <x:v>0.8400000000000001</x:v>
      </x:c>
      <x:c r="L203" s="23" t="n">
        <x:f>SUM('117_价格概率传导'!$C$16:$C$20)</x:f>
        <x:v>0.9700000000000001</x:v>
      </x:c>
      <x:c r="M203" s="23" t="n">
        <x:f>MAX(0,MIN(H203,L203)-MAX(G203,K203))</x:f>
        <x:v>0.040000000000000036</x:v>
      </x:c>
      <x:c r="N203" s="23" t="n">
        <x:f>B203*D203*M203</x:f>
        <x:v>0.001400000000000001</x:v>
      </x:c>
      <x:c r="O203" s="460" t="n">
        <x:f>MIN(299900,I203+20000)</x:f>
        <x:v>289900</x:v>
      </x:c>
      <x:c r="P203" s="460" t="n">
        <x:f>O203-40000</x:f>
        <x:v>249900</x:v>
      </x:c>
      <x:c r="Q203" s="460" t="n">
        <x:f>O203-20000</x:f>
        <x:v>269900</x:v>
      </x:c>
      <x:c r="R203" s="460" t="n">
        <x:f>O203-E203</x:f>
        <x:v>60000</x:v>
      </x:c>
      <x:c r="S203" s="460" t="n">
        <x:f>IF(P203&gt;0,P203-E203,"")</x:f>
        <x:v>20000</x:v>
      </x:c>
      <x:c r="T203" s="460" t="n">
        <x:f>IF(Q203&gt;0,Q203-E203,"")</x:f>
        <x:v>40000</x:v>
      </x:c>
      <x:c r="U203" s="23" t="n">
        <x:f>IF(R203&lt;30000,N203,0)</x:f>
        <x:v>0</x:v>
      </x:c>
      <x:c r="V203" s="23" t="n">
        <x:f>IF(P203&gt;0,N203,0)</x:f>
        <x:v>0.001400000000000001</x:v>
      </x:c>
      <x:c r="W203" s="23" t="n">
        <x:f>IF(AND(P203&gt;0,S203&lt;0),N203,0)</x:f>
        <x:v>0</x:v>
      </x:c>
      <x:c r="X203" s="23" t="n">
        <x:f>IF(AND(P203&gt;0,S203=0),N203,0)</x:f>
        <x:v>0</x:v>
      </x:c>
      <x:c r="Y203" s="23" t="n">
        <x:f>IF(Q203&gt;0,N203,0)</x:f>
        <x:v>0.001400000000000001</x:v>
      </x:c>
      <x:c r="Z203" s="460" t="n">
        <x:f>IF(P203&gt;0,N203*S203,0)</x:f>
        <x:v>28.00000000000002</x:v>
      </x:c>
      <x:c r="AA203" s="460" t="n">
        <x:f>IF(Q203&gt;0,N203*T203,0)</x:f>
        <x:v>56.00000000000004</x:v>
      </x:c>
      <x:c r="AB203" s="460" t="n">
        <x:f>N203*R203</x:f>
        <x:v>84.00000000000007</x:v>
      </x:c>
      <x:c r="AC203" s="460" t="n">
        <x:f>IF(N203&gt;0,R203,999999)</x:f>
        <x:v>60000</x:v>
      </x:c>
      <x:c r="AD203" s="460" t="n">
        <x:f>IF(AND(N203&gt;0,P203&gt;0),S203,999999)</x:f>
        <x:v>20000</x:v>
      </x:c>
      <x:c r="AE203" s="460" t="n">
        <x:f>IF(AND(N203&gt;0,Q203&gt;0),T203,999999)</x:f>
        <x:v>40000</x:v>
      </x:c>
      <x:c r="AF203" s="23" t="n">
        <x:f>B203*D203*F203*J203</x:f>
        <x:v>0.00027299999999999997</x:v>
      </x:c>
      <x:c r="AG203" s="23" t="n">
        <x:f>IF(P203&gt;0,AF203,0)</x:f>
        <x:v>0.00027299999999999997</x:v>
      </x:c>
      <x:c r="AH203" s="23" t="n">
        <x:f>IF(AND(P203&gt;0,S203&lt;0),AF203,0)</x:f>
        <x:v>0</x:v>
      </x:c>
      <x:c r="AI203" s="23" t="n">
        <x:f>IF(AND(P203&gt;0,S203=0),AF203,0)</x:f>
        <x:v>0</x:v>
      </x:c>
      <x:c r="AJ203" s="23" t="n">
        <x:f>IF(R203&lt;30000,AF203,0)</x:f>
        <x:v>0</x:v>
      </x:c>
      <x:c r="AK203" s="460" t="n">
        <x:f>IF(P203&gt;0,AF203*S203,0)</x:f>
        <x:v>5.459999999999999</x:v>
      </x:c>
    </x:row>
    <x:row r="204" ht="22" customHeight="1">
      <x:c r="A204" s="643" t="str">
        <x:v>保守</x:v>
      </x:c>
      <x:c r="B204" s="648" t="n">
        <x:f>'114_降本系数'!B26</x:f>
        <x:v>0.35</x:v>
      </x:c>
      <x:c r="C204" s="643" t="str">
        <x:v>L3</x:v>
      </x:c>
      <x:c r="D204" s="648" t="n">
        <x:f>'130_联合算法'!C20</x:f>
        <x:v>0.1</x:v>
      </x:c>
      <x:c r="E204" s="647" t="n">
        <x:f>'117_价格概率传导'!A10</x:f>
        <x:v>229900</x:v>
      </x:c>
      <x:c r="F204" s="648" t="n">
        <x:f>'117_价格概率传导'!C10</x:f>
        <x:v>0.06</x:v>
      </x:c>
      <x:c r="G204" s="648" t="n">
        <x:f>SUM('117_价格概率传导'!$C$6:$C$9)</x:f>
        <x:v>0.93</x:v>
      </x:c>
      <x:c r="H204" s="648" t="n">
        <x:f>SUM('117_价格概率传导'!$C$6:$C$10)</x:f>
        <x:v>0.99</x:v>
      </x:c>
      <x:c r="I204" s="647" t="n">
        <x:f>'117_价格概率传导'!A21</x:f>
        <x:v>259900</x:v>
      </x:c>
      <x:c r="J204" s="648" t="n">
        <x:f>'117_价格概率传导'!C21</x:f>
        <x:v>0.03</x:v>
      </x:c>
      <x:c r="K204" s="648" t="n">
        <x:f>SUM('117_价格概率传导'!$C$16:$C$20)</x:f>
        <x:v>0.9700000000000001</x:v>
      </x:c>
      <x:c r="L204" s="648" t="n">
        <x:f>SUM('117_价格概率传导'!$C$16:$C$21)</x:f>
        <x:v>1</x:v>
      </x:c>
      <x:c r="M204" s="648" t="n">
        <x:f>MAX(0,MIN(H204,L204)-MAX(G204,K204))</x:f>
        <x:v>0.019999999999999907</x:v>
      </x:c>
      <x:c r="N204" s="648" t="n">
        <x:f>B204*D204*M204</x:f>
        <x:v>0.0006999999999999966</x:v>
      </x:c>
      <x:c r="O204" s="647" t="n">
        <x:f>MIN(299900,I204+20000)</x:f>
        <x:v>279900</x:v>
      </x:c>
      <x:c r="P204" s="647" t="n">
        <x:f>O204-40000</x:f>
        <x:v>239900</x:v>
      </x:c>
      <x:c r="Q204" s="647" t="n">
        <x:f>O204-20000</x:f>
        <x:v>259900</x:v>
      </x:c>
      <x:c r="R204" s="647" t="n">
        <x:f>O204-E204</x:f>
        <x:v>50000</x:v>
      </x:c>
      <x:c r="S204" s="647" t="n">
        <x:f>IF(P204&gt;0,P204-E204,"")</x:f>
        <x:v>10000</x:v>
      </x:c>
      <x:c r="T204" s="647" t="n">
        <x:f>IF(Q204&gt;0,Q204-E204,"")</x:f>
        <x:v>30000</x:v>
      </x:c>
      <x:c r="U204" s="648" t="n">
        <x:f>IF(R204&lt;30000,N204,0)</x:f>
        <x:v>0</x:v>
      </x:c>
      <x:c r="V204" s="648" t="n">
        <x:f>IF(P204&gt;0,N204,0)</x:f>
        <x:v>0.0006999999999999966</x:v>
      </x:c>
      <x:c r="W204" s="648" t="n">
        <x:f>IF(AND(P204&gt;0,S204&lt;0),N204,0)</x:f>
        <x:v>0</x:v>
      </x:c>
      <x:c r="X204" s="648" t="n">
        <x:f>IF(AND(P204&gt;0,S204=0),N204,0)</x:f>
        <x:v>0</x:v>
      </x:c>
      <x:c r="Y204" s="648" t="n">
        <x:f>IF(Q204&gt;0,N204,0)</x:f>
        <x:v>0.0006999999999999966</x:v>
      </x:c>
      <x:c r="Z204" s="647" t="n">
        <x:f>IF(P204&gt;0,N204*S204,0)</x:f>
        <x:v>6.999999999999966</x:v>
      </x:c>
      <x:c r="AA204" s="647" t="n">
        <x:f>IF(Q204&gt;0,N204*T204,0)</x:f>
        <x:v>20.9999999999999</x:v>
      </x:c>
      <x:c r="AB204" s="647" t="n">
        <x:f>N204*R204</x:f>
        <x:v>34.99999999999983</x:v>
      </x:c>
      <x:c r="AC204" s="647" t="n">
        <x:f>IF(N204&gt;0,R204,999999)</x:f>
        <x:v>50000</x:v>
      </x:c>
      <x:c r="AD204" s="647" t="n">
        <x:f>IF(AND(N204&gt;0,P204&gt;0),S204,999999)</x:f>
        <x:v>10000</x:v>
      </x:c>
      <x:c r="AE204" s="647" t="n">
        <x:f>IF(AND(N204&gt;0,Q204&gt;0),T204,999999)</x:f>
        <x:v>30000</x:v>
      </x:c>
      <x:c r="AF204" s="648" t="n">
        <x:f>B204*D204*F204*J204</x:f>
        <x:v>0.000063</x:v>
      </x:c>
      <x:c r="AG204" s="648" t="n">
        <x:f>IF(P204&gt;0,AF204,0)</x:f>
        <x:v>0.000063</x:v>
      </x:c>
      <x:c r="AH204" s="648" t="n">
        <x:f>IF(AND(P204&gt;0,S204&lt;0),AF204,0)</x:f>
        <x:v>0</x:v>
      </x:c>
      <x:c r="AI204" s="648" t="n">
        <x:f>IF(AND(P204&gt;0,S204=0),AF204,0)</x:f>
        <x:v>0</x:v>
      </x:c>
      <x:c r="AJ204" s="648" t="n">
        <x:f>IF(R204&lt;30000,AF204,0)</x:f>
        <x:v>0</x:v>
      </x:c>
      <x:c r="AK204" s="647" t="n">
        <x:f>IF(P204&gt;0,AF204*S204,0)</x:f>
        <x:v>0.63</x:v>
      </x:c>
    </x:row>
    <x:row r="205" ht="22" customHeight="1">
      <x:c r="A205" s="19" t="str">
        <x:v>保守</x:v>
      </x:c>
      <x:c r="B205" s="23" t="n">
        <x:f>'114_降本系数'!B26</x:f>
        <x:v>0.35</x:v>
      </x:c>
      <x:c r="C205" s="19" t="str">
        <x:v>L3</x:v>
      </x:c>
      <x:c r="D205" s="23" t="n">
        <x:f>'130_联合算法'!C20</x:f>
        <x:v>0.1</x:v>
      </x:c>
      <x:c r="E205" s="460" t="n">
        <x:f>'117_价格概率传导'!A11</x:f>
        <x:v>219900</x:v>
      </x:c>
      <x:c r="F205" s="23" t="n">
        <x:f>'117_价格概率传导'!C11</x:f>
        <x:v>0.01</x:v>
      </x:c>
      <x:c r="G205" s="23" t="n">
        <x:f>SUM('117_价格概率传导'!$C$6:$C$10)</x:f>
        <x:v>0.99</x:v>
      </x:c>
      <x:c r="H205" s="23" t="n">
        <x:f>SUM('117_价格概率传导'!$C$6:$C$11)</x:f>
        <x:v>1</x:v>
      </x:c>
      <x:c r="I205" s="460" t="n">
        <x:f>'117_价格概率传导'!A16</x:f>
        <x:v>299900</x:v>
      </x:c>
      <x:c r="J205" s="23" t="n">
        <x:f>'117_价格概率传导'!C16</x:f>
        <x:v>0.05</x:v>
      </x:c>
      <x:c r="K205" s="23" t="n">
        <x:f>0</x:f>
        <x:v>0</x:v>
      </x:c>
      <x:c r="L205" s="23" t="n">
        <x:f>SUM('117_价格概率传导'!$C$16:$C$16)</x:f>
        <x:v>0.05</x:v>
      </x:c>
      <x:c r="M205" s="23" t="n">
        <x:f>MAX(0,MIN(H205,L205)-MAX(G205,K205))</x:f>
        <x:v>0</x:v>
      </x:c>
      <x:c r="N205" s="23" t="n">
        <x:f>B205*D205*M205</x:f>
        <x:v>0</x:v>
      </x:c>
      <x:c r="O205" s="460" t="n">
        <x:f>MIN(299900,I205+20000)</x:f>
        <x:v>299900</x:v>
      </x:c>
      <x:c r="P205" s="460" t="n">
        <x:f>O205-40000</x:f>
        <x:v>259900</x:v>
      </x:c>
      <x:c r="Q205" s="460" t="n">
        <x:f>O205-20000</x:f>
        <x:v>279900</x:v>
      </x:c>
      <x:c r="R205" s="460" t="n">
        <x:f>O205-E205</x:f>
        <x:v>80000</x:v>
      </x:c>
      <x:c r="S205" s="460" t="n">
        <x:f>IF(P205&gt;0,P205-E205,"")</x:f>
        <x:v>40000</x:v>
      </x:c>
      <x:c r="T205" s="460" t="n">
        <x:f>IF(Q205&gt;0,Q205-E205,"")</x:f>
        <x:v>60000</x:v>
      </x:c>
      <x:c r="U205" s="23" t="n">
        <x:f>IF(R205&lt;30000,N205,0)</x:f>
        <x:v>0</x:v>
      </x:c>
      <x:c r="V205" s="23" t="n">
        <x:f>IF(P205&gt;0,N205,0)</x:f>
        <x:v>0</x:v>
      </x:c>
      <x:c r="W205" s="23" t="n">
        <x:f>IF(AND(P205&gt;0,S205&lt;0),N205,0)</x:f>
        <x:v>0</x:v>
      </x:c>
      <x:c r="X205" s="23" t="n">
        <x:f>IF(AND(P205&gt;0,S205=0),N205,0)</x:f>
        <x:v>0</x:v>
      </x:c>
      <x:c r="Y205" s="23" t="n">
        <x:f>IF(Q205&gt;0,N205,0)</x:f>
        <x:v>0</x:v>
      </x:c>
      <x:c r="Z205" s="460" t="n">
        <x:f>IF(P205&gt;0,N205*S205,0)</x:f>
        <x:v>0</x:v>
      </x:c>
      <x:c r="AA205" s="460" t="n">
        <x:f>IF(Q205&gt;0,N205*T205,0)</x:f>
        <x:v>0</x:v>
      </x:c>
      <x:c r="AB205" s="460" t="n">
        <x:f>N205*R205</x:f>
        <x:v>0</x:v>
      </x:c>
      <x:c r="AC205" s="460" t="n">
        <x:f>IF(N205&gt;0,R205,999999)</x:f>
        <x:v>999999</x:v>
      </x:c>
      <x:c r="AD205" s="460" t="n">
        <x:f>IF(AND(N205&gt;0,P205&gt;0),S205,999999)</x:f>
        <x:v>999999</x:v>
      </x:c>
      <x:c r="AE205" s="460" t="n">
        <x:f>IF(AND(N205&gt;0,Q205&gt;0),T205,999999)</x:f>
        <x:v>999999</x:v>
      </x:c>
      <x:c r="AF205" s="23" t="n">
        <x:f>B205*D205*F205*J205</x:f>
        <x:v>0.000017500000000000002</x:v>
      </x:c>
      <x:c r="AG205" s="23" t="n">
        <x:f>IF(P205&gt;0,AF205,0)</x:f>
        <x:v>0.000017500000000000002</x:v>
      </x:c>
      <x:c r="AH205" s="23" t="n">
        <x:f>IF(AND(P205&gt;0,S205&lt;0),AF205,0)</x:f>
        <x:v>0</x:v>
      </x:c>
      <x:c r="AI205" s="23" t="n">
        <x:f>IF(AND(P205&gt;0,S205=0),AF205,0)</x:f>
        <x:v>0</x:v>
      </x:c>
      <x:c r="AJ205" s="23" t="n">
        <x:f>IF(R205&lt;30000,AF205,0)</x:f>
        <x:v>0</x:v>
      </x:c>
      <x:c r="AK205" s="460" t="n">
        <x:f>IF(P205&gt;0,AF205*S205,0)</x:f>
        <x:v>0.7000000000000001</x:v>
      </x:c>
    </x:row>
    <x:row r="206" ht="22" customHeight="1">
      <x:c r="A206" s="643" t="str">
        <x:v>保守</x:v>
      </x:c>
      <x:c r="B206" s="648" t="n">
        <x:f>'114_降本系数'!B26</x:f>
        <x:v>0.35</x:v>
      </x:c>
      <x:c r="C206" s="643" t="str">
        <x:v>L3</x:v>
      </x:c>
      <x:c r="D206" s="648" t="n">
        <x:f>'130_联合算法'!C20</x:f>
        <x:v>0.1</x:v>
      </x:c>
      <x:c r="E206" s="647" t="n">
        <x:f>'117_价格概率传导'!A11</x:f>
        <x:v>219900</x:v>
      </x:c>
      <x:c r="F206" s="648" t="n">
        <x:f>'117_价格概率传导'!C11</x:f>
        <x:v>0.01</x:v>
      </x:c>
      <x:c r="G206" s="648" t="n">
        <x:f>SUM('117_价格概率传导'!$C$6:$C$10)</x:f>
        <x:v>0.99</x:v>
      </x:c>
      <x:c r="H206" s="648" t="n">
        <x:f>SUM('117_价格概率传导'!$C$6:$C$11)</x:f>
        <x:v>1</x:v>
      </x:c>
      <x:c r="I206" s="647" t="n">
        <x:f>'117_价格概率传导'!A17</x:f>
        <x:v>293900</x:v>
      </x:c>
      <x:c r="J206" s="648" t="n">
        <x:f>'117_价格概率传导'!C17</x:f>
        <x:v>0.06</x:v>
      </x:c>
      <x:c r="K206" s="648" t="n">
        <x:f>SUM('117_价格概率传导'!$C$16:$C$16)</x:f>
        <x:v>0.05</x:v>
      </x:c>
      <x:c r="L206" s="648" t="n">
        <x:f>SUM('117_价格概率传导'!$C$16:$C$17)</x:f>
        <x:v>0.11</x:v>
      </x:c>
      <x:c r="M206" s="648" t="n">
        <x:f>MAX(0,MIN(H206,L206)-MAX(G206,K206))</x:f>
        <x:v>0</x:v>
      </x:c>
      <x:c r="N206" s="648" t="n">
        <x:f>B206*D206*M206</x:f>
        <x:v>0</x:v>
      </x:c>
      <x:c r="O206" s="647" t="n">
        <x:f>MIN(299900,I206+20000)</x:f>
        <x:v>299900</x:v>
      </x:c>
      <x:c r="P206" s="647" t="n">
        <x:f>O206-40000</x:f>
        <x:v>259900</x:v>
      </x:c>
      <x:c r="Q206" s="647" t="n">
        <x:f>O206-20000</x:f>
        <x:v>279900</x:v>
      </x:c>
      <x:c r="R206" s="647" t="n">
        <x:f>O206-E206</x:f>
        <x:v>80000</x:v>
      </x:c>
      <x:c r="S206" s="647" t="n">
        <x:f>IF(P206&gt;0,P206-E206,"")</x:f>
        <x:v>40000</x:v>
      </x:c>
      <x:c r="T206" s="647" t="n">
        <x:f>IF(Q206&gt;0,Q206-E206,"")</x:f>
        <x:v>60000</x:v>
      </x:c>
      <x:c r="U206" s="648" t="n">
        <x:f>IF(R206&lt;30000,N206,0)</x:f>
        <x:v>0</x:v>
      </x:c>
      <x:c r="V206" s="648" t="n">
        <x:f>IF(P206&gt;0,N206,0)</x:f>
        <x:v>0</x:v>
      </x:c>
      <x:c r="W206" s="648" t="n">
        <x:f>IF(AND(P206&gt;0,S206&lt;0),N206,0)</x:f>
        <x:v>0</x:v>
      </x:c>
      <x:c r="X206" s="648" t="n">
        <x:f>IF(AND(P206&gt;0,S206=0),N206,0)</x:f>
        <x:v>0</x:v>
      </x:c>
      <x:c r="Y206" s="648" t="n">
        <x:f>IF(Q206&gt;0,N206,0)</x:f>
        <x:v>0</x:v>
      </x:c>
      <x:c r="Z206" s="647" t="n">
        <x:f>IF(P206&gt;0,N206*S206,0)</x:f>
        <x:v>0</x:v>
      </x:c>
      <x:c r="AA206" s="647" t="n">
        <x:f>IF(Q206&gt;0,N206*T206,0)</x:f>
        <x:v>0</x:v>
      </x:c>
      <x:c r="AB206" s="647" t="n">
        <x:f>N206*R206</x:f>
        <x:v>0</x:v>
      </x:c>
      <x:c r="AC206" s="647" t="n">
        <x:f>IF(N206&gt;0,R206,999999)</x:f>
        <x:v>999999</x:v>
      </x:c>
      <x:c r="AD206" s="647" t="n">
        <x:f>IF(AND(N206&gt;0,P206&gt;0),S206,999999)</x:f>
        <x:v>999999</x:v>
      </x:c>
      <x:c r="AE206" s="647" t="n">
        <x:f>IF(AND(N206&gt;0,Q206&gt;0),T206,999999)</x:f>
        <x:v>999999</x:v>
      </x:c>
      <x:c r="AF206" s="648" t="n">
        <x:f>B206*D206*F206*J206</x:f>
        <x:v>0.000021</x:v>
      </x:c>
      <x:c r="AG206" s="648" t="n">
        <x:f>IF(P206&gt;0,AF206,0)</x:f>
        <x:v>0.000021</x:v>
      </x:c>
      <x:c r="AH206" s="648" t="n">
        <x:f>IF(AND(P206&gt;0,S206&lt;0),AF206,0)</x:f>
        <x:v>0</x:v>
      </x:c>
      <x:c r="AI206" s="648" t="n">
        <x:f>IF(AND(P206&gt;0,S206=0),AF206,0)</x:f>
        <x:v>0</x:v>
      </x:c>
      <x:c r="AJ206" s="648" t="n">
        <x:f>IF(R206&lt;30000,AF206,0)</x:f>
        <x:v>0</x:v>
      </x:c>
      <x:c r="AK206" s="647" t="n">
        <x:f>IF(P206&gt;0,AF206*S206,0)</x:f>
        <x:v>0.84</x:v>
      </x:c>
    </x:row>
    <x:row r="207" ht="22" customHeight="1">
      <x:c r="A207" s="19" t="str">
        <x:v>保守</x:v>
      </x:c>
      <x:c r="B207" s="23" t="n">
        <x:f>'114_降本系数'!B26</x:f>
        <x:v>0.35</x:v>
      </x:c>
      <x:c r="C207" s="19" t="str">
        <x:v>L3</x:v>
      </x:c>
      <x:c r="D207" s="23" t="n">
        <x:f>'130_联合算法'!C20</x:f>
        <x:v>0.1</x:v>
      </x:c>
      <x:c r="E207" s="460" t="n">
        <x:f>'117_价格概率传导'!A11</x:f>
        <x:v>219900</x:v>
      </x:c>
      <x:c r="F207" s="23" t="n">
        <x:f>'117_价格概率传导'!C11</x:f>
        <x:v>0.01</x:v>
      </x:c>
      <x:c r="G207" s="23" t="n">
        <x:f>SUM('117_价格概率传导'!$C$6:$C$10)</x:f>
        <x:v>0.99</x:v>
      </x:c>
      <x:c r="H207" s="23" t="n">
        <x:f>SUM('117_价格概率传导'!$C$6:$C$11)</x:f>
        <x:v>1</x:v>
      </x:c>
      <x:c r="I207" s="460" t="n">
        <x:f>'117_价格概率传导'!A18</x:f>
        <x:v>289900</x:v>
      </x:c>
      <x:c r="J207" s="23" t="n">
        <x:f>'117_价格概率传导'!C18</x:f>
        <x:v>0.34</x:v>
      </x:c>
      <x:c r="K207" s="23" t="n">
        <x:f>SUM('117_价格概率传导'!$C$16:$C$17)</x:f>
        <x:v>0.11</x:v>
      </x:c>
      <x:c r="L207" s="23" t="n">
        <x:f>SUM('117_价格概率传导'!$C$16:$C$18)</x:f>
        <x:v>0.45</x:v>
      </x:c>
      <x:c r="M207" s="23" t="n">
        <x:f>MAX(0,MIN(H207,L207)-MAX(G207,K207))</x:f>
        <x:v>0</x:v>
      </x:c>
      <x:c r="N207" s="23" t="n">
        <x:f>B207*D207*M207</x:f>
        <x:v>0</x:v>
      </x:c>
      <x:c r="O207" s="460" t="n">
        <x:f>MIN(299900,I207+20000)</x:f>
        <x:v>299900</x:v>
      </x:c>
      <x:c r="P207" s="460" t="n">
        <x:f>O207-40000</x:f>
        <x:v>259900</x:v>
      </x:c>
      <x:c r="Q207" s="460" t="n">
        <x:f>O207-20000</x:f>
        <x:v>279900</x:v>
      </x:c>
      <x:c r="R207" s="460" t="n">
        <x:f>O207-E207</x:f>
        <x:v>80000</x:v>
      </x:c>
      <x:c r="S207" s="460" t="n">
        <x:f>IF(P207&gt;0,P207-E207,"")</x:f>
        <x:v>40000</x:v>
      </x:c>
      <x:c r="T207" s="460" t="n">
        <x:f>IF(Q207&gt;0,Q207-E207,"")</x:f>
        <x:v>60000</x:v>
      </x:c>
      <x:c r="U207" s="23" t="n">
        <x:f>IF(R207&lt;30000,N207,0)</x:f>
        <x:v>0</x:v>
      </x:c>
      <x:c r="V207" s="23" t="n">
        <x:f>IF(P207&gt;0,N207,0)</x:f>
        <x:v>0</x:v>
      </x:c>
      <x:c r="W207" s="23" t="n">
        <x:f>IF(AND(P207&gt;0,S207&lt;0),N207,0)</x:f>
        <x:v>0</x:v>
      </x:c>
      <x:c r="X207" s="23" t="n">
        <x:f>IF(AND(P207&gt;0,S207=0),N207,0)</x:f>
        <x:v>0</x:v>
      </x:c>
      <x:c r="Y207" s="23" t="n">
        <x:f>IF(Q207&gt;0,N207,0)</x:f>
        <x:v>0</x:v>
      </x:c>
      <x:c r="Z207" s="460" t="n">
        <x:f>IF(P207&gt;0,N207*S207,0)</x:f>
        <x:v>0</x:v>
      </x:c>
      <x:c r="AA207" s="460" t="n">
        <x:f>IF(Q207&gt;0,N207*T207,0)</x:f>
        <x:v>0</x:v>
      </x:c>
      <x:c r="AB207" s="460" t="n">
        <x:f>N207*R207</x:f>
        <x:v>0</x:v>
      </x:c>
      <x:c r="AC207" s="460" t="n">
        <x:f>IF(N207&gt;0,R207,999999)</x:f>
        <x:v>999999</x:v>
      </x:c>
      <x:c r="AD207" s="460" t="n">
        <x:f>IF(AND(N207&gt;0,P207&gt;0),S207,999999)</x:f>
        <x:v>999999</x:v>
      </x:c>
      <x:c r="AE207" s="460" t="n">
        <x:f>IF(AND(N207&gt;0,Q207&gt;0),T207,999999)</x:f>
        <x:v>999999</x:v>
      </x:c>
      <x:c r="AF207" s="23" t="n">
        <x:f>B207*D207*F207*J207</x:f>
        <x:v>0.000119</x:v>
      </x:c>
      <x:c r="AG207" s="23" t="n">
        <x:f>IF(P207&gt;0,AF207,0)</x:f>
        <x:v>0.000119</x:v>
      </x:c>
      <x:c r="AH207" s="23" t="n">
        <x:f>IF(AND(P207&gt;0,S207&lt;0),AF207,0)</x:f>
        <x:v>0</x:v>
      </x:c>
      <x:c r="AI207" s="23" t="n">
        <x:f>IF(AND(P207&gt;0,S207=0),AF207,0)</x:f>
        <x:v>0</x:v>
      </x:c>
      <x:c r="AJ207" s="23" t="n">
        <x:f>IF(R207&lt;30000,AF207,0)</x:f>
        <x:v>0</x:v>
      </x:c>
      <x:c r="AK207" s="460" t="n">
        <x:f>IF(P207&gt;0,AF207*S207,0)</x:f>
        <x:v>4.760000000000001</x:v>
      </x:c>
    </x:row>
    <x:row r="208" ht="22" customHeight="1">
      <x:c r="A208" s="643" t="str">
        <x:v>保守</x:v>
      </x:c>
      <x:c r="B208" s="648" t="n">
        <x:f>'114_降本系数'!B26</x:f>
        <x:v>0.35</x:v>
      </x:c>
      <x:c r="C208" s="643" t="str">
        <x:v>L3</x:v>
      </x:c>
      <x:c r="D208" s="648" t="n">
        <x:f>'130_联合算法'!C20</x:f>
        <x:v>0.1</x:v>
      </x:c>
      <x:c r="E208" s="647" t="n">
        <x:f>'117_价格概率传导'!A11</x:f>
        <x:v>219900</x:v>
      </x:c>
      <x:c r="F208" s="648" t="n">
        <x:f>'117_价格概率传导'!C11</x:f>
        <x:v>0.01</x:v>
      </x:c>
      <x:c r="G208" s="648" t="n">
        <x:f>SUM('117_价格概率传导'!$C$6:$C$10)</x:f>
        <x:v>0.99</x:v>
      </x:c>
      <x:c r="H208" s="648" t="n">
        <x:f>SUM('117_价格概率传导'!$C$6:$C$11)</x:f>
        <x:v>1</x:v>
      </x:c>
      <x:c r="I208" s="647" t="n">
        <x:f>'117_价格概率传导'!A19</x:f>
        <x:v>279900</x:v>
      </x:c>
      <x:c r="J208" s="648" t="n">
        <x:f>'117_价格概率传导'!C19</x:f>
        <x:v>0.39</x:v>
      </x:c>
      <x:c r="K208" s="648" t="n">
        <x:f>SUM('117_价格概率传导'!$C$16:$C$18)</x:f>
        <x:v>0.45</x:v>
      </x:c>
      <x:c r="L208" s="648" t="n">
        <x:f>SUM('117_价格概率传导'!$C$16:$C$19)</x:f>
        <x:v>0.8400000000000001</x:v>
      </x:c>
      <x:c r="M208" s="648" t="n">
        <x:f>MAX(0,MIN(H208,L208)-MAX(G208,K208))</x:f>
        <x:v>0</x:v>
      </x:c>
      <x:c r="N208" s="648" t="n">
        <x:f>B208*D208*M208</x:f>
        <x:v>0</x:v>
      </x:c>
      <x:c r="O208" s="647" t="n">
        <x:f>MIN(299900,I208+20000)</x:f>
        <x:v>299900</x:v>
      </x:c>
      <x:c r="P208" s="647" t="n">
        <x:f>O208-40000</x:f>
        <x:v>259900</x:v>
      </x:c>
      <x:c r="Q208" s="647" t="n">
        <x:f>O208-20000</x:f>
        <x:v>279900</x:v>
      </x:c>
      <x:c r="R208" s="647" t="n">
        <x:f>O208-E208</x:f>
        <x:v>80000</x:v>
      </x:c>
      <x:c r="S208" s="647" t="n">
        <x:f>IF(P208&gt;0,P208-E208,"")</x:f>
        <x:v>40000</x:v>
      </x:c>
      <x:c r="T208" s="647" t="n">
        <x:f>IF(Q208&gt;0,Q208-E208,"")</x:f>
        <x:v>60000</x:v>
      </x:c>
      <x:c r="U208" s="648" t="n">
        <x:f>IF(R208&lt;30000,N208,0)</x:f>
        <x:v>0</x:v>
      </x:c>
      <x:c r="V208" s="648" t="n">
        <x:f>IF(P208&gt;0,N208,0)</x:f>
        <x:v>0</x:v>
      </x:c>
      <x:c r="W208" s="648" t="n">
        <x:f>IF(AND(P208&gt;0,S208&lt;0),N208,0)</x:f>
        <x:v>0</x:v>
      </x:c>
      <x:c r="X208" s="648" t="n">
        <x:f>IF(AND(P208&gt;0,S208=0),N208,0)</x:f>
        <x:v>0</x:v>
      </x:c>
      <x:c r="Y208" s="648" t="n">
        <x:f>IF(Q208&gt;0,N208,0)</x:f>
        <x:v>0</x:v>
      </x:c>
      <x:c r="Z208" s="647" t="n">
        <x:f>IF(P208&gt;0,N208*S208,0)</x:f>
        <x:v>0</x:v>
      </x:c>
      <x:c r="AA208" s="647" t="n">
        <x:f>IF(Q208&gt;0,N208*T208,0)</x:f>
        <x:v>0</x:v>
      </x:c>
      <x:c r="AB208" s="647" t="n">
        <x:f>N208*R208</x:f>
        <x:v>0</x:v>
      </x:c>
      <x:c r="AC208" s="647" t="n">
        <x:f>IF(N208&gt;0,R208,999999)</x:f>
        <x:v>999999</x:v>
      </x:c>
      <x:c r="AD208" s="647" t="n">
        <x:f>IF(AND(N208&gt;0,P208&gt;0),S208,999999)</x:f>
        <x:v>999999</x:v>
      </x:c>
      <x:c r="AE208" s="647" t="n">
        <x:f>IF(AND(N208&gt;0,Q208&gt;0),T208,999999)</x:f>
        <x:v>999999</x:v>
      </x:c>
      <x:c r="AF208" s="648" t="n">
        <x:f>B208*D208*F208*J208</x:f>
        <x:v>0.0001365</x:v>
      </x:c>
      <x:c r="AG208" s="648" t="n">
        <x:f>IF(P208&gt;0,AF208,0)</x:f>
        <x:v>0.0001365</x:v>
      </x:c>
      <x:c r="AH208" s="648" t="n">
        <x:f>IF(AND(P208&gt;0,S208&lt;0),AF208,0)</x:f>
        <x:v>0</x:v>
      </x:c>
      <x:c r="AI208" s="648" t="n">
        <x:f>IF(AND(P208&gt;0,S208=0),AF208,0)</x:f>
        <x:v>0</x:v>
      </x:c>
      <x:c r="AJ208" s="648" t="n">
        <x:f>IF(R208&lt;30000,AF208,0)</x:f>
        <x:v>0</x:v>
      </x:c>
      <x:c r="AK208" s="647" t="n">
        <x:f>IF(P208&gt;0,AF208*S208,0)</x:f>
        <x:v>5.460000000000001</x:v>
      </x:c>
    </x:row>
    <x:row r="209" ht="22" customHeight="1">
      <x:c r="A209" s="19" t="str">
        <x:v>保守</x:v>
      </x:c>
      <x:c r="B209" s="23" t="n">
        <x:f>'114_降本系数'!B26</x:f>
        <x:v>0.35</x:v>
      </x:c>
      <x:c r="C209" s="19" t="str">
        <x:v>L3</x:v>
      </x:c>
      <x:c r="D209" s="23" t="n">
        <x:f>'130_联合算法'!C20</x:f>
        <x:v>0.1</x:v>
      </x:c>
      <x:c r="E209" s="460" t="n">
        <x:f>'117_价格概率传导'!A11</x:f>
        <x:v>219900</x:v>
      </x:c>
      <x:c r="F209" s="23" t="n">
        <x:f>'117_价格概率传导'!C11</x:f>
        <x:v>0.01</x:v>
      </x:c>
      <x:c r="G209" s="23" t="n">
        <x:f>SUM('117_价格概率传导'!$C$6:$C$10)</x:f>
        <x:v>0.99</x:v>
      </x:c>
      <x:c r="H209" s="23" t="n">
        <x:f>SUM('117_价格概率传导'!$C$6:$C$11)</x:f>
        <x:v>1</x:v>
      </x:c>
      <x:c r="I209" s="460" t="n">
        <x:f>'117_价格概率传导'!A20</x:f>
        <x:v>269900</x:v>
      </x:c>
      <x:c r="J209" s="23" t="n">
        <x:f>'117_价格概率传导'!C20</x:f>
        <x:v>0.13</x:v>
      </x:c>
      <x:c r="K209" s="23" t="n">
        <x:f>SUM('117_价格概率传导'!$C$16:$C$19)</x:f>
        <x:v>0.8400000000000001</x:v>
      </x:c>
      <x:c r="L209" s="23" t="n">
        <x:f>SUM('117_价格概率传导'!$C$16:$C$20)</x:f>
        <x:v>0.9700000000000001</x:v>
      </x:c>
      <x:c r="M209" s="23" t="n">
        <x:f>MAX(0,MIN(H209,L209)-MAX(G209,K209))</x:f>
        <x:v>0</x:v>
      </x:c>
      <x:c r="N209" s="23" t="n">
        <x:f>B209*D209*M209</x:f>
        <x:v>0</x:v>
      </x:c>
      <x:c r="O209" s="460" t="n">
        <x:f>MIN(299900,I209+20000)</x:f>
        <x:v>289900</x:v>
      </x:c>
      <x:c r="P209" s="460" t="n">
        <x:f>O209-40000</x:f>
        <x:v>249900</x:v>
      </x:c>
      <x:c r="Q209" s="460" t="n">
        <x:f>O209-20000</x:f>
        <x:v>269900</x:v>
      </x:c>
      <x:c r="R209" s="460" t="n">
        <x:f>O209-E209</x:f>
        <x:v>70000</x:v>
      </x:c>
      <x:c r="S209" s="460" t="n">
        <x:f>IF(P209&gt;0,P209-E209,"")</x:f>
        <x:v>30000</x:v>
      </x:c>
      <x:c r="T209" s="460" t="n">
        <x:f>IF(Q209&gt;0,Q209-E209,"")</x:f>
        <x:v>50000</x:v>
      </x:c>
      <x:c r="U209" s="23" t="n">
        <x:f>IF(R209&lt;30000,N209,0)</x:f>
        <x:v>0</x:v>
      </x:c>
      <x:c r="V209" s="23" t="n">
        <x:f>IF(P209&gt;0,N209,0)</x:f>
        <x:v>0</x:v>
      </x:c>
      <x:c r="W209" s="23" t="n">
        <x:f>IF(AND(P209&gt;0,S209&lt;0),N209,0)</x:f>
        <x:v>0</x:v>
      </x:c>
      <x:c r="X209" s="23" t="n">
        <x:f>IF(AND(P209&gt;0,S209=0),N209,0)</x:f>
        <x:v>0</x:v>
      </x:c>
      <x:c r="Y209" s="23" t="n">
        <x:f>IF(Q209&gt;0,N209,0)</x:f>
        <x:v>0</x:v>
      </x:c>
      <x:c r="Z209" s="460" t="n">
        <x:f>IF(P209&gt;0,N209*S209,0)</x:f>
        <x:v>0</x:v>
      </x:c>
      <x:c r="AA209" s="460" t="n">
        <x:f>IF(Q209&gt;0,N209*T209,0)</x:f>
        <x:v>0</x:v>
      </x:c>
      <x:c r="AB209" s="460" t="n">
        <x:f>N209*R209</x:f>
        <x:v>0</x:v>
      </x:c>
      <x:c r="AC209" s="460" t="n">
        <x:f>IF(N209&gt;0,R209,999999)</x:f>
        <x:v>999999</x:v>
      </x:c>
      <x:c r="AD209" s="460" t="n">
        <x:f>IF(AND(N209&gt;0,P209&gt;0),S209,999999)</x:f>
        <x:v>999999</x:v>
      </x:c>
      <x:c r="AE209" s="460" t="n">
        <x:f>IF(AND(N209&gt;0,Q209&gt;0),T209,999999)</x:f>
        <x:v>999999</x:v>
      </x:c>
      <x:c r="AF209" s="23" t="n">
        <x:f>B209*D209*F209*J209</x:f>
        <x:v>0.0000455</x:v>
      </x:c>
      <x:c r="AG209" s="23" t="n">
        <x:f>IF(P209&gt;0,AF209,0)</x:f>
        <x:v>0.0000455</x:v>
      </x:c>
      <x:c r="AH209" s="23" t="n">
        <x:f>IF(AND(P209&gt;0,S209&lt;0),AF209,0)</x:f>
        <x:v>0</x:v>
      </x:c>
      <x:c r="AI209" s="23" t="n">
        <x:f>IF(AND(P209&gt;0,S209=0),AF209,0)</x:f>
        <x:v>0</x:v>
      </x:c>
      <x:c r="AJ209" s="23" t="n">
        <x:f>IF(R209&lt;30000,AF209,0)</x:f>
        <x:v>0</x:v>
      </x:c>
      <x:c r="AK209" s="460" t="n">
        <x:f>IF(P209&gt;0,AF209*S209,0)</x:f>
        <x:v>1.365</x:v>
      </x:c>
    </x:row>
    <x:row r="210" ht="22" customHeight="1">
      <x:c r="A210" s="643" t="str">
        <x:v>保守</x:v>
      </x:c>
      <x:c r="B210" s="648" t="n">
        <x:f>'114_降本系数'!B26</x:f>
        <x:v>0.35</x:v>
      </x:c>
      <x:c r="C210" s="643" t="str">
        <x:v>L3</x:v>
      </x:c>
      <x:c r="D210" s="648" t="n">
        <x:f>'130_联合算法'!C20</x:f>
        <x:v>0.1</x:v>
      </x:c>
      <x:c r="E210" s="647" t="n">
        <x:f>'117_价格概率传导'!A11</x:f>
        <x:v>219900</x:v>
      </x:c>
      <x:c r="F210" s="648" t="n">
        <x:f>'117_价格概率传导'!C11</x:f>
        <x:v>0.01</x:v>
      </x:c>
      <x:c r="G210" s="648" t="n">
        <x:f>SUM('117_价格概率传导'!$C$6:$C$10)</x:f>
        <x:v>0.99</x:v>
      </x:c>
      <x:c r="H210" s="648" t="n">
        <x:f>SUM('117_价格概率传导'!$C$6:$C$11)</x:f>
        <x:v>1</x:v>
      </x:c>
      <x:c r="I210" s="647" t="n">
        <x:f>'117_价格概率传导'!A21</x:f>
        <x:v>259900</x:v>
      </x:c>
      <x:c r="J210" s="648" t="n">
        <x:f>'117_价格概率传导'!C21</x:f>
        <x:v>0.03</x:v>
      </x:c>
      <x:c r="K210" s="648" t="n">
        <x:f>SUM('117_价格概率传导'!$C$16:$C$20)</x:f>
        <x:v>0.9700000000000001</x:v>
      </x:c>
      <x:c r="L210" s="648" t="n">
        <x:f>SUM('117_价格概率传导'!$C$16:$C$21)</x:f>
        <x:v>1</x:v>
      </x:c>
      <x:c r="M210" s="648" t="n">
        <x:f>MAX(0,MIN(H210,L210)-MAX(G210,K210))</x:f>
        <x:v>0.010000000000000009</x:v>
      </x:c>
      <x:c r="N210" s="648" t="n">
        <x:f>B210*D210*M210</x:f>
        <x:v>0.00035000000000000027</x:v>
      </x:c>
      <x:c r="O210" s="647" t="n">
        <x:f>MIN(299900,I210+20000)</x:f>
        <x:v>279900</x:v>
      </x:c>
      <x:c r="P210" s="647" t="n">
        <x:f>O210-40000</x:f>
        <x:v>239900</x:v>
      </x:c>
      <x:c r="Q210" s="647" t="n">
        <x:f>O210-20000</x:f>
        <x:v>259900</x:v>
      </x:c>
      <x:c r="R210" s="647" t="n">
        <x:f>O210-E210</x:f>
        <x:v>60000</x:v>
      </x:c>
      <x:c r="S210" s="647" t="n">
        <x:f>IF(P210&gt;0,P210-E210,"")</x:f>
        <x:v>20000</x:v>
      </x:c>
      <x:c r="T210" s="647" t="n">
        <x:f>IF(Q210&gt;0,Q210-E210,"")</x:f>
        <x:v>40000</x:v>
      </x:c>
      <x:c r="U210" s="648" t="n">
        <x:f>IF(R210&lt;30000,N210,0)</x:f>
        <x:v>0</x:v>
      </x:c>
      <x:c r="V210" s="648" t="n">
        <x:f>IF(P210&gt;0,N210,0)</x:f>
        <x:v>0.00035000000000000027</x:v>
      </x:c>
      <x:c r="W210" s="648" t="n">
        <x:f>IF(AND(P210&gt;0,S210&lt;0),N210,0)</x:f>
        <x:v>0</x:v>
      </x:c>
      <x:c r="X210" s="648" t="n">
        <x:f>IF(AND(P210&gt;0,S210=0),N210,0)</x:f>
        <x:v>0</x:v>
      </x:c>
      <x:c r="Y210" s="648" t="n">
        <x:f>IF(Q210&gt;0,N210,0)</x:f>
        <x:v>0.00035000000000000027</x:v>
      </x:c>
      <x:c r="Z210" s="647" t="n">
        <x:f>IF(P210&gt;0,N210*S210,0)</x:f>
        <x:v>7.000000000000005</x:v>
      </x:c>
      <x:c r="AA210" s="647" t="n">
        <x:f>IF(Q210&gt;0,N210*T210,0)</x:f>
        <x:v>14.00000000000001</x:v>
      </x:c>
      <x:c r="AB210" s="647" t="n">
        <x:f>N210*R210</x:f>
        <x:v>21.000000000000018</x:v>
      </x:c>
      <x:c r="AC210" s="647" t="n">
        <x:f>IF(N210&gt;0,R210,999999)</x:f>
        <x:v>60000</x:v>
      </x:c>
      <x:c r="AD210" s="647" t="n">
        <x:f>IF(AND(N210&gt;0,P210&gt;0),S210,999999)</x:f>
        <x:v>20000</x:v>
      </x:c>
      <x:c r="AE210" s="647" t="n">
        <x:f>IF(AND(N210&gt;0,Q210&gt;0),T210,999999)</x:f>
        <x:v>40000</x:v>
      </x:c>
      <x:c r="AF210" s="648" t="n">
        <x:f>B210*D210*F210*J210</x:f>
        <x:v>0.0000105</x:v>
      </x:c>
      <x:c r="AG210" s="648" t="n">
        <x:f>IF(P210&gt;0,AF210,0)</x:f>
        <x:v>0.0000105</x:v>
      </x:c>
      <x:c r="AH210" s="648" t="n">
        <x:f>IF(AND(P210&gt;0,S210&lt;0),AF210,0)</x:f>
        <x:v>0</x:v>
      </x:c>
      <x:c r="AI210" s="648" t="n">
        <x:f>IF(AND(P210&gt;0,S210=0),AF210,0)</x:f>
        <x:v>0</x:v>
      </x:c>
      <x:c r="AJ210" s="648" t="n">
        <x:f>IF(R210&lt;30000,AF210,0)</x:f>
        <x:v>0</x:v>
      </x:c>
      <x:c r="AK210" s="647" t="n">
        <x:f>IF(P210&gt;0,AF210*S210,0)</x:f>
        <x:v>0.21</x:v>
      </x:c>
    </x:row>
    <x:row r="211" ht="22" customHeight="1">
      <x:c r="A211" s="19" t="str">
        <x:v>中心</x:v>
      </x:c>
      <x:c r="B211" s="23" t="n">
        <x:f>'114_降本系数'!B27</x:f>
        <x:v>0.5</x:v>
      </x:c>
      <x:c r="C211" s="19" t="str">
        <x:v>L0</x:v>
      </x:c>
      <x:c r="D211" s="23" t="n">
        <x:f>'130_联合算法'!C16</x:f>
        <x:v>0.6</x:v>
      </x:c>
      <x:c r="E211" s="460" t="n">
        <x:f>'117_价格概率传导'!A6</x:f>
        <x:v>259900</x:v>
      </x:c>
      <x:c r="F211" s="23" t="n">
        <x:f>'117_价格概率传导'!D6</x:f>
        <x:v>0.03</x:v>
      </x:c>
      <x:c r="G211" s="23" t="n">
        <x:f>0</x:f>
        <x:v>0</x:v>
      </x:c>
      <x:c r="H211" s="23" t="n">
        <x:f>SUM('117_价格概率传导'!$D$6:$D$6)</x:f>
        <x:v>0.03</x:v>
      </x:c>
      <x:c r="I211" s="460" t="n">
        <x:f>'117_价格概率传导'!A16</x:f>
        <x:v>299900</x:v>
      </x:c>
      <x:c r="J211" s="23" t="n">
        <x:f>'117_价格概率传导'!D16</x:f>
        <x:v>0.02</x:v>
      </x:c>
      <x:c r="K211" s="23" t="n">
        <x:f>0</x:f>
        <x:v>0</x:v>
      </x:c>
      <x:c r="L211" s="23" t="n">
        <x:f>SUM('117_价格概率传导'!$D$16:$D$16)</x:f>
        <x:v>0.02</x:v>
      </x:c>
      <x:c r="M211" s="23" t="n">
        <x:f>MAX(0,MIN(H211,L211)-MAX(G211,K211))</x:f>
        <x:v>0.02</x:v>
      </x:c>
      <x:c r="N211" s="23" t="n">
        <x:f>B211*D211*M211</x:f>
        <x:v>0.006</x:v>
      </x:c>
      <x:c r="O211" s="460" t="n">
        <x:f>I211</x:f>
        <x:v>299900</x:v>
      </x:c>
      <x:c r="P211" s="460" t="str">
        <x:f>""</x:f>
      </x:c>
      <x:c r="Q211" s="460" t="str">
        <x:f>""</x:f>
      </x:c>
      <x:c r="R211" s="460" t="n">
        <x:f>O211-E211</x:f>
        <x:v>40000</x:v>
      </x:c>
      <x:c r="S211" s="460" t="str">
        <x:f>IF(P211&gt;0,P211-E211,"")</x:f>
      </x:c>
      <x:c r="T211" s="460" t="str">
        <x:f>IF(Q211&gt;0,Q211-E211,"")</x:f>
      </x:c>
      <x:c r="U211" s="23" t="n">
        <x:f>IF(R211&lt;30000,N211,0)</x:f>
        <x:v>0</x:v>
      </x:c>
      <x:c r="V211" s="23" t="n">
        <x:f>IF(P211&gt;0,N211,0)</x:f>
        <x:v>0</x:v>
      </x:c>
      <x:c r="W211" s="23" t="n">
        <x:f>IF(AND(P211&gt;0,S211&lt;0),N211,0)</x:f>
        <x:v>0</x:v>
      </x:c>
      <x:c r="X211" s="23" t="n">
        <x:f>IF(AND(P211&gt;0,S211=0),N211,0)</x:f>
        <x:v>0</x:v>
      </x:c>
      <x:c r="Y211" s="23" t="n">
        <x:f>IF(Q211&gt;0,N211,0)</x:f>
        <x:v>0</x:v>
      </x:c>
      <x:c r="Z211" s="460" t="n">
        <x:f>IF(P211&gt;0,N211*S211,0)</x:f>
        <x:v>0</x:v>
      </x:c>
      <x:c r="AA211" s="460" t="n">
        <x:f>IF(Q211&gt;0,N211*T211,0)</x:f>
        <x:v>0</x:v>
      </x:c>
      <x:c r="AB211" s="460" t="n">
        <x:f>N211*R211</x:f>
        <x:v>240</x:v>
      </x:c>
      <x:c r="AC211" s="460" t="n">
        <x:f>IF(N211&gt;0,R211,999999)</x:f>
        <x:v>40000</x:v>
      </x:c>
      <x:c r="AD211" s="460" t="n">
        <x:f>IF(AND(N211&gt;0,P211&gt;0),S211,999999)</x:f>
        <x:v>999999</x:v>
      </x:c>
      <x:c r="AE211" s="460" t="n">
        <x:f>IF(AND(N211&gt;0,Q211&gt;0),T211,999999)</x:f>
        <x:v>999999</x:v>
      </x:c>
      <x:c r="AF211" s="23" t="n">
        <x:f>B211*D211*F211*J211</x:f>
        <x:v>0.00017999999999999998</x:v>
      </x:c>
      <x:c r="AG211" s="23" t="n">
        <x:f>IF(P211&gt;0,AF211,0)</x:f>
        <x:v>0</x:v>
      </x:c>
      <x:c r="AH211" s="23" t="n">
        <x:f>IF(AND(P211&gt;0,S211&lt;0),AF211,0)</x:f>
        <x:v>0</x:v>
      </x:c>
      <x:c r="AI211" s="23" t="n">
        <x:f>IF(AND(P211&gt;0,S211=0),AF211,0)</x:f>
        <x:v>0</x:v>
      </x:c>
      <x:c r="AJ211" s="23" t="n">
        <x:f>IF(R211&lt;30000,AF211,0)</x:f>
        <x:v>0</x:v>
      </x:c>
      <x:c r="AK211" s="460" t="n">
        <x:f>IF(P211&gt;0,AF211*S211,0)</x:f>
        <x:v>0</x:v>
      </x:c>
    </x:row>
    <x:row r="212" ht="22" customHeight="1">
      <x:c r="A212" s="643" t="str">
        <x:v>中心</x:v>
      </x:c>
      <x:c r="B212" s="648" t="n">
        <x:f>'114_降本系数'!B27</x:f>
        <x:v>0.5</x:v>
      </x:c>
      <x:c r="C212" s="643" t="str">
        <x:v>L0</x:v>
      </x:c>
      <x:c r="D212" s="648" t="n">
        <x:f>'130_联合算法'!C16</x:f>
        <x:v>0.6</x:v>
      </x:c>
      <x:c r="E212" s="647" t="n">
        <x:f>'117_价格概率传导'!A6</x:f>
        <x:v>259900</x:v>
      </x:c>
      <x:c r="F212" s="648" t="n">
        <x:f>'117_价格概率传导'!D6</x:f>
        <x:v>0.03</x:v>
      </x:c>
      <x:c r="G212" s="648" t="n">
        <x:f>0</x:f>
        <x:v>0</x:v>
      </x:c>
      <x:c r="H212" s="648" t="n">
        <x:f>SUM('117_价格概率传导'!$D$6:$D$6)</x:f>
        <x:v>0.03</x:v>
      </x:c>
      <x:c r="I212" s="647" t="n">
        <x:f>'117_价格概率传导'!A17</x:f>
        <x:v>293900</x:v>
      </x:c>
      <x:c r="J212" s="648" t="n">
        <x:f>'117_价格概率传导'!D17</x:f>
        <x:v>0.03</x:v>
      </x:c>
      <x:c r="K212" s="648" t="n">
        <x:f>SUM('117_价格概率传导'!$D$16:$D$16)</x:f>
        <x:v>0.02</x:v>
      </x:c>
      <x:c r="L212" s="648" t="n">
        <x:f>SUM('117_价格概率传导'!$D$16:$D$17)</x:f>
        <x:v>0.05</x:v>
      </x:c>
      <x:c r="M212" s="648" t="n">
        <x:f>MAX(0,MIN(H212,L212)-MAX(G212,K212))</x:f>
        <x:v>0.009999999999999998</x:v>
      </x:c>
      <x:c r="N212" s="648" t="n">
        <x:f>B212*D212*M212</x:f>
        <x:v>0.0029999999999999996</x:v>
      </x:c>
      <x:c r="O212" s="647" t="n">
        <x:f>I212</x:f>
        <x:v>293900</x:v>
      </x:c>
      <x:c r="P212" s="647" t="str">
        <x:f>""</x:f>
      </x:c>
      <x:c r="Q212" s="647" t="str">
        <x:f>""</x:f>
      </x:c>
      <x:c r="R212" s="647" t="n">
        <x:f>O212-E212</x:f>
        <x:v>34000</x:v>
      </x:c>
      <x:c r="S212" s="647" t="str">
        <x:f>IF(P212&gt;0,P212-E212,"")</x:f>
      </x:c>
      <x:c r="T212" s="647" t="str">
        <x:f>IF(Q212&gt;0,Q212-E212,"")</x:f>
      </x:c>
      <x:c r="U212" s="648" t="n">
        <x:f>IF(R212&lt;30000,N212,0)</x:f>
        <x:v>0</x:v>
      </x:c>
      <x:c r="V212" s="648" t="n">
        <x:f>IF(P212&gt;0,N212,0)</x:f>
        <x:v>0</x:v>
      </x:c>
      <x:c r="W212" s="648" t="n">
        <x:f>IF(AND(P212&gt;0,S212&lt;0),N212,0)</x:f>
        <x:v>0</x:v>
      </x:c>
      <x:c r="X212" s="648" t="n">
        <x:f>IF(AND(P212&gt;0,S212=0),N212,0)</x:f>
        <x:v>0</x:v>
      </x:c>
      <x:c r="Y212" s="648" t="n">
        <x:f>IF(Q212&gt;0,N212,0)</x:f>
        <x:v>0</x:v>
      </x:c>
      <x:c r="Z212" s="647" t="n">
        <x:f>IF(P212&gt;0,N212*S212,0)</x:f>
        <x:v>0</x:v>
      </x:c>
      <x:c r="AA212" s="647" t="n">
        <x:f>IF(Q212&gt;0,N212*T212,0)</x:f>
        <x:v>0</x:v>
      </x:c>
      <x:c r="AB212" s="647" t="n">
        <x:f>N212*R212</x:f>
        <x:v>101.99999999999999</x:v>
      </x:c>
      <x:c r="AC212" s="647" t="n">
        <x:f>IF(N212&gt;0,R212,999999)</x:f>
        <x:v>34000</x:v>
      </x:c>
      <x:c r="AD212" s="647" t="n">
        <x:f>IF(AND(N212&gt;0,P212&gt;0),S212,999999)</x:f>
        <x:v>999999</x:v>
      </x:c>
      <x:c r="AE212" s="647" t="n">
        <x:f>IF(AND(N212&gt;0,Q212&gt;0),T212,999999)</x:f>
        <x:v>999999</x:v>
      </x:c>
      <x:c r="AF212" s="648" t="n">
        <x:f>B212*D212*F212*J212</x:f>
        <x:v>0.00026999999999999995</x:v>
      </x:c>
      <x:c r="AG212" s="648" t="n">
        <x:f>IF(P212&gt;0,AF212,0)</x:f>
        <x:v>0</x:v>
      </x:c>
      <x:c r="AH212" s="648" t="n">
        <x:f>IF(AND(P212&gt;0,S212&lt;0),AF212,0)</x:f>
        <x:v>0</x:v>
      </x:c>
      <x:c r="AI212" s="648" t="n">
        <x:f>IF(AND(P212&gt;0,S212=0),AF212,0)</x:f>
        <x:v>0</x:v>
      </x:c>
      <x:c r="AJ212" s="648" t="n">
        <x:f>IF(R212&lt;30000,AF212,0)</x:f>
        <x:v>0</x:v>
      </x:c>
      <x:c r="AK212" s="647" t="n">
        <x:f>IF(P212&gt;0,AF212*S212,0)</x:f>
        <x:v>0</x:v>
      </x:c>
    </x:row>
    <x:row r="213" ht="22" customHeight="1">
      <x:c r="A213" s="19" t="str">
        <x:v>中心</x:v>
      </x:c>
      <x:c r="B213" s="23" t="n">
        <x:f>'114_降本系数'!B27</x:f>
        <x:v>0.5</x:v>
      </x:c>
      <x:c r="C213" s="19" t="str">
        <x:v>L0</x:v>
      </x:c>
      <x:c r="D213" s="23" t="n">
        <x:f>'130_联合算法'!C16</x:f>
        <x:v>0.6</x:v>
      </x:c>
      <x:c r="E213" s="460" t="n">
        <x:f>'117_价格概率传导'!A6</x:f>
        <x:v>259900</x:v>
      </x:c>
      <x:c r="F213" s="23" t="n">
        <x:f>'117_价格概率传导'!D6</x:f>
        <x:v>0.03</x:v>
      </x:c>
      <x:c r="G213" s="23" t="n">
        <x:f>0</x:f>
        <x:v>0</x:v>
      </x:c>
      <x:c r="H213" s="23" t="n">
        <x:f>SUM('117_价格概率传导'!$D$6:$D$6)</x:f>
        <x:v>0.03</x:v>
      </x:c>
      <x:c r="I213" s="460" t="n">
        <x:f>'117_价格概率传导'!A18</x:f>
        <x:v>289900</x:v>
      </x:c>
      <x:c r="J213" s="23" t="n">
        <x:f>'117_价格概率传导'!D18</x:f>
        <x:v>0.22</x:v>
      </x:c>
      <x:c r="K213" s="23" t="n">
        <x:f>SUM('117_价格概率传导'!$D$16:$D$17)</x:f>
        <x:v>0.05</x:v>
      </x:c>
      <x:c r="L213" s="23" t="n">
        <x:f>SUM('117_价格概率传导'!$D$16:$D$18)</x:f>
        <x:v>0.27</x:v>
      </x:c>
      <x:c r="M213" s="23" t="n">
        <x:f>MAX(0,MIN(H213,L213)-MAX(G213,K213))</x:f>
        <x:v>0</x:v>
      </x:c>
      <x:c r="N213" s="23" t="n">
        <x:f>B213*D213*M213</x:f>
        <x:v>0</x:v>
      </x:c>
      <x:c r="O213" s="460" t="n">
        <x:f>I213</x:f>
        <x:v>289900</x:v>
      </x:c>
      <x:c r="P213" s="460" t="str">
        <x:f>""</x:f>
      </x:c>
      <x:c r="Q213" s="460" t="str">
        <x:f>""</x:f>
      </x:c>
      <x:c r="R213" s="460" t="n">
        <x:f>O213-E213</x:f>
        <x:v>30000</x:v>
      </x:c>
      <x:c r="S213" s="460" t="str">
        <x:f>IF(P213&gt;0,P213-E213,"")</x:f>
      </x:c>
      <x:c r="T213" s="460" t="str">
        <x:f>IF(Q213&gt;0,Q213-E213,"")</x:f>
      </x:c>
      <x:c r="U213" s="23" t="n">
        <x:f>IF(R213&lt;30000,N213,0)</x:f>
        <x:v>0</x:v>
      </x:c>
      <x:c r="V213" s="23" t="n">
        <x:f>IF(P213&gt;0,N213,0)</x:f>
        <x:v>0</x:v>
      </x:c>
      <x:c r="W213" s="23" t="n">
        <x:f>IF(AND(P213&gt;0,S213&lt;0),N213,0)</x:f>
        <x:v>0</x:v>
      </x:c>
      <x:c r="X213" s="23" t="n">
        <x:f>IF(AND(P213&gt;0,S213=0),N213,0)</x:f>
        <x:v>0</x:v>
      </x:c>
      <x:c r="Y213" s="23" t="n">
        <x:f>IF(Q213&gt;0,N213,0)</x:f>
        <x:v>0</x:v>
      </x:c>
      <x:c r="Z213" s="460" t="n">
        <x:f>IF(P213&gt;0,N213*S213,0)</x:f>
        <x:v>0</x:v>
      </x:c>
      <x:c r="AA213" s="460" t="n">
        <x:f>IF(Q213&gt;0,N213*T213,0)</x:f>
        <x:v>0</x:v>
      </x:c>
      <x:c r="AB213" s="460" t="n">
        <x:f>N213*R213</x:f>
        <x:v>0</x:v>
      </x:c>
      <x:c r="AC213" s="460" t="n">
        <x:f>IF(N213&gt;0,R213,999999)</x:f>
        <x:v>999999</x:v>
      </x:c>
      <x:c r="AD213" s="460" t="n">
        <x:f>IF(AND(N213&gt;0,P213&gt;0),S213,999999)</x:f>
        <x:v>999999</x:v>
      </x:c>
      <x:c r="AE213" s="460" t="n">
        <x:f>IF(AND(N213&gt;0,Q213&gt;0),T213,999999)</x:f>
        <x:v>999999</x:v>
      </x:c>
      <x:c r="AF213" s="23" t="n">
        <x:f>B213*D213*F213*J213</x:f>
        <x:v>0.00198</x:v>
      </x:c>
      <x:c r="AG213" s="23" t="n">
        <x:f>IF(P213&gt;0,AF213,0)</x:f>
        <x:v>0</x:v>
      </x:c>
      <x:c r="AH213" s="23" t="n">
        <x:f>IF(AND(P213&gt;0,S213&lt;0),AF213,0)</x:f>
        <x:v>0</x:v>
      </x:c>
      <x:c r="AI213" s="23" t="n">
        <x:f>IF(AND(P213&gt;0,S213=0),AF213,0)</x:f>
        <x:v>0</x:v>
      </x:c>
      <x:c r="AJ213" s="23" t="n">
        <x:f>IF(R213&lt;30000,AF213,0)</x:f>
        <x:v>0</x:v>
      </x:c>
      <x:c r="AK213" s="460" t="n">
        <x:f>IF(P213&gt;0,AF213*S213,0)</x:f>
        <x:v>0</x:v>
      </x:c>
    </x:row>
    <x:row r="214" ht="22" customHeight="1">
      <x:c r="A214" s="643" t="str">
        <x:v>中心</x:v>
      </x:c>
      <x:c r="B214" s="648" t="n">
        <x:f>'114_降本系数'!B27</x:f>
        <x:v>0.5</x:v>
      </x:c>
      <x:c r="C214" s="643" t="str">
        <x:v>L0</x:v>
      </x:c>
      <x:c r="D214" s="648" t="n">
        <x:f>'130_联合算法'!C16</x:f>
        <x:v>0.6</x:v>
      </x:c>
      <x:c r="E214" s="647" t="n">
        <x:f>'117_价格概率传导'!A6</x:f>
        <x:v>259900</x:v>
      </x:c>
      <x:c r="F214" s="648" t="n">
        <x:f>'117_价格概率传导'!D6</x:f>
        <x:v>0.03</x:v>
      </x:c>
      <x:c r="G214" s="648" t="n">
        <x:f>0</x:f>
        <x:v>0</x:v>
      </x:c>
      <x:c r="H214" s="648" t="n">
        <x:f>SUM('117_价格概率传导'!$D$6:$D$6)</x:f>
        <x:v>0.03</x:v>
      </x:c>
      <x:c r="I214" s="647" t="n">
        <x:f>'117_价格概率传导'!A19</x:f>
        <x:v>279900</x:v>
      </x:c>
      <x:c r="J214" s="648" t="n">
        <x:f>'117_价格概率传导'!D19</x:f>
        <x:v>0.44</x:v>
      </x:c>
      <x:c r="K214" s="648" t="n">
        <x:f>SUM('117_价格概率传导'!$D$16:$D$18)</x:f>
        <x:v>0.27</x:v>
      </x:c>
      <x:c r="L214" s="648" t="n">
        <x:f>SUM('117_价格概率传导'!$D$16:$D$19)</x:f>
        <x:v>0.71</x:v>
      </x:c>
      <x:c r="M214" s="648" t="n">
        <x:f>MAX(0,MIN(H214,L214)-MAX(G214,K214))</x:f>
        <x:v>0</x:v>
      </x:c>
      <x:c r="N214" s="648" t="n">
        <x:f>B214*D214*M214</x:f>
        <x:v>0</x:v>
      </x:c>
      <x:c r="O214" s="647" t="n">
        <x:f>I214</x:f>
        <x:v>279900</x:v>
      </x:c>
      <x:c r="P214" s="647" t="str">
        <x:f>""</x:f>
      </x:c>
      <x:c r="Q214" s="647" t="str">
        <x:f>""</x:f>
      </x:c>
      <x:c r="R214" s="647" t="n">
        <x:f>O214-E214</x:f>
        <x:v>20000</x:v>
      </x:c>
      <x:c r="S214" s="647" t="str">
        <x:f>IF(P214&gt;0,P214-E214,"")</x:f>
      </x:c>
      <x:c r="T214" s="647" t="str">
        <x:f>IF(Q214&gt;0,Q214-E214,"")</x:f>
      </x:c>
      <x:c r="U214" s="648" t="n">
        <x:f>IF(R214&lt;30000,N214,0)</x:f>
        <x:v>0</x:v>
      </x:c>
      <x:c r="V214" s="648" t="n">
        <x:f>IF(P214&gt;0,N214,0)</x:f>
        <x:v>0</x:v>
      </x:c>
      <x:c r="W214" s="648" t="n">
        <x:f>IF(AND(P214&gt;0,S214&lt;0),N214,0)</x:f>
        <x:v>0</x:v>
      </x:c>
      <x:c r="X214" s="648" t="n">
        <x:f>IF(AND(P214&gt;0,S214=0),N214,0)</x:f>
        <x:v>0</x:v>
      </x:c>
      <x:c r="Y214" s="648" t="n">
        <x:f>IF(Q214&gt;0,N214,0)</x:f>
        <x:v>0</x:v>
      </x:c>
      <x:c r="Z214" s="647" t="n">
        <x:f>IF(P214&gt;0,N214*S214,0)</x:f>
        <x:v>0</x:v>
      </x:c>
      <x:c r="AA214" s="647" t="n">
        <x:f>IF(Q214&gt;0,N214*T214,0)</x:f>
        <x:v>0</x:v>
      </x:c>
      <x:c r="AB214" s="647" t="n">
        <x:f>N214*R214</x:f>
        <x:v>0</x:v>
      </x:c>
      <x:c r="AC214" s="647" t="n">
        <x:f>IF(N214&gt;0,R214,999999)</x:f>
        <x:v>999999</x:v>
      </x:c>
      <x:c r="AD214" s="647" t="n">
        <x:f>IF(AND(N214&gt;0,P214&gt;0),S214,999999)</x:f>
        <x:v>999999</x:v>
      </x:c>
      <x:c r="AE214" s="647" t="n">
        <x:f>IF(AND(N214&gt;0,Q214&gt;0),T214,999999)</x:f>
        <x:v>999999</x:v>
      </x:c>
      <x:c r="AF214" s="648" t="n">
        <x:f>B214*D214*F214*J214</x:f>
        <x:v>0.00396</x:v>
      </x:c>
      <x:c r="AG214" s="648" t="n">
        <x:f>IF(P214&gt;0,AF214,0)</x:f>
        <x:v>0</x:v>
      </x:c>
      <x:c r="AH214" s="648" t="n">
        <x:f>IF(AND(P214&gt;0,S214&lt;0),AF214,0)</x:f>
        <x:v>0</x:v>
      </x:c>
      <x:c r="AI214" s="648" t="n">
        <x:f>IF(AND(P214&gt;0,S214=0),AF214,0)</x:f>
        <x:v>0</x:v>
      </x:c>
      <x:c r="AJ214" s="648" t="n">
        <x:f>IF(R214&lt;30000,AF214,0)</x:f>
        <x:v>0.00396</x:v>
      </x:c>
      <x:c r="AK214" s="647" t="n">
        <x:f>IF(P214&gt;0,AF214*S214,0)</x:f>
        <x:v>0</x:v>
      </x:c>
    </x:row>
    <x:row r="215" ht="22" customHeight="1">
      <x:c r="A215" s="19" t="str">
        <x:v>中心</x:v>
      </x:c>
      <x:c r="B215" s="23" t="n">
        <x:f>'114_降本系数'!B27</x:f>
        <x:v>0.5</x:v>
      </x:c>
      <x:c r="C215" s="19" t="str">
        <x:v>L0</x:v>
      </x:c>
      <x:c r="D215" s="23" t="n">
        <x:f>'130_联合算法'!C16</x:f>
        <x:v>0.6</x:v>
      </x:c>
      <x:c r="E215" s="460" t="n">
        <x:f>'117_价格概率传导'!A6</x:f>
        <x:v>259900</x:v>
      </x:c>
      <x:c r="F215" s="23" t="n">
        <x:f>'117_价格概率传导'!D6</x:f>
        <x:v>0.03</x:v>
      </x:c>
      <x:c r="G215" s="23" t="n">
        <x:f>0</x:f>
        <x:v>0</x:v>
      </x:c>
      <x:c r="H215" s="23" t="n">
        <x:f>SUM('117_价格概率传导'!$D$6:$D$6)</x:f>
        <x:v>0.03</x:v>
      </x:c>
      <x:c r="I215" s="460" t="n">
        <x:f>'117_价格概率传导'!A20</x:f>
        <x:v>269900</x:v>
      </x:c>
      <x:c r="J215" s="23" t="n">
        <x:f>'117_价格概率传导'!D20</x:f>
        <x:v>0.23</x:v>
      </x:c>
      <x:c r="K215" s="23" t="n">
        <x:f>SUM('117_价格概率传导'!$D$16:$D$19)</x:f>
        <x:v>0.71</x:v>
      </x:c>
      <x:c r="L215" s="23" t="n">
        <x:f>SUM('117_价格概率传导'!$D$16:$D$20)</x:f>
        <x:v>0.94</x:v>
      </x:c>
      <x:c r="M215" s="23" t="n">
        <x:f>MAX(0,MIN(H215,L215)-MAX(G215,K215))</x:f>
        <x:v>0</x:v>
      </x:c>
      <x:c r="N215" s="23" t="n">
        <x:f>B215*D215*M215</x:f>
        <x:v>0</x:v>
      </x:c>
      <x:c r="O215" s="460" t="n">
        <x:f>I215</x:f>
        <x:v>269900</x:v>
      </x:c>
      <x:c r="P215" s="460" t="str">
        <x:f>""</x:f>
      </x:c>
      <x:c r="Q215" s="460" t="str">
        <x:f>""</x:f>
      </x:c>
      <x:c r="R215" s="460" t="n">
        <x:f>O215-E215</x:f>
        <x:v>10000</x:v>
      </x:c>
      <x:c r="S215" s="460" t="str">
        <x:f>IF(P215&gt;0,P215-E215,"")</x:f>
      </x:c>
      <x:c r="T215" s="460" t="str">
        <x:f>IF(Q215&gt;0,Q215-E215,"")</x:f>
      </x:c>
      <x:c r="U215" s="23" t="n">
        <x:f>IF(R215&lt;30000,N215,0)</x:f>
        <x:v>0</x:v>
      </x:c>
      <x:c r="V215" s="23" t="n">
        <x:f>IF(P215&gt;0,N215,0)</x:f>
        <x:v>0</x:v>
      </x:c>
      <x:c r="W215" s="23" t="n">
        <x:f>IF(AND(P215&gt;0,S215&lt;0),N215,0)</x:f>
        <x:v>0</x:v>
      </x:c>
      <x:c r="X215" s="23" t="n">
        <x:f>IF(AND(P215&gt;0,S215=0),N215,0)</x:f>
        <x:v>0</x:v>
      </x:c>
      <x:c r="Y215" s="23" t="n">
        <x:f>IF(Q215&gt;0,N215,0)</x:f>
        <x:v>0</x:v>
      </x:c>
      <x:c r="Z215" s="460" t="n">
        <x:f>IF(P215&gt;0,N215*S215,0)</x:f>
        <x:v>0</x:v>
      </x:c>
      <x:c r="AA215" s="460" t="n">
        <x:f>IF(Q215&gt;0,N215*T215,0)</x:f>
        <x:v>0</x:v>
      </x:c>
      <x:c r="AB215" s="460" t="n">
        <x:f>N215*R215</x:f>
        <x:v>0</x:v>
      </x:c>
      <x:c r="AC215" s="460" t="n">
        <x:f>IF(N215&gt;0,R215,999999)</x:f>
        <x:v>999999</x:v>
      </x:c>
      <x:c r="AD215" s="460" t="n">
        <x:f>IF(AND(N215&gt;0,P215&gt;0),S215,999999)</x:f>
        <x:v>999999</x:v>
      </x:c>
      <x:c r="AE215" s="460" t="n">
        <x:f>IF(AND(N215&gt;0,Q215&gt;0),T215,999999)</x:f>
        <x:v>999999</x:v>
      </x:c>
      <x:c r="AF215" s="23" t="n">
        <x:f>B215*D215*F215*J215</x:f>
        <x:v>0.00207</x:v>
      </x:c>
      <x:c r="AG215" s="23" t="n">
        <x:f>IF(P215&gt;0,AF215,0)</x:f>
        <x:v>0</x:v>
      </x:c>
      <x:c r="AH215" s="23" t="n">
        <x:f>IF(AND(P215&gt;0,S215&lt;0),AF215,0)</x:f>
        <x:v>0</x:v>
      </x:c>
      <x:c r="AI215" s="23" t="n">
        <x:f>IF(AND(P215&gt;0,S215=0),AF215,0)</x:f>
        <x:v>0</x:v>
      </x:c>
      <x:c r="AJ215" s="23" t="n">
        <x:f>IF(R215&lt;30000,AF215,0)</x:f>
        <x:v>0.00207</x:v>
      </x:c>
      <x:c r="AK215" s="460" t="n">
        <x:f>IF(P215&gt;0,AF215*S215,0)</x:f>
        <x:v>0</x:v>
      </x:c>
    </x:row>
    <x:row r="216" ht="22" customHeight="1">
      <x:c r="A216" s="643" t="str">
        <x:v>中心</x:v>
      </x:c>
      <x:c r="B216" s="648" t="n">
        <x:f>'114_降本系数'!B27</x:f>
        <x:v>0.5</x:v>
      </x:c>
      <x:c r="C216" s="643" t="str">
        <x:v>L0</x:v>
      </x:c>
      <x:c r="D216" s="648" t="n">
        <x:f>'130_联合算法'!C16</x:f>
        <x:v>0.6</x:v>
      </x:c>
      <x:c r="E216" s="647" t="n">
        <x:f>'117_价格概率传导'!A6</x:f>
        <x:v>259900</x:v>
      </x:c>
      <x:c r="F216" s="648" t="n">
        <x:f>'117_价格概率传导'!D6</x:f>
        <x:v>0.03</x:v>
      </x:c>
      <x:c r="G216" s="648" t="n">
        <x:f>0</x:f>
        <x:v>0</x:v>
      </x:c>
      <x:c r="H216" s="648" t="n">
        <x:f>SUM('117_价格概率传导'!$D$6:$D$6)</x:f>
        <x:v>0.03</x:v>
      </x:c>
      <x:c r="I216" s="647" t="n">
        <x:f>'117_价格概率传导'!A21</x:f>
        <x:v>259900</x:v>
      </x:c>
      <x:c r="J216" s="648" t="n">
        <x:f>'117_价格概率传导'!D21</x:f>
        <x:v>0.06</x:v>
      </x:c>
      <x:c r="K216" s="648" t="n">
        <x:f>SUM('117_价格概率传导'!$D$16:$D$20)</x:f>
        <x:v>0.94</x:v>
      </x:c>
      <x:c r="L216" s="648" t="n">
        <x:f>SUM('117_价格概率传导'!$D$16:$D$21)</x:f>
        <x:v>1</x:v>
      </x:c>
      <x:c r="M216" s="648" t="n">
        <x:f>MAX(0,MIN(H216,L216)-MAX(G216,K216))</x:f>
        <x:v>0</x:v>
      </x:c>
      <x:c r="N216" s="648" t="n">
        <x:f>B216*D216*M216</x:f>
        <x:v>0</x:v>
      </x:c>
      <x:c r="O216" s="647" t="n">
        <x:f>I216</x:f>
        <x:v>259900</x:v>
      </x:c>
      <x:c r="P216" s="647" t="str">
        <x:f>""</x:f>
      </x:c>
      <x:c r="Q216" s="647" t="str">
        <x:f>""</x:f>
      </x:c>
      <x:c r="R216" s="647" t="n">
        <x:f>O216-E216</x:f>
        <x:v>0</x:v>
      </x:c>
      <x:c r="S216" s="647" t="str">
        <x:f>IF(P216&gt;0,P216-E216,"")</x:f>
      </x:c>
      <x:c r="T216" s="647" t="str">
        <x:f>IF(Q216&gt;0,Q216-E216,"")</x:f>
      </x:c>
      <x:c r="U216" s="648" t="n">
        <x:f>IF(R216&lt;30000,N216,0)</x:f>
        <x:v>0</x:v>
      </x:c>
      <x:c r="V216" s="648" t="n">
        <x:f>IF(P216&gt;0,N216,0)</x:f>
        <x:v>0</x:v>
      </x:c>
      <x:c r="W216" s="648" t="n">
        <x:f>IF(AND(P216&gt;0,S216&lt;0),N216,0)</x:f>
        <x:v>0</x:v>
      </x:c>
      <x:c r="X216" s="648" t="n">
        <x:f>IF(AND(P216&gt;0,S216=0),N216,0)</x:f>
        <x:v>0</x:v>
      </x:c>
      <x:c r="Y216" s="648" t="n">
        <x:f>IF(Q216&gt;0,N216,0)</x:f>
        <x:v>0</x:v>
      </x:c>
      <x:c r="Z216" s="647" t="n">
        <x:f>IF(P216&gt;0,N216*S216,0)</x:f>
        <x:v>0</x:v>
      </x:c>
      <x:c r="AA216" s="647" t="n">
        <x:f>IF(Q216&gt;0,N216*T216,0)</x:f>
        <x:v>0</x:v>
      </x:c>
      <x:c r="AB216" s="647" t="n">
        <x:f>N216*R216</x:f>
        <x:v>0</x:v>
      </x:c>
      <x:c r="AC216" s="647" t="n">
        <x:f>IF(N216&gt;0,R216,999999)</x:f>
        <x:v>999999</x:v>
      </x:c>
      <x:c r="AD216" s="647" t="n">
        <x:f>IF(AND(N216&gt;0,P216&gt;0),S216,999999)</x:f>
        <x:v>999999</x:v>
      </x:c>
      <x:c r="AE216" s="647" t="n">
        <x:f>IF(AND(N216&gt;0,Q216&gt;0),T216,999999)</x:f>
        <x:v>999999</x:v>
      </x:c>
      <x:c r="AF216" s="648" t="n">
        <x:f>B216*D216*F216*J216</x:f>
        <x:v>0.0005399999999999999</x:v>
      </x:c>
      <x:c r="AG216" s="648" t="n">
        <x:f>IF(P216&gt;0,AF216,0)</x:f>
        <x:v>0</x:v>
      </x:c>
      <x:c r="AH216" s="648" t="n">
        <x:f>IF(AND(P216&gt;0,S216&lt;0),AF216,0)</x:f>
        <x:v>0</x:v>
      </x:c>
      <x:c r="AI216" s="648" t="n">
        <x:f>IF(AND(P216&gt;0,S216=0),AF216,0)</x:f>
        <x:v>0</x:v>
      </x:c>
      <x:c r="AJ216" s="648" t="n">
        <x:f>IF(R216&lt;30000,AF216,0)</x:f>
        <x:v>0.0005399999999999999</x:v>
      </x:c>
      <x:c r="AK216" s="647" t="n">
        <x:f>IF(P216&gt;0,AF216*S216,0)</x:f>
        <x:v>0</x:v>
      </x:c>
    </x:row>
    <x:row r="217" ht="22" customHeight="1">
      <x:c r="A217" s="19" t="str">
        <x:v>中心</x:v>
      </x:c>
      <x:c r="B217" s="23" t="n">
        <x:f>'114_降本系数'!B27</x:f>
        <x:v>0.5</x:v>
      </x:c>
      <x:c r="C217" s="19" t="str">
        <x:v>L0</x:v>
      </x:c>
      <x:c r="D217" s="23" t="n">
        <x:f>'130_联合算法'!C16</x:f>
        <x:v>0.6</x:v>
      </x:c>
      <x:c r="E217" s="460" t="n">
        <x:f>'117_价格概率传导'!A7</x:f>
        <x:v>253900</x:v>
      </x:c>
      <x:c r="F217" s="23" t="n">
        <x:f>'117_价格概率传导'!D7</x:f>
        <x:v>0.05</x:v>
      </x:c>
      <x:c r="G217" s="23" t="n">
        <x:f>SUM('117_价格概率传导'!$D$6:$D$6)</x:f>
        <x:v>0.03</x:v>
      </x:c>
      <x:c r="H217" s="23" t="n">
        <x:f>SUM('117_价格概率传导'!$D$6:$D$7)</x:f>
        <x:v>0.08</x:v>
      </x:c>
      <x:c r="I217" s="460" t="n">
        <x:f>'117_价格概率传导'!A16</x:f>
        <x:v>299900</x:v>
      </x:c>
      <x:c r="J217" s="23" t="n">
        <x:f>'117_价格概率传导'!D16</x:f>
        <x:v>0.02</x:v>
      </x:c>
      <x:c r="K217" s="23" t="n">
        <x:f>0</x:f>
        <x:v>0</x:v>
      </x:c>
      <x:c r="L217" s="23" t="n">
        <x:f>SUM('117_价格概率传导'!$D$16:$D$16)</x:f>
        <x:v>0.02</x:v>
      </x:c>
      <x:c r="M217" s="23" t="n">
        <x:f>MAX(0,MIN(H217,L217)-MAX(G217,K217))</x:f>
        <x:v>0</x:v>
      </x:c>
      <x:c r="N217" s="23" t="n">
        <x:f>B217*D217*M217</x:f>
        <x:v>0</x:v>
      </x:c>
      <x:c r="O217" s="460" t="n">
        <x:f>I217</x:f>
        <x:v>299900</x:v>
      </x:c>
      <x:c r="P217" s="460" t="str">
        <x:f>""</x:f>
      </x:c>
      <x:c r="Q217" s="460" t="str">
        <x:f>""</x:f>
      </x:c>
      <x:c r="R217" s="460" t="n">
        <x:f>O217-E217</x:f>
        <x:v>46000</x:v>
      </x:c>
      <x:c r="S217" s="460" t="str">
        <x:f>IF(P217&gt;0,P217-E217,"")</x:f>
      </x:c>
      <x:c r="T217" s="460" t="str">
        <x:f>IF(Q217&gt;0,Q217-E217,"")</x:f>
      </x:c>
      <x:c r="U217" s="23" t="n">
        <x:f>IF(R217&lt;30000,N217,0)</x:f>
        <x:v>0</x:v>
      </x:c>
      <x:c r="V217" s="23" t="n">
        <x:f>IF(P217&gt;0,N217,0)</x:f>
        <x:v>0</x:v>
      </x:c>
      <x:c r="W217" s="23" t="n">
        <x:f>IF(AND(P217&gt;0,S217&lt;0),N217,0)</x:f>
        <x:v>0</x:v>
      </x:c>
      <x:c r="X217" s="23" t="n">
        <x:f>IF(AND(P217&gt;0,S217=0),N217,0)</x:f>
        <x:v>0</x:v>
      </x:c>
      <x:c r="Y217" s="23" t="n">
        <x:f>IF(Q217&gt;0,N217,0)</x:f>
        <x:v>0</x:v>
      </x:c>
      <x:c r="Z217" s="460" t="n">
        <x:f>IF(P217&gt;0,N217*S217,0)</x:f>
        <x:v>0</x:v>
      </x:c>
      <x:c r="AA217" s="460" t="n">
        <x:f>IF(Q217&gt;0,N217*T217,0)</x:f>
        <x:v>0</x:v>
      </x:c>
      <x:c r="AB217" s="460" t="n">
        <x:f>N217*R217</x:f>
        <x:v>0</x:v>
      </x:c>
      <x:c r="AC217" s="460" t="n">
        <x:f>IF(N217&gt;0,R217,999999)</x:f>
        <x:v>999999</x:v>
      </x:c>
      <x:c r="AD217" s="460" t="n">
        <x:f>IF(AND(N217&gt;0,P217&gt;0),S217,999999)</x:f>
        <x:v>999999</x:v>
      </x:c>
      <x:c r="AE217" s="460" t="n">
        <x:f>IF(AND(N217&gt;0,Q217&gt;0),T217,999999)</x:f>
        <x:v>999999</x:v>
      </x:c>
      <x:c r="AF217" s="23" t="n">
        <x:f>B217*D217*F217*J217</x:f>
        <x:v>0.0003</x:v>
      </x:c>
      <x:c r="AG217" s="23" t="n">
        <x:f>IF(P217&gt;0,AF217,0)</x:f>
        <x:v>0</x:v>
      </x:c>
      <x:c r="AH217" s="23" t="n">
        <x:f>IF(AND(P217&gt;0,S217&lt;0),AF217,0)</x:f>
        <x:v>0</x:v>
      </x:c>
      <x:c r="AI217" s="23" t="n">
        <x:f>IF(AND(P217&gt;0,S217=0),AF217,0)</x:f>
        <x:v>0</x:v>
      </x:c>
      <x:c r="AJ217" s="23" t="n">
        <x:f>IF(R217&lt;30000,AF217,0)</x:f>
        <x:v>0</x:v>
      </x:c>
      <x:c r="AK217" s="460" t="n">
        <x:f>IF(P217&gt;0,AF217*S217,0)</x:f>
        <x:v>0</x:v>
      </x:c>
    </x:row>
    <x:row r="218" ht="22" customHeight="1">
      <x:c r="A218" s="643" t="str">
        <x:v>中心</x:v>
      </x:c>
      <x:c r="B218" s="648" t="n">
        <x:f>'114_降本系数'!B27</x:f>
        <x:v>0.5</x:v>
      </x:c>
      <x:c r="C218" s="643" t="str">
        <x:v>L0</x:v>
      </x:c>
      <x:c r="D218" s="648" t="n">
        <x:f>'130_联合算法'!C16</x:f>
        <x:v>0.6</x:v>
      </x:c>
      <x:c r="E218" s="647" t="n">
        <x:f>'117_价格概率传导'!A7</x:f>
        <x:v>253900</x:v>
      </x:c>
      <x:c r="F218" s="648" t="n">
        <x:f>'117_价格概率传导'!D7</x:f>
        <x:v>0.05</x:v>
      </x:c>
      <x:c r="G218" s="648" t="n">
        <x:f>SUM('117_价格概率传导'!$D$6:$D$6)</x:f>
        <x:v>0.03</x:v>
      </x:c>
      <x:c r="H218" s="648" t="n">
        <x:f>SUM('117_价格概率传导'!$D$6:$D$7)</x:f>
        <x:v>0.08</x:v>
      </x:c>
      <x:c r="I218" s="647" t="n">
        <x:f>'117_价格概率传导'!A17</x:f>
        <x:v>293900</x:v>
      </x:c>
      <x:c r="J218" s="648" t="n">
        <x:f>'117_价格概率传导'!D17</x:f>
        <x:v>0.03</x:v>
      </x:c>
      <x:c r="K218" s="648" t="n">
        <x:f>SUM('117_价格概率传导'!$D$16:$D$16)</x:f>
        <x:v>0.02</x:v>
      </x:c>
      <x:c r="L218" s="648" t="n">
        <x:f>SUM('117_价格概率传导'!$D$16:$D$17)</x:f>
        <x:v>0.05</x:v>
      </x:c>
      <x:c r="M218" s="648" t="n">
        <x:f>MAX(0,MIN(H218,L218)-MAX(G218,K218))</x:f>
        <x:v>0.020000000000000004</x:v>
      </x:c>
      <x:c r="N218" s="648" t="n">
        <x:f>B218*D218*M218</x:f>
        <x:v>0.006000000000000001</x:v>
      </x:c>
      <x:c r="O218" s="647" t="n">
        <x:f>I218</x:f>
        <x:v>293900</x:v>
      </x:c>
      <x:c r="P218" s="647" t="str">
        <x:f>""</x:f>
      </x:c>
      <x:c r="Q218" s="647" t="str">
        <x:f>""</x:f>
      </x:c>
      <x:c r="R218" s="647" t="n">
        <x:f>O218-E218</x:f>
        <x:v>40000</x:v>
      </x:c>
      <x:c r="S218" s="647" t="str">
        <x:f>IF(P218&gt;0,P218-E218,"")</x:f>
      </x:c>
      <x:c r="T218" s="647" t="str">
        <x:f>IF(Q218&gt;0,Q218-E218,"")</x:f>
      </x:c>
      <x:c r="U218" s="648" t="n">
        <x:f>IF(R218&lt;30000,N218,0)</x:f>
        <x:v>0</x:v>
      </x:c>
      <x:c r="V218" s="648" t="n">
        <x:f>IF(P218&gt;0,N218,0)</x:f>
        <x:v>0</x:v>
      </x:c>
      <x:c r="W218" s="648" t="n">
        <x:f>IF(AND(P218&gt;0,S218&lt;0),N218,0)</x:f>
        <x:v>0</x:v>
      </x:c>
      <x:c r="X218" s="648" t="n">
        <x:f>IF(AND(P218&gt;0,S218=0),N218,0)</x:f>
        <x:v>0</x:v>
      </x:c>
      <x:c r="Y218" s="648" t="n">
        <x:f>IF(Q218&gt;0,N218,0)</x:f>
        <x:v>0</x:v>
      </x:c>
      <x:c r="Z218" s="647" t="n">
        <x:f>IF(P218&gt;0,N218*S218,0)</x:f>
        <x:v>0</x:v>
      </x:c>
      <x:c r="AA218" s="647" t="n">
        <x:f>IF(Q218&gt;0,N218*T218,0)</x:f>
        <x:v>0</x:v>
      </x:c>
      <x:c r="AB218" s="647" t="n">
        <x:f>N218*R218</x:f>
        <x:v>240.00000000000003</x:v>
      </x:c>
      <x:c r="AC218" s="647" t="n">
        <x:f>IF(N218&gt;0,R218,999999)</x:f>
        <x:v>40000</x:v>
      </x:c>
      <x:c r="AD218" s="647" t="n">
        <x:f>IF(AND(N218&gt;0,P218&gt;0),S218,999999)</x:f>
        <x:v>999999</x:v>
      </x:c>
      <x:c r="AE218" s="647" t="n">
        <x:f>IF(AND(N218&gt;0,Q218&gt;0),T218,999999)</x:f>
        <x:v>999999</x:v>
      </x:c>
      <x:c r="AF218" s="648" t="n">
        <x:f>B218*D218*F218*J218</x:f>
        <x:v>0.00045</x:v>
      </x:c>
      <x:c r="AG218" s="648" t="n">
        <x:f>IF(P218&gt;0,AF218,0)</x:f>
        <x:v>0</x:v>
      </x:c>
      <x:c r="AH218" s="648" t="n">
        <x:f>IF(AND(P218&gt;0,S218&lt;0),AF218,0)</x:f>
        <x:v>0</x:v>
      </x:c>
      <x:c r="AI218" s="648" t="n">
        <x:f>IF(AND(P218&gt;0,S218=0),AF218,0)</x:f>
        <x:v>0</x:v>
      </x:c>
      <x:c r="AJ218" s="648" t="n">
        <x:f>IF(R218&lt;30000,AF218,0)</x:f>
        <x:v>0</x:v>
      </x:c>
      <x:c r="AK218" s="647" t="n">
        <x:f>IF(P218&gt;0,AF218*S218,0)</x:f>
        <x:v>0</x:v>
      </x:c>
    </x:row>
    <x:row r="219" ht="22" customHeight="1">
      <x:c r="A219" s="19" t="str">
        <x:v>中心</x:v>
      </x:c>
      <x:c r="B219" s="23" t="n">
        <x:f>'114_降本系数'!B27</x:f>
        <x:v>0.5</x:v>
      </x:c>
      <x:c r="C219" s="19" t="str">
        <x:v>L0</x:v>
      </x:c>
      <x:c r="D219" s="23" t="n">
        <x:f>'130_联合算法'!C16</x:f>
        <x:v>0.6</x:v>
      </x:c>
      <x:c r="E219" s="460" t="n">
        <x:f>'117_价格概率传导'!A7</x:f>
        <x:v>253900</x:v>
      </x:c>
      <x:c r="F219" s="23" t="n">
        <x:f>'117_价格概率传导'!D7</x:f>
        <x:v>0.05</x:v>
      </x:c>
      <x:c r="G219" s="23" t="n">
        <x:f>SUM('117_价格概率传导'!$D$6:$D$6)</x:f>
        <x:v>0.03</x:v>
      </x:c>
      <x:c r="H219" s="23" t="n">
        <x:f>SUM('117_价格概率传导'!$D$6:$D$7)</x:f>
        <x:v>0.08</x:v>
      </x:c>
      <x:c r="I219" s="460" t="n">
        <x:f>'117_价格概率传导'!A18</x:f>
        <x:v>289900</x:v>
      </x:c>
      <x:c r="J219" s="23" t="n">
        <x:f>'117_价格概率传导'!D18</x:f>
        <x:v>0.22</x:v>
      </x:c>
      <x:c r="K219" s="23" t="n">
        <x:f>SUM('117_价格概率传导'!$D$16:$D$17)</x:f>
        <x:v>0.05</x:v>
      </x:c>
      <x:c r="L219" s="23" t="n">
        <x:f>SUM('117_价格概率传导'!$D$16:$D$18)</x:f>
        <x:v>0.27</x:v>
      </x:c>
      <x:c r="M219" s="23" t="n">
        <x:f>MAX(0,MIN(H219,L219)-MAX(G219,K219))</x:f>
        <x:v>0.03</x:v>
      </x:c>
      <x:c r="N219" s="23" t="n">
        <x:f>B219*D219*M219</x:f>
        <x:v>0.009</x:v>
      </x:c>
      <x:c r="O219" s="460" t="n">
        <x:f>I219</x:f>
        <x:v>289900</x:v>
      </x:c>
      <x:c r="P219" s="460" t="str">
        <x:f>""</x:f>
      </x:c>
      <x:c r="Q219" s="460" t="str">
        <x:f>""</x:f>
      </x:c>
      <x:c r="R219" s="460" t="n">
        <x:f>O219-E219</x:f>
        <x:v>36000</x:v>
      </x:c>
      <x:c r="S219" s="460" t="str">
        <x:f>IF(P219&gt;0,P219-E219,"")</x:f>
      </x:c>
      <x:c r="T219" s="460" t="str">
        <x:f>IF(Q219&gt;0,Q219-E219,"")</x:f>
      </x:c>
      <x:c r="U219" s="23" t="n">
        <x:f>IF(R219&lt;30000,N219,0)</x:f>
        <x:v>0</x:v>
      </x:c>
      <x:c r="V219" s="23" t="n">
        <x:f>IF(P219&gt;0,N219,0)</x:f>
        <x:v>0</x:v>
      </x:c>
      <x:c r="W219" s="23" t="n">
        <x:f>IF(AND(P219&gt;0,S219&lt;0),N219,0)</x:f>
        <x:v>0</x:v>
      </x:c>
      <x:c r="X219" s="23" t="n">
        <x:f>IF(AND(P219&gt;0,S219=0),N219,0)</x:f>
        <x:v>0</x:v>
      </x:c>
      <x:c r="Y219" s="23" t="n">
        <x:f>IF(Q219&gt;0,N219,0)</x:f>
        <x:v>0</x:v>
      </x:c>
      <x:c r="Z219" s="460" t="n">
        <x:f>IF(P219&gt;0,N219*S219,0)</x:f>
        <x:v>0</x:v>
      </x:c>
      <x:c r="AA219" s="460" t="n">
        <x:f>IF(Q219&gt;0,N219*T219,0)</x:f>
        <x:v>0</x:v>
      </x:c>
      <x:c r="AB219" s="460" t="n">
        <x:f>N219*R219</x:f>
        <x:v>324</x:v>
      </x:c>
      <x:c r="AC219" s="460" t="n">
        <x:f>IF(N219&gt;0,R219,999999)</x:f>
        <x:v>36000</x:v>
      </x:c>
      <x:c r="AD219" s="460" t="n">
        <x:f>IF(AND(N219&gt;0,P219&gt;0),S219,999999)</x:f>
        <x:v>999999</x:v>
      </x:c>
      <x:c r="AE219" s="460" t="n">
        <x:f>IF(AND(N219&gt;0,Q219&gt;0),T219,999999)</x:f>
        <x:v>999999</x:v>
      </x:c>
      <x:c r="AF219" s="23" t="n">
        <x:f>B219*D219*F219*J219</x:f>
        <x:v>0.0033</x:v>
      </x:c>
      <x:c r="AG219" s="23" t="n">
        <x:f>IF(P219&gt;0,AF219,0)</x:f>
        <x:v>0</x:v>
      </x:c>
      <x:c r="AH219" s="23" t="n">
        <x:f>IF(AND(P219&gt;0,S219&lt;0),AF219,0)</x:f>
        <x:v>0</x:v>
      </x:c>
      <x:c r="AI219" s="23" t="n">
        <x:f>IF(AND(P219&gt;0,S219=0),AF219,0)</x:f>
        <x:v>0</x:v>
      </x:c>
      <x:c r="AJ219" s="23" t="n">
        <x:f>IF(R219&lt;30000,AF219,0)</x:f>
        <x:v>0</x:v>
      </x:c>
      <x:c r="AK219" s="460" t="n">
        <x:f>IF(P219&gt;0,AF219*S219,0)</x:f>
        <x:v>0</x:v>
      </x:c>
    </x:row>
    <x:row r="220" ht="22" customHeight="1">
      <x:c r="A220" s="643" t="str">
        <x:v>中心</x:v>
      </x:c>
      <x:c r="B220" s="648" t="n">
        <x:f>'114_降本系数'!B27</x:f>
        <x:v>0.5</x:v>
      </x:c>
      <x:c r="C220" s="643" t="str">
        <x:v>L0</x:v>
      </x:c>
      <x:c r="D220" s="648" t="n">
        <x:f>'130_联合算法'!C16</x:f>
        <x:v>0.6</x:v>
      </x:c>
      <x:c r="E220" s="647" t="n">
        <x:f>'117_价格概率传导'!A7</x:f>
        <x:v>253900</x:v>
      </x:c>
      <x:c r="F220" s="648" t="n">
        <x:f>'117_价格概率传导'!D7</x:f>
        <x:v>0.05</x:v>
      </x:c>
      <x:c r="G220" s="648" t="n">
        <x:f>SUM('117_价格概率传导'!$D$6:$D$6)</x:f>
        <x:v>0.03</x:v>
      </x:c>
      <x:c r="H220" s="648" t="n">
        <x:f>SUM('117_价格概率传导'!$D$6:$D$7)</x:f>
        <x:v>0.08</x:v>
      </x:c>
      <x:c r="I220" s="647" t="n">
        <x:f>'117_价格概率传导'!A19</x:f>
        <x:v>279900</x:v>
      </x:c>
      <x:c r="J220" s="648" t="n">
        <x:f>'117_价格概率传导'!D19</x:f>
        <x:v>0.44</x:v>
      </x:c>
      <x:c r="K220" s="648" t="n">
        <x:f>SUM('117_价格概率传导'!$D$16:$D$18)</x:f>
        <x:v>0.27</x:v>
      </x:c>
      <x:c r="L220" s="648" t="n">
        <x:f>SUM('117_价格概率传导'!$D$16:$D$19)</x:f>
        <x:v>0.71</x:v>
      </x:c>
      <x:c r="M220" s="648" t="n">
        <x:f>MAX(0,MIN(H220,L220)-MAX(G220,K220))</x:f>
        <x:v>0</x:v>
      </x:c>
      <x:c r="N220" s="648" t="n">
        <x:f>B220*D220*M220</x:f>
        <x:v>0</x:v>
      </x:c>
      <x:c r="O220" s="647" t="n">
        <x:f>I220</x:f>
        <x:v>279900</x:v>
      </x:c>
      <x:c r="P220" s="647" t="str">
        <x:f>""</x:f>
      </x:c>
      <x:c r="Q220" s="647" t="str">
        <x:f>""</x:f>
      </x:c>
      <x:c r="R220" s="647" t="n">
        <x:f>O220-E220</x:f>
        <x:v>26000</x:v>
      </x:c>
      <x:c r="S220" s="647" t="str">
        <x:f>IF(P220&gt;0,P220-E220,"")</x:f>
      </x:c>
      <x:c r="T220" s="647" t="str">
        <x:f>IF(Q220&gt;0,Q220-E220,"")</x:f>
      </x:c>
      <x:c r="U220" s="648" t="n">
        <x:f>IF(R220&lt;30000,N220,0)</x:f>
        <x:v>0</x:v>
      </x:c>
      <x:c r="V220" s="648" t="n">
        <x:f>IF(P220&gt;0,N220,0)</x:f>
        <x:v>0</x:v>
      </x:c>
      <x:c r="W220" s="648" t="n">
        <x:f>IF(AND(P220&gt;0,S220&lt;0),N220,0)</x:f>
        <x:v>0</x:v>
      </x:c>
      <x:c r="X220" s="648" t="n">
        <x:f>IF(AND(P220&gt;0,S220=0),N220,0)</x:f>
        <x:v>0</x:v>
      </x:c>
      <x:c r="Y220" s="648" t="n">
        <x:f>IF(Q220&gt;0,N220,0)</x:f>
        <x:v>0</x:v>
      </x:c>
      <x:c r="Z220" s="647" t="n">
        <x:f>IF(P220&gt;0,N220*S220,0)</x:f>
        <x:v>0</x:v>
      </x:c>
      <x:c r="AA220" s="647" t="n">
        <x:f>IF(Q220&gt;0,N220*T220,0)</x:f>
        <x:v>0</x:v>
      </x:c>
      <x:c r="AB220" s="647" t="n">
        <x:f>N220*R220</x:f>
        <x:v>0</x:v>
      </x:c>
      <x:c r="AC220" s="647" t="n">
        <x:f>IF(N220&gt;0,R220,999999)</x:f>
        <x:v>999999</x:v>
      </x:c>
      <x:c r="AD220" s="647" t="n">
        <x:f>IF(AND(N220&gt;0,P220&gt;0),S220,999999)</x:f>
        <x:v>999999</x:v>
      </x:c>
      <x:c r="AE220" s="647" t="n">
        <x:f>IF(AND(N220&gt;0,Q220&gt;0),T220,999999)</x:f>
        <x:v>999999</x:v>
      </x:c>
      <x:c r="AF220" s="648" t="n">
        <x:f>B220*D220*F220*J220</x:f>
        <x:v>0.0066</x:v>
      </x:c>
      <x:c r="AG220" s="648" t="n">
        <x:f>IF(P220&gt;0,AF220,0)</x:f>
        <x:v>0</x:v>
      </x:c>
      <x:c r="AH220" s="648" t="n">
        <x:f>IF(AND(P220&gt;0,S220&lt;0),AF220,0)</x:f>
        <x:v>0</x:v>
      </x:c>
      <x:c r="AI220" s="648" t="n">
        <x:f>IF(AND(P220&gt;0,S220=0),AF220,0)</x:f>
        <x:v>0</x:v>
      </x:c>
      <x:c r="AJ220" s="648" t="n">
        <x:f>IF(R220&lt;30000,AF220,0)</x:f>
        <x:v>0.0066</x:v>
      </x:c>
      <x:c r="AK220" s="647" t="n">
        <x:f>IF(P220&gt;0,AF220*S220,0)</x:f>
        <x:v>0</x:v>
      </x:c>
    </x:row>
    <x:row r="221" ht="22" customHeight="1">
      <x:c r="A221" s="19" t="str">
        <x:v>中心</x:v>
      </x:c>
      <x:c r="B221" s="23" t="n">
        <x:f>'114_降本系数'!B27</x:f>
        <x:v>0.5</x:v>
      </x:c>
      <x:c r="C221" s="19" t="str">
        <x:v>L0</x:v>
      </x:c>
      <x:c r="D221" s="23" t="n">
        <x:f>'130_联合算法'!C16</x:f>
        <x:v>0.6</x:v>
      </x:c>
      <x:c r="E221" s="460" t="n">
        <x:f>'117_价格概率传导'!A7</x:f>
        <x:v>253900</x:v>
      </x:c>
      <x:c r="F221" s="23" t="n">
        <x:f>'117_价格概率传导'!D7</x:f>
        <x:v>0.05</x:v>
      </x:c>
      <x:c r="G221" s="23" t="n">
        <x:f>SUM('117_价格概率传导'!$D$6:$D$6)</x:f>
        <x:v>0.03</x:v>
      </x:c>
      <x:c r="H221" s="23" t="n">
        <x:f>SUM('117_价格概率传导'!$D$6:$D$7)</x:f>
        <x:v>0.08</x:v>
      </x:c>
      <x:c r="I221" s="460" t="n">
        <x:f>'117_价格概率传导'!A20</x:f>
        <x:v>269900</x:v>
      </x:c>
      <x:c r="J221" s="23" t="n">
        <x:f>'117_价格概率传导'!D20</x:f>
        <x:v>0.23</x:v>
      </x:c>
      <x:c r="K221" s="23" t="n">
        <x:f>SUM('117_价格概率传导'!$D$16:$D$19)</x:f>
        <x:v>0.71</x:v>
      </x:c>
      <x:c r="L221" s="23" t="n">
        <x:f>SUM('117_价格概率传导'!$D$16:$D$20)</x:f>
        <x:v>0.94</x:v>
      </x:c>
      <x:c r="M221" s="23" t="n">
        <x:f>MAX(0,MIN(H221,L221)-MAX(G221,K221))</x:f>
        <x:v>0</x:v>
      </x:c>
      <x:c r="N221" s="23" t="n">
        <x:f>B221*D221*M221</x:f>
        <x:v>0</x:v>
      </x:c>
      <x:c r="O221" s="460" t="n">
        <x:f>I221</x:f>
        <x:v>269900</x:v>
      </x:c>
      <x:c r="P221" s="460" t="str">
        <x:f>""</x:f>
      </x:c>
      <x:c r="Q221" s="460" t="str">
        <x:f>""</x:f>
      </x:c>
      <x:c r="R221" s="460" t="n">
        <x:f>O221-E221</x:f>
        <x:v>16000</x:v>
      </x:c>
      <x:c r="S221" s="460" t="str">
        <x:f>IF(P221&gt;0,P221-E221,"")</x:f>
      </x:c>
      <x:c r="T221" s="460" t="str">
        <x:f>IF(Q221&gt;0,Q221-E221,"")</x:f>
      </x:c>
      <x:c r="U221" s="23" t="n">
        <x:f>IF(R221&lt;30000,N221,0)</x:f>
        <x:v>0</x:v>
      </x:c>
      <x:c r="V221" s="23" t="n">
        <x:f>IF(P221&gt;0,N221,0)</x:f>
        <x:v>0</x:v>
      </x:c>
      <x:c r="W221" s="23" t="n">
        <x:f>IF(AND(P221&gt;0,S221&lt;0),N221,0)</x:f>
        <x:v>0</x:v>
      </x:c>
      <x:c r="X221" s="23" t="n">
        <x:f>IF(AND(P221&gt;0,S221=0),N221,0)</x:f>
        <x:v>0</x:v>
      </x:c>
      <x:c r="Y221" s="23" t="n">
        <x:f>IF(Q221&gt;0,N221,0)</x:f>
        <x:v>0</x:v>
      </x:c>
      <x:c r="Z221" s="460" t="n">
        <x:f>IF(P221&gt;0,N221*S221,0)</x:f>
        <x:v>0</x:v>
      </x:c>
      <x:c r="AA221" s="460" t="n">
        <x:f>IF(Q221&gt;0,N221*T221,0)</x:f>
        <x:v>0</x:v>
      </x:c>
      <x:c r="AB221" s="460" t="n">
        <x:f>N221*R221</x:f>
        <x:v>0</x:v>
      </x:c>
      <x:c r="AC221" s="460" t="n">
        <x:f>IF(N221&gt;0,R221,999999)</x:f>
        <x:v>999999</x:v>
      </x:c>
      <x:c r="AD221" s="460" t="n">
        <x:f>IF(AND(N221&gt;0,P221&gt;0),S221,999999)</x:f>
        <x:v>999999</x:v>
      </x:c>
      <x:c r="AE221" s="460" t="n">
        <x:f>IF(AND(N221&gt;0,Q221&gt;0),T221,999999)</x:f>
        <x:v>999999</x:v>
      </x:c>
      <x:c r="AF221" s="23" t="n">
        <x:f>B221*D221*F221*J221</x:f>
        <x:v>0.00345</x:v>
      </x:c>
      <x:c r="AG221" s="23" t="n">
        <x:f>IF(P221&gt;0,AF221,0)</x:f>
        <x:v>0</x:v>
      </x:c>
      <x:c r="AH221" s="23" t="n">
        <x:f>IF(AND(P221&gt;0,S221&lt;0),AF221,0)</x:f>
        <x:v>0</x:v>
      </x:c>
      <x:c r="AI221" s="23" t="n">
        <x:f>IF(AND(P221&gt;0,S221=0),AF221,0)</x:f>
        <x:v>0</x:v>
      </x:c>
      <x:c r="AJ221" s="23" t="n">
        <x:f>IF(R221&lt;30000,AF221,0)</x:f>
        <x:v>0.00345</x:v>
      </x:c>
      <x:c r="AK221" s="460" t="n">
        <x:f>IF(P221&gt;0,AF221*S221,0)</x:f>
        <x:v>0</x:v>
      </x:c>
    </x:row>
    <x:row r="222" ht="22" customHeight="1">
      <x:c r="A222" s="643" t="str">
        <x:v>中心</x:v>
      </x:c>
      <x:c r="B222" s="648" t="n">
        <x:f>'114_降本系数'!B27</x:f>
        <x:v>0.5</x:v>
      </x:c>
      <x:c r="C222" s="643" t="str">
        <x:v>L0</x:v>
      </x:c>
      <x:c r="D222" s="648" t="n">
        <x:f>'130_联合算法'!C16</x:f>
        <x:v>0.6</x:v>
      </x:c>
      <x:c r="E222" s="647" t="n">
        <x:f>'117_价格概率传导'!A7</x:f>
        <x:v>253900</x:v>
      </x:c>
      <x:c r="F222" s="648" t="n">
        <x:f>'117_价格概率传导'!D7</x:f>
        <x:v>0.05</x:v>
      </x:c>
      <x:c r="G222" s="648" t="n">
        <x:f>SUM('117_价格概率传导'!$D$6:$D$6)</x:f>
        <x:v>0.03</x:v>
      </x:c>
      <x:c r="H222" s="648" t="n">
        <x:f>SUM('117_价格概率传导'!$D$6:$D$7)</x:f>
        <x:v>0.08</x:v>
      </x:c>
      <x:c r="I222" s="647" t="n">
        <x:f>'117_价格概率传导'!A21</x:f>
        <x:v>259900</x:v>
      </x:c>
      <x:c r="J222" s="648" t="n">
        <x:f>'117_价格概率传导'!D21</x:f>
        <x:v>0.06</x:v>
      </x:c>
      <x:c r="K222" s="648" t="n">
        <x:f>SUM('117_价格概率传导'!$D$16:$D$20)</x:f>
        <x:v>0.94</x:v>
      </x:c>
      <x:c r="L222" s="648" t="n">
        <x:f>SUM('117_价格概率传导'!$D$16:$D$21)</x:f>
        <x:v>1</x:v>
      </x:c>
      <x:c r="M222" s="648" t="n">
        <x:f>MAX(0,MIN(H222,L222)-MAX(G222,K222))</x:f>
        <x:v>0</x:v>
      </x:c>
      <x:c r="N222" s="648" t="n">
        <x:f>B222*D222*M222</x:f>
        <x:v>0</x:v>
      </x:c>
      <x:c r="O222" s="647" t="n">
        <x:f>I222</x:f>
        <x:v>259900</x:v>
      </x:c>
      <x:c r="P222" s="647" t="str">
        <x:f>""</x:f>
      </x:c>
      <x:c r="Q222" s="647" t="str">
        <x:f>""</x:f>
      </x:c>
      <x:c r="R222" s="647" t="n">
        <x:f>O222-E222</x:f>
        <x:v>6000</x:v>
      </x:c>
      <x:c r="S222" s="647" t="str">
        <x:f>IF(P222&gt;0,P222-E222,"")</x:f>
      </x:c>
      <x:c r="T222" s="647" t="str">
        <x:f>IF(Q222&gt;0,Q222-E222,"")</x:f>
      </x:c>
      <x:c r="U222" s="648" t="n">
        <x:f>IF(R222&lt;30000,N222,0)</x:f>
        <x:v>0</x:v>
      </x:c>
      <x:c r="V222" s="648" t="n">
        <x:f>IF(P222&gt;0,N222,0)</x:f>
        <x:v>0</x:v>
      </x:c>
      <x:c r="W222" s="648" t="n">
        <x:f>IF(AND(P222&gt;0,S222&lt;0),N222,0)</x:f>
        <x:v>0</x:v>
      </x:c>
      <x:c r="X222" s="648" t="n">
        <x:f>IF(AND(P222&gt;0,S222=0),N222,0)</x:f>
        <x:v>0</x:v>
      </x:c>
      <x:c r="Y222" s="648" t="n">
        <x:f>IF(Q222&gt;0,N222,0)</x:f>
        <x:v>0</x:v>
      </x:c>
      <x:c r="Z222" s="647" t="n">
        <x:f>IF(P222&gt;0,N222*S222,0)</x:f>
        <x:v>0</x:v>
      </x:c>
      <x:c r="AA222" s="647" t="n">
        <x:f>IF(Q222&gt;0,N222*T222,0)</x:f>
        <x:v>0</x:v>
      </x:c>
      <x:c r="AB222" s="647" t="n">
        <x:f>N222*R222</x:f>
        <x:v>0</x:v>
      </x:c>
      <x:c r="AC222" s="647" t="n">
        <x:f>IF(N222&gt;0,R222,999999)</x:f>
        <x:v>999999</x:v>
      </x:c>
      <x:c r="AD222" s="647" t="n">
        <x:f>IF(AND(N222&gt;0,P222&gt;0),S222,999999)</x:f>
        <x:v>999999</x:v>
      </x:c>
      <x:c r="AE222" s="647" t="n">
        <x:f>IF(AND(N222&gt;0,Q222&gt;0),T222,999999)</x:f>
        <x:v>999999</x:v>
      </x:c>
      <x:c r="AF222" s="648" t="n">
        <x:f>B222*D222*F222*J222</x:f>
        <x:v>0.0009</x:v>
      </x:c>
      <x:c r="AG222" s="648" t="n">
        <x:f>IF(P222&gt;0,AF222,0)</x:f>
        <x:v>0</x:v>
      </x:c>
      <x:c r="AH222" s="648" t="n">
        <x:f>IF(AND(P222&gt;0,S222&lt;0),AF222,0)</x:f>
        <x:v>0</x:v>
      </x:c>
      <x:c r="AI222" s="648" t="n">
        <x:f>IF(AND(P222&gt;0,S222=0),AF222,0)</x:f>
        <x:v>0</x:v>
      </x:c>
      <x:c r="AJ222" s="648" t="n">
        <x:f>IF(R222&lt;30000,AF222,0)</x:f>
        <x:v>0.0009</x:v>
      </x:c>
      <x:c r="AK222" s="647" t="n">
        <x:f>IF(P222&gt;0,AF222*S222,0)</x:f>
        <x:v>0</x:v>
      </x:c>
    </x:row>
    <x:row r="223" ht="22" customHeight="1">
      <x:c r="A223" s="19" t="str">
        <x:v>中心</x:v>
      </x:c>
      <x:c r="B223" s="23" t="n">
        <x:f>'114_降本系数'!B27</x:f>
        <x:v>0.5</x:v>
      </x:c>
      <x:c r="C223" s="19" t="str">
        <x:v>L0</x:v>
      </x:c>
      <x:c r="D223" s="23" t="n">
        <x:f>'130_联合算法'!C16</x:f>
        <x:v>0.6</x:v>
      </x:c>
      <x:c r="E223" s="460" t="n">
        <x:f>'117_价格概率传导'!A8</x:f>
        <x:v>249900</x:v>
      </x:c>
      <x:c r="F223" s="23" t="n">
        <x:f>'117_价格概率传导'!D8</x:f>
        <x:v>0.42</x:v>
      </x:c>
      <x:c r="G223" s="23" t="n">
        <x:f>SUM('117_价格概率传导'!$D$6:$D$7)</x:f>
        <x:v>0.08</x:v>
      </x:c>
      <x:c r="H223" s="23" t="n">
        <x:f>SUM('117_价格概率传导'!$D$6:$D$8)</x:f>
        <x:v>0.5</x:v>
      </x:c>
      <x:c r="I223" s="460" t="n">
        <x:f>'117_价格概率传导'!A16</x:f>
        <x:v>299900</x:v>
      </x:c>
      <x:c r="J223" s="23" t="n">
        <x:f>'117_价格概率传导'!D16</x:f>
        <x:v>0.02</x:v>
      </x:c>
      <x:c r="K223" s="23" t="n">
        <x:f>0</x:f>
        <x:v>0</x:v>
      </x:c>
      <x:c r="L223" s="23" t="n">
        <x:f>SUM('117_价格概率传导'!$D$16:$D$16)</x:f>
        <x:v>0.02</x:v>
      </x:c>
      <x:c r="M223" s="23" t="n">
        <x:f>MAX(0,MIN(H223,L223)-MAX(G223,K223))</x:f>
        <x:v>0</x:v>
      </x:c>
      <x:c r="N223" s="23" t="n">
        <x:f>B223*D223*M223</x:f>
        <x:v>0</x:v>
      </x:c>
      <x:c r="O223" s="460" t="n">
        <x:f>I223</x:f>
        <x:v>299900</x:v>
      </x:c>
      <x:c r="P223" s="460" t="str">
        <x:f>""</x:f>
      </x:c>
      <x:c r="Q223" s="460" t="str">
        <x:f>""</x:f>
      </x:c>
      <x:c r="R223" s="460" t="n">
        <x:f>O223-E223</x:f>
        <x:v>50000</x:v>
      </x:c>
      <x:c r="S223" s="460" t="str">
        <x:f>IF(P223&gt;0,P223-E223,"")</x:f>
      </x:c>
      <x:c r="T223" s="460" t="str">
        <x:f>IF(Q223&gt;0,Q223-E223,"")</x:f>
      </x:c>
      <x:c r="U223" s="23" t="n">
        <x:f>IF(R223&lt;30000,N223,0)</x:f>
        <x:v>0</x:v>
      </x:c>
      <x:c r="V223" s="23" t="n">
        <x:f>IF(P223&gt;0,N223,0)</x:f>
        <x:v>0</x:v>
      </x:c>
      <x:c r="W223" s="23" t="n">
        <x:f>IF(AND(P223&gt;0,S223&lt;0),N223,0)</x:f>
        <x:v>0</x:v>
      </x:c>
      <x:c r="X223" s="23" t="n">
        <x:f>IF(AND(P223&gt;0,S223=0),N223,0)</x:f>
        <x:v>0</x:v>
      </x:c>
      <x:c r="Y223" s="23" t="n">
        <x:f>IF(Q223&gt;0,N223,0)</x:f>
        <x:v>0</x:v>
      </x:c>
      <x:c r="Z223" s="460" t="n">
        <x:f>IF(P223&gt;0,N223*S223,0)</x:f>
        <x:v>0</x:v>
      </x:c>
      <x:c r="AA223" s="460" t="n">
        <x:f>IF(Q223&gt;0,N223*T223,0)</x:f>
        <x:v>0</x:v>
      </x:c>
      <x:c r="AB223" s="460" t="n">
        <x:f>N223*R223</x:f>
        <x:v>0</x:v>
      </x:c>
      <x:c r="AC223" s="460" t="n">
        <x:f>IF(N223&gt;0,R223,999999)</x:f>
        <x:v>999999</x:v>
      </x:c>
      <x:c r="AD223" s="460" t="n">
        <x:f>IF(AND(N223&gt;0,P223&gt;0),S223,999999)</x:f>
        <x:v>999999</x:v>
      </x:c>
      <x:c r="AE223" s="460" t="n">
        <x:f>IF(AND(N223&gt;0,Q223&gt;0),T223,999999)</x:f>
        <x:v>999999</x:v>
      </x:c>
      <x:c r="AF223" s="23" t="n">
        <x:f>B223*D223*F223*J223</x:f>
        <x:v>0.00252</x:v>
      </x:c>
      <x:c r="AG223" s="23" t="n">
        <x:f>IF(P223&gt;0,AF223,0)</x:f>
        <x:v>0</x:v>
      </x:c>
      <x:c r="AH223" s="23" t="n">
        <x:f>IF(AND(P223&gt;0,S223&lt;0),AF223,0)</x:f>
        <x:v>0</x:v>
      </x:c>
      <x:c r="AI223" s="23" t="n">
        <x:f>IF(AND(P223&gt;0,S223=0),AF223,0)</x:f>
        <x:v>0</x:v>
      </x:c>
      <x:c r="AJ223" s="23" t="n">
        <x:f>IF(R223&lt;30000,AF223,0)</x:f>
        <x:v>0</x:v>
      </x:c>
      <x:c r="AK223" s="460" t="n">
        <x:f>IF(P223&gt;0,AF223*S223,0)</x:f>
        <x:v>0</x:v>
      </x:c>
    </x:row>
    <x:row r="224" ht="22" customHeight="1">
      <x:c r="A224" s="643" t="str">
        <x:v>中心</x:v>
      </x:c>
      <x:c r="B224" s="648" t="n">
        <x:f>'114_降本系数'!B27</x:f>
        <x:v>0.5</x:v>
      </x:c>
      <x:c r="C224" s="643" t="str">
        <x:v>L0</x:v>
      </x:c>
      <x:c r="D224" s="648" t="n">
        <x:f>'130_联合算法'!C16</x:f>
        <x:v>0.6</x:v>
      </x:c>
      <x:c r="E224" s="647" t="n">
        <x:f>'117_价格概率传导'!A8</x:f>
        <x:v>249900</x:v>
      </x:c>
      <x:c r="F224" s="648" t="n">
        <x:f>'117_价格概率传导'!D8</x:f>
        <x:v>0.42</x:v>
      </x:c>
      <x:c r="G224" s="648" t="n">
        <x:f>SUM('117_价格概率传导'!$D$6:$D$7)</x:f>
        <x:v>0.08</x:v>
      </x:c>
      <x:c r="H224" s="648" t="n">
        <x:f>SUM('117_价格概率传导'!$D$6:$D$8)</x:f>
        <x:v>0.5</x:v>
      </x:c>
      <x:c r="I224" s="647" t="n">
        <x:f>'117_价格概率传导'!A17</x:f>
        <x:v>293900</x:v>
      </x:c>
      <x:c r="J224" s="648" t="n">
        <x:f>'117_价格概率传导'!D17</x:f>
        <x:v>0.03</x:v>
      </x:c>
      <x:c r="K224" s="648" t="n">
        <x:f>SUM('117_价格概率传导'!$D$16:$D$16)</x:f>
        <x:v>0.02</x:v>
      </x:c>
      <x:c r="L224" s="648" t="n">
        <x:f>SUM('117_价格概率传导'!$D$16:$D$17)</x:f>
        <x:v>0.05</x:v>
      </x:c>
      <x:c r="M224" s="648" t="n">
        <x:f>MAX(0,MIN(H224,L224)-MAX(G224,K224))</x:f>
        <x:v>0</x:v>
      </x:c>
      <x:c r="N224" s="648" t="n">
        <x:f>B224*D224*M224</x:f>
        <x:v>0</x:v>
      </x:c>
      <x:c r="O224" s="647" t="n">
        <x:f>I224</x:f>
        <x:v>293900</x:v>
      </x:c>
      <x:c r="P224" s="647" t="str">
        <x:f>""</x:f>
      </x:c>
      <x:c r="Q224" s="647" t="str">
        <x:f>""</x:f>
      </x:c>
      <x:c r="R224" s="647" t="n">
        <x:f>O224-E224</x:f>
        <x:v>44000</x:v>
      </x:c>
      <x:c r="S224" s="647" t="str">
        <x:f>IF(P224&gt;0,P224-E224,"")</x:f>
      </x:c>
      <x:c r="T224" s="647" t="str">
        <x:f>IF(Q224&gt;0,Q224-E224,"")</x:f>
      </x:c>
      <x:c r="U224" s="648" t="n">
        <x:f>IF(R224&lt;30000,N224,0)</x:f>
        <x:v>0</x:v>
      </x:c>
      <x:c r="V224" s="648" t="n">
        <x:f>IF(P224&gt;0,N224,0)</x:f>
        <x:v>0</x:v>
      </x:c>
      <x:c r="W224" s="648" t="n">
        <x:f>IF(AND(P224&gt;0,S224&lt;0),N224,0)</x:f>
        <x:v>0</x:v>
      </x:c>
      <x:c r="X224" s="648" t="n">
        <x:f>IF(AND(P224&gt;0,S224=0),N224,0)</x:f>
        <x:v>0</x:v>
      </x:c>
      <x:c r="Y224" s="648" t="n">
        <x:f>IF(Q224&gt;0,N224,0)</x:f>
        <x:v>0</x:v>
      </x:c>
      <x:c r="Z224" s="647" t="n">
        <x:f>IF(P224&gt;0,N224*S224,0)</x:f>
        <x:v>0</x:v>
      </x:c>
      <x:c r="AA224" s="647" t="n">
        <x:f>IF(Q224&gt;0,N224*T224,0)</x:f>
        <x:v>0</x:v>
      </x:c>
      <x:c r="AB224" s="647" t="n">
        <x:f>N224*R224</x:f>
        <x:v>0</x:v>
      </x:c>
      <x:c r="AC224" s="647" t="n">
        <x:f>IF(N224&gt;0,R224,999999)</x:f>
        <x:v>999999</x:v>
      </x:c>
      <x:c r="AD224" s="647" t="n">
        <x:f>IF(AND(N224&gt;0,P224&gt;0),S224,999999)</x:f>
        <x:v>999999</x:v>
      </x:c>
      <x:c r="AE224" s="647" t="n">
        <x:f>IF(AND(N224&gt;0,Q224&gt;0),T224,999999)</x:f>
        <x:v>999999</x:v>
      </x:c>
      <x:c r="AF224" s="648" t="n">
        <x:f>B224*D224*F224*J224</x:f>
        <x:v>0.00378</x:v>
      </x:c>
      <x:c r="AG224" s="648" t="n">
        <x:f>IF(P224&gt;0,AF224,0)</x:f>
        <x:v>0</x:v>
      </x:c>
      <x:c r="AH224" s="648" t="n">
        <x:f>IF(AND(P224&gt;0,S224&lt;0),AF224,0)</x:f>
        <x:v>0</x:v>
      </x:c>
      <x:c r="AI224" s="648" t="n">
        <x:f>IF(AND(P224&gt;0,S224=0),AF224,0)</x:f>
        <x:v>0</x:v>
      </x:c>
      <x:c r="AJ224" s="648" t="n">
        <x:f>IF(R224&lt;30000,AF224,0)</x:f>
        <x:v>0</x:v>
      </x:c>
      <x:c r="AK224" s="647" t="n">
        <x:f>IF(P224&gt;0,AF224*S224,0)</x:f>
        <x:v>0</x:v>
      </x:c>
    </x:row>
    <x:row r="225" ht="22" customHeight="1">
      <x:c r="A225" s="19" t="str">
        <x:v>中心</x:v>
      </x:c>
      <x:c r="B225" s="23" t="n">
        <x:f>'114_降本系数'!B27</x:f>
        <x:v>0.5</x:v>
      </x:c>
      <x:c r="C225" s="19" t="str">
        <x:v>L0</x:v>
      </x:c>
      <x:c r="D225" s="23" t="n">
        <x:f>'130_联合算法'!C16</x:f>
        <x:v>0.6</x:v>
      </x:c>
      <x:c r="E225" s="460" t="n">
        <x:f>'117_价格概率传导'!A8</x:f>
        <x:v>249900</x:v>
      </x:c>
      <x:c r="F225" s="23" t="n">
        <x:f>'117_价格概率传导'!D8</x:f>
        <x:v>0.42</x:v>
      </x:c>
      <x:c r="G225" s="23" t="n">
        <x:f>SUM('117_价格概率传导'!$D$6:$D$7)</x:f>
        <x:v>0.08</x:v>
      </x:c>
      <x:c r="H225" s="23" t="n">
        <x:f>SUM('117_价格概率传导'!$D$6:$D$8)</x:f>
        <x:v>0.5</x:v>
      </x:c>
      <x:c r="I225" s="460" t="n">
        <x:f>'117_价格概率传导'!A18</x:f>
        <x:v>289900</x:v>
      </x:c>
      <x:c r="J225" s="23" t="n">
        <x:f>'117_价格概率传导'!D18</x:f>
        <x:v>0.22</x:v>
      </x:c>
      <x:c r="K225" s="23" t="n">
        <x:f>SUM('117_价格概率传导'!$D$16:$D$17)</x:f>
        <x:v>0.05</x:v>
      </x:c>
      <x:c r="L225" s="23" t="n">
        <x:f>SUM('117_价格概率传导'!$D$16:$D$18)</x:f>
        <x:v>0.27</x:v>
      </x:c>
      <x:c r="M225" s="23" t="n">
        <x:f>MAX(0,MIN(H225,L225)-MAX(G225,K225))</x:f>
        <x:v>0.19</x:v>
      </x:c>
      <x:c r="N225" s="23" t="n">
        <x:f>B225*D225*M225</x:f>
        <x:v>0.056999999999999995</x:v>
      </x:c>
      <x:c r="O225" s="460" t="n">
        <x:f>I225</x:f>
        <x:v>289900</x:v>
      </x:c>
      <x:c r="P225" s="460" t="str">
        <x:f>""</x:f>
      </x:c>
      <x:c r="Q225" s="460" t="str">
        <x:f>""</x:f>
      </x:c>
      <x:c r="R225" s="460" t="n">
        <x:f>O225-E225</x:f>
        <x:v>40000</x:v>
      </x:c>
      <x:c r="S225" s="460" t="str">
        <x:f>IF(P225&gt;0,P225-E225,"")</x:f>
      </x:c>
      <x:c r="T225" s="460" t="str">
        <x:f>IF(Q225&gt;0,Q225-E225,"")</x:f>
      </x:c>
      <x:c r="U225" s="23" t="n">
        <x:f>IF(R225&lt;30000,N225,0)</x:f>
        <x:v>0</x:v>
      </x:c>
      <x:c r="V225" s="23" t="n">
        <x:f>IF(P225&gt;0,N225,0)</x:f>
        <x:v>0</x:v>
      </x:c>
      <x:c r="W225" s="23" t="n">
        <x:f>IF(AND(P225&gt;0,S225&lt;0),N225,0)</x:f>
        <x:v>0</x:v>
      </x:c>
      <x:c r="X225" s="23" t="n">
        <x:f>IF(AND(P225&gt;0,S225=0),N225,0)</x:f>
        <x:v>0</x:v>
      </x:c>
      <x:c r="Y225" s="23" t="n">
        <x:f>IF(Q225&gt;0,N225,0)</x:f>
        <x:v>0</x:v>
      </x:c>
      <x:c r="Z225" s="460" t="n">
        <x:f>IF(P225&gt;0,N225*S225,0)</x:f>
        <x:v>0</x:v>
      </x:c>
      <x:c r="AA225" s="460" t="n">
        <x:f>IF(Q225&gt;0,N225*T225,0)</x:f>
        <x:v>0</x:v>
      </x:c>
      <x:c r="AB225" s="460" t="n">
        <x:f>N225*R225</x:f>
        <x:v>2280</x:v>
      </x:c>
      <x:c r="AC225" s="460" t="n">
        <x:f>IF(N225&gt;0,R225,999999)</x:f>
        <x:v>40000</x:v>
      </x:c>
      <x:c r="AD225" s="460" t="n">
        <x:f>IF(AND(N225&gt;0,P225&gt;0),S225,999999)</x:f>
        <x:v>999999</x:v>
      </x:c>
      <x:c r="AE225" s="460" t="n">
        <x:f>IF(AND(N225&gt;0,Q225&gt;0),T225,999999)</x:f>
        <x:v>999999</x:v>
      </x:c>
      <x:c r="AF225" s="23" t="n">
        <x:f>B225*D225*F225*J225</x:f>
        <x:v>0.02772</x:v>
      </x:c>
      <x:c r="AG225" s="23" t="n">
        <x:f>IF(P225&gt;0,AF225,0)</x:f>
        <x:v>0</x:v>
      </x:c>
      <x:c r="AH225" s="23" t="n">
        <x:f>IF(AND(P225&gt;0,S225&lt;0),AF225,0)</x:f>
        <x:v>0</x:v>
      </x:c>
      <x:c r="AI225" s="23" t="n">
        <x:f>IF(AND(P225&gt;0,S225=0),AF225,0)</x:f>
        <x:v>0</x:v>
      </x:c>
      <x:c r="AJ225" s="23" t="n">
        <x:f>IF(R225&lt;30000,AF225,0)</x:f>
        <x:v>0</x:v>
      </x:c>
      <x:c r="AK225" s="460" t="n">
        <x:f>IF(P225&gt;0,AF225*S225,0)</x:f>
        <x:v>0</x:v>
      </x:c>
    </x:row>
    <x:row r="226" ht="22" customHeight="1">
      <x:c r="A226" s="643" t="str">
        <x:v>中心</x:v>
      </x:c>
      <x:c r="B226" s="648" t="n">
        <x:f>'114_降本系数'!B27</x:f>
        <x:v>0.5</x:v>
      </x:c>
      <x:c r="C226" s="643" t="str">
        <x:v>L0</x:v>
      </x:c>
      <x:c r="D226" s="648" t="n">
        <x:f>'130_联合算法'!C16</x:f>
        <x:v>0.6</x:v>
      </x:c>
      <x:c r="E226" s="647" t="n">
        <x:f>'117_价格概率传导'!A8</x:f>
        <x:v>249900</x:v>
      </x:c>
      <x:c r="F226" s="648" t="n">
        <x:f>'117_价格概率传导'!D8</x:f>
        <x:v>0.42</x:v>
      </x:c>
      <x:c r="G226" s="648" t="n">
        <x:f>SUM('117_价格概率传导'!$D$6:$D$7)</x:f>
        <x:v>0.08</x:v>
      </x:c>
      <x:c r="H226" s="648" t="n">
        <x:f>SUM('117_价格概率传导'!$D$6:$D$8)</x:f>
        <x:v>0.5</x:v>
      </x:c>
      <x:c r="I226" s="647" t="n">
        <x:f>'117_价格概率传导'!A19</x:f>
        <x:v>279900</x:v>
      </x:c>
      <x:c r="J226" s="648" t="n">
        <x:f>'117_价格概率传导'!D19</x:f>
        <x:v>0.44</x:v>
      </x:c>
      <x:c r="K226" s="648" t="n">
        <x:f>SUM('117_价格概率传导'!$D$16:$D$18)</x:f>
        <x:v>0.27</x:v>
      </x:c>
      <x:c r="L226" s="648" t="n">
        <x:f>SUM('117_价格概率传导'!$D$16:$D$19)</x:f>
        <x:v>0.71</x:v>
      </x:c>
      <x:c r="M226" s="648" t="n">
        <x:f>MAX(0,MIN(H226,L226)-MAX(G226,K226))</x:f>
        <x:v>0.22999999999999998</x:v>
      </x:c>
      <x:c r="N226" s="648" t="n">
        <x:f>B226*D226*M226</x:f>
        <x:v>0.06899999999999999</x:v>
      </x:c>
      <x:c r="O226" s="647" t="n">
        <x:f>I226</x:f>
        <x:v>279900</x:v>
      </x:c>
      <x:c r="P226" s="647" t="str">
        <x:f>""</x:f>
      </x:c>
      <x:c r="Q226" s="647" t="str">
        <x:f>""</x:f>
      </x:c>
      <x:c r="R226" s="647" t="n">
        <x:f>O226-E226</x:f>
        <x:v>30000</x:v>
      </x:c>
      <x:c r="S226" s="647" t="str">
        <x:f>IF(P226&gt;0,P226-E226,"")</x:f>
      </x:c>
      <x:c r="T226" s="647" t="str">
        <x:f>IF(Q226&gt;0,Q226-E226,"")</x:f>
      </x:c>
      <x:c r="U226" s="648" t="n">
        <x:f>IF(R226&lt;30000,N226,0)</x:f>
        <x:v>0</x:v>
      </x:c>
      <x:c r="V226" s="648" t="n">
        <x:f>IF(P226&gt;0,N226,0)</x:f>
        <x:v>0</x:v>
      </x:c>
      <x:c r="W226" s="648" t="n">
        <x:f>IF(AND(P226&gt;0,S226&lt;0),N226,0)</x:f>
        <x:v>0</x:v>
      </x:c>
      <x:c r="X226" s="648" t="n">
        <x:f>IF(AND(P226&gt;0,S226=0),N226,0)</x:f>
        <x:v>0</x:v>
      </x:c>
      <x:c r="Y226" s="648" t="n">
        <x:f>IF(Q226&gt;0,N226,0)</x:f>
        <x:v>0</x:v>
      </x:c>
      <x:c r="Z226" s="647" t="n">
        <x:f>IF(P226&gt;0,N226*S226,0)</x:f>
        <x:v>0</x:v>
      </x:c>
      <x:c r="AA226" s="647" t="n">
        <x:f>IF(Q226&gt;0,N226*T226,0)</x:f>
        <x:v>0</x:v>
      </x:c>
      <x:c r="AB226" s="647" t="n">
        <x:f>N226*R226</x:f>
        <x:v>2069.9999999999995</x:v>
      </x:c>
      <x:c r="AC226" s="647" t="n">
        <x:f>IF(N226&gt;0,R226,999999)</x:f>
        <x:v>30000</x:v>
      </x:c>
      <x:c r="AD226" s="647" t="n">
        <x:f>IF(AND(N226&gt;0,P226&gt;0),S226,999999)</x:f>
        <x:v>999999</x:v>
      </x:c>
      <x:c r="AE226" s="647" t="n">
        <x:f>IF(AND(N226&gt;0,Q226&gt;0),T226,999999)</x:f>
        <x:v>999999</x:v>
      </x:c>
      <x:c r="AF226" s="648" t="n">
        <x:f>B226*D226*F226*J226</x:f>
        <x:v>0.05544</x:v>
      </x:c>
      <x:c r="AG226" s="648" t="n">
        <x:f>IF(P226&gt;0,AF226,0)</x:f>
        <x:v>0</x:v>
      </x:c>
      <x:c r="AH226" s="648" t="n">
        <x:f>IF(AND(P226&gt;0,S226&lt;0),AF226,0)</x:f>
        <x:v>0</x:v>
      </x:c>
      <x:c r="AI226" s="648" t="n">
        <x:f>IF(AND(P226&gt;0,S226=0),AF226,0)</x:f>
        <x:v>0</x:v>
      </x:c>
      <x:c r="AJ226" s="648" t="n">
        <x:f>IF(R226&lt;30000,AF226,0)</x:f>
        <x:v>0</x:v>
      </x:c>
      <x:c r="AK226" s="647" t="n">
        <x:f>IF(P226&gt;0,AF226*S226,0)</x:f>
        <x:v>0</x:v>
      </x:c>
    </x:row>
    <x:row r="227" ht="22" customHeight="1">
      <x:c r="A227" s="19" t="str">
        <x:v>中心</x:v>
      </x:c>
      <x:c r="B227" s="23" t="n">
        <x:f>'114_降本系数'!B27</x:f>
        <x:v>0.5</x:v>
      </x:c>
      <x:c r="C227" s="19" t="str">
        <x:v>L0</x:v>
      </x:c>
      <x:c r="D227" s="23" t="n">
        <x:f>'130_联合算法'!C16</x:f>
        <x:v>0.6</x:v>
      </x:c>
      <x:c r="E227" s="460" t="n">
        <x:f>'117_价格概率传导'!A8</x:f>
        <x:v>249900</x:v>
      </x:c>
      <x:c r="F227" s="23" t="n">
        <x:f>'117_价格概率传导'!D8</x:f>
        <x:v>0.42</x:v>
      </x:c>
      <x:c r="G227" s="23" t="n">
        <x:f>SUM('117_价格概率传导'!$D$6:$D$7)</x:f>
        <x:v>0.08</x:v>
      </x:c>
      <x:c r="H227" s="23" t="n">
        <x:f>SUM('117_价格概率传导'!$D$6:$D$8)</x:f>
        <x:v>0.5</x:v>
      </x:c>
      <x:c r="I227" s="460" t="n">
        <x:f>'117_价格概率传导'!A20</x:f>
        <x:v>269900</x:v>
      </x:c>
      <x:c r="J227" s="23" t="n">
        <x:f>'117_价格概率传导'!D20</x:f>
        <x:v>0.23</x:v>
      </x:c>
      <x:c r="K227" s="23" t="n">
        <x:f>SUM('117_价格概率传导'!$D$16:$D$19)</x:f>
        <x:v>0.71</x:v>
      </x:c>
      <x:c r="L227" s="23" t="n">
        <x:f>SUM('117_价格概率传导'!$D$16:$D$20)</x:f>
        <x:v>0.94</x:v>
      </x:c>
      <x:c r="M227" s="23" t="n">
        <x:f>MAX(0,MIN(H227,L227)-MAX(G227,K227))</x:f>
        <x:v>0</x:v>
      </x:c>
      <x:c r="N227" s="23" t="n">
        <x:f>B227*D227*M227</x:f>
        <x:v>0</x:v>
      </x:c>
      <x:c r="O227" s="460" t="n">
        <x:f>I227</x:f>
        <x:v>269900</x:v>
      </x:c>
      <x:c r="P227" s="460" t="str">
        <x:f>""</x:f>
      </x:c>
      <x:c r="Q227" s="460" t="str">
        <x:f>""</x:f>
      </x:c>
      <x:c r="R227" s="460" t="n">
        <x:f>O227-E227</x:f>
        <x:v>20000</x:v>
      </x:c>
      <x:c r="S227" s="460" t="str">
        <x:f>IF(P227&gt;0,P227-E227,"")</x:f>
      </x:c>
      <x:c r="T227" s="460" t="str">
        <x:f>IF(Q227&gt;0,Q227-E227,"")</x:f>
      </x:c>
      <x:c r="U227" s="23" t="n">
        <x:f>IF(R227&lt;30000,N227,0)</x:f>
        <x:v>0</x:v>
      </x:c>
      <x:c r="V227" s="23" t="n">
        <x:f>IF(P227&gt;0,N227,0)</x:f>
        <x:v>0</x:v>
      </x:c>
      <x:c r="W227" s="23" t="n">
        <x:f>IF(AND(P227&gt;0,S227&lt;0),N227,0)</x:f>
        <x:v>0</x:v>
      </x:c>
      <x:c r="X227" s="23" t="n">
        <x:f>IF(AND(P227&gt;0,S227=0),N227,0)</x:f>
        <x:v>0</x:v>
      </x:c>
      <x:c r="Y227" s="23" t="n">
        <x:f>IF(Q227&gt;0,N227,0)</x:f>
        <x:v>0</x:v>
      </x:c>
      <x:c r="Z227" s="460" t="n">
        <x:f>IF(P227&gt;0,N227*S227,0)</x:f>
        <x:v>0</x:v>
      </x:c>
      <x:c r="AA227" s="460" t="n">
        <x:f>IF(Q227&gt;0,N227*T227,0)</x:f>
        <x:v>0</x:v>
      </x:c>
      <x:c r="AB227" s="460" t="n">
        <x:f>N227*R227</x:f>
        <x:v>0</x:v>
      </x:c>
      <x:c r="AC227" s="460" t="n">
        <x:f>IF(N227&gt;0,R227,999999)</x:f>
        <x:v>999999</x:v>
      </x:c>
      <x:c r="AD227" s="460" t="n">
        <x:f>IF(AND(N227&gt;0,P227&gt;0),S227,999999)</x:f>
        <x:v>999999</x:v>
      </x:c>
      <x:c r="AE227" s="460" t="n">
        <x:f>IF(AND(N227&gt;0,Q227&gt;0),T227,999999)</x:f>
        <x:v>999999</x:v>
      </x:c>
      <x:c r="AF227" s="23" t="n">
        <x:f>B227*D227*F227*J227</x:f>
        <x:v>0.028980000000000002</x:v>
      </x:c>
      <x:c r="AG227" s="23" t="n">
        <x:f>IF(P227&gt;0,AF227,0)</x:f>
        <x:v>0</x:v>
      </x:c>
      <x:c r="AH227" s="23" t="n">
        <x:f>IF(AND(P227&gt;0,S227&lt;0),AF227,0)</x:f>
        <x:v>0</x:v>
      </x:c>
      <x:c r="AI227" s="23" t="n">
        <x:f>IF(AND(P227&gt;0,S227=0),AF227,0)</x:f>
        <x:v>0</x:v>
      </x:c>
      <x:c r="AJ227" s="23" t="n">
        <x:f>IF(R227&lt;30000,AF227,0)</x:f>
        <x:v>0.028980000000000002</x:v>
      </x:c>
      <x:c r="AK227" s="460" t="n">
        <x:f>IF(P227&gt;0,AF227*S227,0)</x:f>
        <x:v>0</x:v>
      </x:c>
    </x:row>
    <x:row r="228" ht="22" customHeight="1">
      <x:c r="A228" s="643" t="str">
        <x:v>中心</x:v>
      </x:c>
      <x:c r="B228" s="648" t="n">
        <x:f>'114_降本系数'!B27</x:f>
        <x:v>0.5</x:v>
      </x:c>
      <x:c r="C228" s="643" t="str">
        <x:v>L0</x:v>
      </x:c>
      <x:c r="D228" s="648" t="n">
        <x:f>'130_联合算法'!C16</x:f>
        <x:v>0.6</x:v>
      </x:c>
      <x:c r="E228" s="647" t="n">
        <x:f>'117_价格概率传导'!A8</x:f>
        <x:v>249900</x:v>
      </x:c>
      <x:c r="F228" s="648" t="n">
        <x:f>'117_价格概率传导'!D8</x:f>
        <x:v>0.42</x:v>
      </x:c>
      <x:c r="G228" s="648" t="n">
        <x:f>SUM('117_价格概率传导'!$D$6:$D$7)</x:f>
        <x:v>0.08</x:v>
      </x:c>
      <x:c r="H228" s="648" t="n">
        <x:f>SUM('117_价格概率传导'!$D$6:$D$8)</x:f>
        <x:v>0.5</x:v>
      </x:c>
      <x:c r="I228" s="647" t="n">
        <x:f>'117_价格概率传导'!A21</x:f>
        <x:v>259900</x:v>
      </x:c>
      <x:c r="J228" s="648" t="n">
        <x:f>'117_价格概率传导'!D21</x:f>
        <x:v>0.06</x:v>
      </x:c>
      <x:c r="K228" s="648" t="n">
        <x:f>SUM('117_价格概率传导'!$D$16:$D$20)</x:f>
        <x:v>0.94</x:v>
      </x:c>
      <x:c r="L228" s="648" t="n">
        <x:f>SUM('117_价格概率传导'!$D$16:$D$21)</x:f>
        <x:v>1</x:v>
      </x:c>
      <x:c r="M228" s="648" t="n">
        <x:f>MAX(0,MIN(H228,L228)-MAX(G228,K228))</x:f>
        <x:v>0</x:v>
      </x:c>
      <x:c r="N228" s="648" t="n">
        <x:f>B228*D228*M228</x:f>
        <x:v>0</x:v>
      </x:c>
      <x:c r="O228" s="647" t="n">
        <x:f>I228</x:f>
        <x:v>259900</x:v>
      </x:c>
      <x:c r="P228" s="647" t="str">
        <x:f>""</x:f>
      </x:c>
      <x:c r="Q228" s="647" t="str">
        <x:f>""</x:f>
      </x:c>
      <x:c r="R228" s="647" t="n">
        <x:f>O228-E228</x:f>
        <x:v>10000</x:v>
      </x:c>
      <x:c r="S228" s="647" t="str">
        <x:f>IF(P228&gt;0,P228-E228,"")</x:f>
      </x:c>
      <x:c r="T228" s="647" t="str">
        <x:f>IF(Q228&gt;0,Q228-E228,"")</x:f>
      </x:c>
      <x:c r="U228" s="648" t="n">
        <x:f>IF(R228&lt;30000,N228,0)</x:f>
        <x:v>0</x:v>
      </x:c>
      <x:c r="V228" s="648" t="n">
        <x:f>IF(P228&gt;0,N228,0)</x:f>
        <x:v>0</x:v>
      </x:c>
      <x:c r="W228" s="648" t="n">
        <x:f>IF(AND(P228&gt;0,S228&lt;0),N228,0)</x:f>
        <x:v>0</x:v>
      </x:c>
      <x:c r="X228" s="648" t="n">
        <x:f>IF(AND(P228&gt;0,S228=0),N228,0)</x:f>
        <x:v>0</x:v>
      </x:c>
      <x:c r="Y228" s="648" t="n">
        <x:f>IF(Q228&gt;0,N228,0)</x:f>
        <x:v>0</x:v>
      </x:c>
      <x:c r="Z228" s="647" t="n">
        <x:f>IF(P228&gt;0,N228*S228,0)</x:f>
        <x:v>0</x:v>
      </x:c>
      <x:c r="AA228" s="647" t="n">
        <x:f>IF(Q228&gt;0,N228*T228,0)</x:f>
        <x:v>0</x:v>
      </x:c>
      <x:c r="AB228" s="647" t="n">
        <x:f>N228*R228</x:f>
        <x:v>0</x:v>
      </x:c>
      <x:c r="AC228" s="647" t="n">
        <x:f>IF(N228&gt;0,R228,999999)</x:f>
        <x:v>999999</x:v>
      </x:c>
      <x:c r="AD228" s="647" t="n">
        <x:f>IF(AND(N228&gt;0,P228&gt;0),S228,999999)</x:f>
        <x:v>999999</x:v>
      </x:c>
      <x:c r="AE228" s="647" t="n">
        <x:f>IF(AND(N228&gt;0,Q228&gt;0),T228,999999)</x:f>
        <x:v>999999</x:v>
      </x:c>
      <x:c r="AF228" s="648" t="n">
        <x:f>B228*D228*F228*J228</x:f>
        <x:v>0.00756</x:v>
      </x:c>
      <x:c r="AG228" s="648" t="n">
        <x:f>IF(P228&gt;0,AF228,0)</x:f>
        <x:v>0</x:v>
      </x:c>
      <x:c r="AH228" s="648" t="n">
        <x:f>IF(AND(P228&gt;0,S228&lt;0),AF228,0)</x:f>
        <x:v>0</x:v>
      </x:c>
      <x:c r="AI228" s="648" t="n">
        <x:f>IF(AND(P228&gt;0,S228=0),AF228,0)</x:f>
        <x:v>0</x:v>
      </x:c>
      <x:c r="AJ228" s="648" t="n">
        <x:f>IF(R228&lt;30000,AF228,0)</x:f>
        <x:v>0.00756</x:v>
      </x:c>
      <x:c r="AK228" s="647" t="n">
        <x:f>IF(P228&gt;0,AF228*S228,0)</x:f>
        <x:v>0</x:v>
      </x:c>
    </x:row>
    <x:row r="229" ht="22" customHeight="1">
      <x:c r="A229" s="19" t="str">
        <x:v>中心</x:v>
      </x:c>
      <x:c r="B229" s="23" t="n">
        <x:f>'114_降本系数'!B27</x:f>
        <x:v>0.5</x:v>
      </x:c>
      <x:c r="C229" s="19" t="str">
        <x:v>L0</x:v>
      </x:c>
      <x:c r="D229" s="23" t="n">
        <x:f>'130_联合算法'!C16</x:f>
        <x:v>0.6</x:v>
      </x:c>
      <x:c r="E229" s="460" t="n">
        <x:f>'117_价格概率传导'!A9</x:f>
        <x:v>239900</x:v>
      </x:c>
      <x:c r="F229" s="23" t="n">
        <x:f>'117_价格概率传导'!D9</x:f>
        <x:v>0.34</x:v>
      </x:c>
      <x:c r="G229" s="23" t="n">
        <x:f>SUM('117_价格概率传导'!$D$6:$D$8)</x:f>
        <x:v>0.5</x:v>
      </x:c>
      <x:c r="H229" s="23" t="n">
        <x:f>SUM('117_价格概率传导'!$D$6:$D$9)</x:f>
        <x:v>0.8400000000000001</x:v>
      </x:c>
      <x:c r="I229" s="460" t="n">
        <x:f>'117_价格概率传导'!A16</x:f>
        <x:v>299900</x:v>
      </x:c>
      <x:c r="J229" s="23" t="n">
        <x:f>'117_价格概率传导'!D16</x:f>
        <x:v>0.02</x:v>
      </x:c>
      <x:c r="K229" s="23" t="n">
        <x:f>0</x:f>
        <x:v>0</x:v>
      </x:c>
      <x:c r="L229" s="23" t="n">
        <x:f>SUM('117_价格概率传导'!$D$16:$D$16)</x:f>
        <x:v>0.02</x:v>
      </x:c>
      <x:c r="M229" s="23" t="n">
        <x:f>MAX(0,MIN(H229,L229)-MAX(G229,K229))</x:f>
        <x:v>0</x:v>
      </x:c>
      <x:c r="N229" s="23" t="n">
        <x:f>B229*D229*M229</x:f>
        <x:v>0</x:v>
      </x:c>
      <x:c r="O229" s="460" t="n">
        <x:f>I229</x:f>
        <x:v>299900</x:v>
      </x:c>
      <x:c r="P229" s="460" t="str">
        <x:f>""</x:f>
      </x:c>
      <x:c r="Q229" s="460" t="str">
        <x:f>""</x:f>
      </x:c>
      <x:c r="R229" s="460" t="n">
        <x:f>O229-E229</x:f>
        <x:v>60000</x:v>
      </x:c>
      <x:c r="S229" s="460" t="str">
        <x:f>IF(P229&gt;0,P229-E229,"")</x:f>
      </x:c>
      <x:c r="T229" s="460" t="str">
        <x:f>IF(Q229&gt;0,Q229-E229,"")</x:f>
      </x:c>
      <x:c r="U229" s="23" t="n">
        <x:f>IF(R229&lt;30000,N229,0)</x:f>
        <x:v>0</x:v>
      </x:c>
      <x:c r="V229" s="23" t="n">
        <x:f>IF(P229&gt;0,N229,0)</x:f>
        <x:v>0</x:v>
      </x:c>
      <x:c r="W229" s="23" t="n">
        <x:f>IF(AND(P229&gt;0,S229&lt;0),N229,0)</x:f>
        <x:v>0</x:v>
      </x:c>
      <x:c r="X229" s="23" t="n">
        <x:f>IF(AND(P229&gt;0,S229=0),N229,0)</x:f>
        <x:v>0</x:v>
      </x:c>
      <x:c r="Y229" s="23" t="n">
        <x:f>IF(Q229&gt;0,N229,0)</x:f>
        <x:v>0</x:v>
      </x:c>
      <x:c r="Z229" s="460" t="n">
        <x:f>IF(P229&gt;0,N229*S229,0)</x:f>
        <x:v>0</x:v>
      </x:c>
      <x:c r="AA229" s="460" t="n">
        <x:f>IF(Q229&gt;0,N229*T229,0)</x:f>
        <x:v>0</x:v>
      </x:c>
      <x:c r="AB229" s="460" t="n">
        <x:f>N229*R229</x:f>
        <x:v>0</x:v>
      </x:c>
      <x:c r="AC229" s="460" t="n">
        <x:f>IF(N229&gt;0,R229,999999)</x:f>
        <x:v>999999</x:v>
      </x:c>
      <x:c r="AD229" s="460" t="n">
        <x:f>IF(AND(N229&gt;0,P229&gt;0),S229,999999)</x:f>
        <x:v>999999</x:v>
      </x:c>
      <x:c r="AE229" s="460" t="n">
        <x:f>IF(AND(N229&gt;0,Q229&gt;0),T229,999999)</x:f>
        <x:v>999999</x:v>
      </x:c>
      <x:c r="AF229" s="23" t="n">
        <x:f>B229*D229*F229*J229</x:f>
        <x:v>0.00204</x:v>
      </x:c>
      <x:c r="AG229" s="23" t="n">
        <x:f>IF(P229&gt;0,AF229,0)</x:f>
        <x:v>0</x:v>
      </x:c>
      <x:c r="AH229" s="23" t="n">
        <x:f>IF(AND(P229&gt;0,S229&lt;0),AF229,0)</x:f>
        <x:v>0</x:v>
      </x:c>
      <x:c r="AI229" s="23" t="n">
        <x:f>IF(AND(P229&gt;0,S229=0),AF229,0)</x:f>
        <x:v>0</x:v>
      </x:c>
      <x:c r="AJ229" s="23" t="n">
        <x:f>IF(R229&lt;30000,AF229,0)</x:f>
        <x:v>0</x:v>
      </x:c>
      <x:c r="AK229" s="460" t="n">
        <x:f>IF(P229&gt;0,AF229*S229,0)</x:f>
        <x:v>0</x:v>
      </x:c>
    </x:row>
    <x:row r="230" ht="22" customHeight="1">
      <x:c r="A230" s="643" t="str">
        <x:v>中心</x:v>
      </x:c>
      <x:c r="B230" s="648" t="n">
        <x:f>'114_降本系数'!B27</x:f>
        <x:v>0.5</x:v>
      </x:c>
      <x:c r="C230" s="643" t="str">
        <x:v>L0</x:v>
      </x:c>
      <x:c r="D230" s="648" t="n">
        <x:f>'130_联合算法'!C16</x:f>
        <x:v>0.6</x:v>
      </x:c>
      <x:c r="E230" s="647" t="n">
        <x:f>'117_价格概率传导'!A9</x:f>
        <x:v>239900</x:v>
      </x:c>
      <x:c r="F230" s="648" t="n">
        <x:f>'117_价格概率传导'!D9</x:f>
        <x:v>0.34</x:v>
      </x:c>
      <x:c r="G230" s="648" t="n">
        <x:f>SUM('117_价格概率传导'!$D$6:$D$8)</x:f>
        <x:v>0.5</x:v>
      </x:c>
      <x:c r="H230" s="648" t="n">
        <x:f>SUM('117_价格概率传导'!$D$6:$D$9)</x:f>
        <x:v>0.8400000000000001</x:v>
      </x:c>
      <x:c r="I230" s="647" t="n">
        <x:f>'117_价格概率传导'!A17</x:f>
        <x:v>293900</x:v>
      </x:c>
      <x:c r="J230" s="648" t="n">
        <x:f>'117_价格概率传导'!D17</x:f>
        <x:v>0.03</x:v>
      </x:c>
      <x:c r="K230" s="648" t="n">
        <x:f>SUM('117_价格概率传导'!$D$16:$D$16)</x:f>
        <x:v>0.02</x:v>
      </x:c>
      <x:c r="L230" s="648" t="n">
        <x:f>SUM('117_价格概率传导'!$D$16:$D$17)</x:f>
        <x:v>0.05</x:v>
      </x:c>
      <x:c r="M230" s="648" t="n">
        <x:f>MAX(0,MIN(H230,L230)-MAX(G230,K230))</x:f>
        <x:v>0</x:v>
      </x:c>
      <x:c r="N230" s="648" t="n">
        <x:f>B230*D230*M230</x:f>
        <x:v>0</x:v>
      </x:c>
      <x:c r="O230" s="647" t="n">
        <x:f>I230</x:f>
        <x:v>293900</x:v>
      </x:c>
      <x:c r="P230" s="647" t="str">
        <x:f>""</x:f>
      </x:c>
      <x:c r="Q230" s="647" t="str">
        <x:f>""</x:f>
      </x:c>
      <x:c r="R230" s="647" t="n">
        <x:f>O230-E230</x:f>
        <x:v>54000</x:v>
      </x:c>
      <x:c r="S230" s="647" t="str">
        <x:f>IF(P230&gt;0,P230-E230,"")</x:f>
      </x:c>
      <x:c r="T230" s="647" t="str">
        <x:f>IF(Q230&gt;0,Q230-E230,"")</x:f>
      </x:c>
      <x:c r="U230" s="648" t="n">
        <x:f>IF(R230&lt;30000,N230,0)</x:f>
        <x:v>0</x:v>
      </x:c>
      <x:c r="V230" s="648" t="n">
        <x:f>IF(P230&gt;0,N230,0)</x:f>
        <x:v>0</x:v>
      </x:c>
      <x:c r="W230" s="648" t="n">
        <x:f>IF(AND(P230&gt;0,S230&lt;0),N230,0)</x:f>
        <x:v>0</x:v>
      </x:c>
      <x:c r="X230" s="648" t="n">
        <x:f>IF(AND(P230&gt;0,S230=0),N230,0)</x:f>
        <x:v>0</x:v>
      </x:c>
      <x:c r="Y230" s="648" t="n">
        <x:f>IF(Q230&gt;0,N230,0)</x:f>
        <x:v>0</x:v>
      </x:c>
      <x:c r="Z230" s="647" t="n">
        <x:f>IF(P230&gt;0,N230*S230,0)</x:f>
        <x:v>0</x:v>
      </x:c>
      <x:c r="AA230" s="647" t="n">
        <x:f>IF(Q230&gt;0,N230*T230,0)</x:f>
        <x:v>0</x:v>
      </x:c>
      <x:c r="AB230" s="647" t="n">
        <x:f>N230*R230</x:f>
        <x:v>0</x:v>
      </x:c>
      <x:c r="AC230" s="647" t="n">
        <x:f>IF(N230&gt;0,R230,999999)</x:f>
        <x:v>999999</x:v>
      </x:c>
      <x:c r="AD230" s="647" t="n">
        <x:f>IF(AND(N230&gt;0,P230&gt;0),S230,999999)</x:f>
        <x:v>999999</x:v>
      </x:c>
      <x:c r="AE230" s="647" t="n">
        <x:f>IF(AND(N230&gt;0,Q230&gt;0),T230,999999)</x:f>
        <x:v>999999</x:v>
      </x:c>
      <x:c r="AF230" s="648" t="n">
        <x:f>B230*D230*F230*J230</x:f>
        <x:v>0.0030600000000000002</x:v>
      </x:c>
      <x:c r="AG230" s="648" t="n">
        <x:f>IF(P230&gt;0,AF230,0)</x:f>
        <x:v>0</x:v>
      </x:c>
      <x:c r="AH230" s="648" t="n">
        <x:f>IF(AND(P230&gt;0,S230&lt;0),AF230,0)</x:f>
        <x:v>0</x:v>
      </x:c>
      <x:c r="AI230" s="648" t="n">
        <x:f>IF(AND(P230&gt;0,S230=0),AF230,0)</x:f>
        <x:v>0</x:v>
      </x:c>
      <x:c r="AJ230" s="648" t="n">
        <x:f>IF(R230&lt;30000,AF230,0)</x:f>
        <x:v>0</x:v>
      </x:c>
      <x:c r="AK230" s="647" t="n">
        <x:f>IF(P230&gt;0,AF230*S230,0)</x:f>
        <x:v>0</x:v>
      </x:c>
    </x:row>
    <x:row r="231" ht="22" customHeight="1">
      <x:c r="A231" s="19" t="str">
        <x:v>中心</x:v>
      </x:c>
      <x:c r="B231" s="23" t="n">
        <x:f>'114_降本系数'!B27</x:f>
        <x:v>0.5</x:v>
      </x:c>
      <x:c r="C231" s="19" t="str">
        <x:v>L0</x:v>
      </x:c>
      <x:c r="D231" s="23" t="n">
        <x:f>'130_联合算法'!C16</x:f>
        <x:v>0.6</x:v>
      </x:c>
      <x:c r="E231" s="460" t="n">
        <x:f>'117_价格概率传导'!A9</x:f>
        <x:v>239900</x:v>
      </x:c>
      <x:c r="F231" s="23" t="n">
        <x:f>'117_价格概率传导'!D9</x:f>
        <x:v>0.34</x:v>
      </x:c>
      <x:c r="G231" s="23" t="n">
        <x:f>SUM('117_价格概率传导'!$D$6:$D$8)</x:f>
        <x:v>0.5</x:v>
      </x:c>
      <x:c r="H231" s="23" t="n">
        <x:f>SUM('117_价格概率传导'!$D$6:$D$9)</x:f>
        <x:v>0.8400000000000001</x:v>
      </x:c>
      <x:c r="I231" s="460" t="n">
        <x:f>'117_价格概率传导'!A18</x:f>
        <x:v>289900</x:v>
      </x:c>
      <x:c r="J231" s="23" t="n">
        <x:f>'117_价格概率传导'!D18</x:f>
        <x:v>0.22</x:v>
      </x:c>
      <x:c r="K231" s="23" t="n">
        <x:f>SUM('117_价格概率传导'!$D$16:$D$17)</x:f>
        <x:v>0.05</x:v>
      </x:c>
      <x:c r="L231" s="23" t="n">
        <x:f>SUM('117_价格概率传导'!$D$16:$D$18)</x:f>
        <x:v>0.27</x:v>
      </x:c>
      <x:c r="M231" s="23" t="n">
        <x:f>MAX(0,MIN(H231,L231)-MAX(G231,K231))</x:f>
        <x:v>0</x:v>
      </x:c>
      <x:c r="N231" s="23" t="n">
        <x:f>B231*D231*M231</x:f>
        <x:v>0</x:v>
      </x:c>
      <x:c r="O231" s="460" t="n">
        <x:f>I231</x:f>
        <x:v>289900</x:v>
      </x:c>
      <x:c r="P231" s="460" t="str">
        <x:f>""</x:f>
      </x:c>
      <x:c r="Q231" s="460" t="str">
        <x:f>""</x:f>
      </x:c>
      <x:c r="R231" s="460" t="n">
        <x:f>O231-E231</x:f>
        <x:v>50000</x:v>
      </x:c>
      <x:c r="S231" s="460" t="str">
        <x:f>IF(P231&gt;0,P231-E231,"")</x:f>
      </x:c>
      <x:c r="T231" s="460" t="str">
        <x:f>IF(Q231&gt;0,Q231-E231,"")</x:f>
      </x:c>
      <x:c r="U231" s="23" t="n">
        <x:f>IF(R231&lt;30000,N231,0)</x:f>
        <x:v>0</x:v>
      </x:c>
      <x:c r="V231" s="23" t="n">
        <x:f>IF(P231&gt;0,N231,0)</x:f>
        <x:v>0</x:v>
      </x:c>
      <x:c r="W231" s="23" t="n">
        <x:f>IF(AND(P231&gt;0,S231&lt;0),N231,0)</x:f>
        <x:v>0</x:v>
      </x:c>
      <x:c r="X231" s="23" t="n">
        <x:f>IF(AND(P231&gt;0,S231=0),N231,0)</x:f>
        <x:v>0</x:v>
      </x:c>
      <x:c r="Y231" s="23" t="n">
        <x:f>IF(Q231&gt;0,N231,0)</x:f>
        <x:v>0</x:v>
      </x:c>
      <x:c r="Z231" s="460" t="n">
        <x:f>IF(P231&gt;0,N231*S231,0)</x:f>
        <x:v>0</x:v>
      </x:c>
      <x:c r="AA231" s="460" t="n">
        <x:f>IF(Q231&gt;0,N231*T231,0)</x:f>
        <x:v>0</x:v>
      </x:c>
      <x:c r="AB231" s="460" t="n">
        <x:f>N231*R231</x:f>
        <x:v>0</x:v>
      </x:c>
      <x:c r="AC231" s="460" t="n">
        <x:f>IF(N231&gt;0,R231,999999)</x:f>
        <x:v>999999</x:v>
      </x:c>
      <x:c r="AD231" s="460" t="n">
        <x:f>IF(AND(N231&gt;0,P231&gt;0),S231,999999)</x:f>
        <x:v>999999</x:v>
      </x:c>
      <x:c r="AE231" s="460" t="n">
        <x:f>IF(AND(N231&gt;0,Q231&gt;0),T231,999999)</x:f>
        <x:v>999999</x:v>
      </x:c>
      <x:c r="AF231" s="23" t="n">
        <x:f>B231*D231*F231*J231</x:f>
        <x:v>0.02244</x:v>
      </x:c>
      <x:c r="AG231" s="23" t="n">
        <x:f>IF(P231&gt;0,AF231,0)</x:f>
        <x:v>0</x:v>
      </x:c>
      <x:c r="AH231" s="23" t="n">
        <x:f>IF(AND(P231&gt;0,S231&lt;0),AF231,0)</x:f>
        <x:v>0</x:v>
      </x:c>
      <x:c r="AI231" s="23" t="n">
        <x:f>IF(AND(P231&gt;0,S231=0),AF231,0)</x:f>
        <x:v>0</x:v>
      </x:c>
      <x:c r="AJ231" s="23" t="n">
        <x:f>IF(R231&lt;30000,AF231,0)</x:f>
        <x:v>0</x:v>
      </x:c>
      <x:c r="AK231" s="460" t="n">
        <x:f>IF(P231&gt;0,AF231*S231,0)</x:f>
        <x:v>0</x:v>
      </x:c>
    </x:row>
    <x:row r="232" ht="22" customHeight="1">
      <x:c r="A232" s="643" t="str">
        <x:v>中心</x:v>
      </x:c>
      <x:c r="B232" s="648" t="n">
        <x:f>'114_降本系数'!B27</x:f>
        <x:v>0.5</x:v>
      </x:c>
      <x:c r="C232" s="643" t="str">
        <x:v>L0</x:v>
      </x:c>
      <x:c r="D232" s="648" t="n">
        <x:f>'130_联合算法'!C16</x:f>
        <x:v>0.6</x:v>
      </x:c>
      <x:c r="E232" s="647" t="n">
        <x:f>'117_价格概率传导'!A9</x:f>
        <x:v>239900</x:v>
      </x:c>
      <x:c r="F232" s="648" t="n">
        <x:f>'117_价格概率传导'!D9</x:f>
        <x:v>0.34</x:v>
      </x:c>
      <x:c r="G232" s="648" t="n">
        <x:f>SUM('117_价格概率传导'!$D$6:$D$8)</x:f>
        <x:v>0.5</x:v>
      </x:c>
      <x:c r="H232" s="648" t="n">
        <x:f>SUM('117_价格概率传导'!$D$6:$D$9)</x:f>
        <x:v>0.8400000000000001</x:v>
      </x:c>
      <x:c r="I232" s="647" t="n">
        <x:f>'117_价格概率传导'!A19</x:f>
        <x:v>279900</x:v>
      </x:c>
      <x:c r="J232" s="648" t="n">
        <x:f>'117_价格概率传导'!D19</x:f>
        <x:v>0.44</x:v>
      </x:c>
      <x:c r="K232" s="648" t="n">
        <x:f>SUM('117_价格概率传导'!$D$16:$D$18)</x:f>
        <x:v>0.27</x:v>
      </x:c>
      <x:c r="L232" s="648" t="n">
        <x:f>SUM('117_价格概率传导'!$D$16:$D$19)</x:f>
        <x:v>0.71</x:v>
      </x:c>
      <x:c r="M232" s="648" t="n">
        <x:f>MAX(0,MIN(H232,L232)-MAX(G232,K232))</x:f>
        <x:v>0.20999999999999996</x:v>
      </x:c>
      <x:c r="N232" s="648" t="n">
        <x:f>B232*D232*M232</x:f>
        <x:v>0.06299999999999999</x:v>
      </x:c>
      <x:c r="O232" s="647" t="n">
        <x:f>I232</x:f>
        <x:v>279900</x:v>
      </x:c>
      <x:c r="P232" s="647" t="str">
        <x:f>""</x:f>
      </x:c>
      <x:c r="Q232" s="647" t="str">
        <x:f>""</x:f>
      </x:c>
      <x:c r="R232" s="647" t="n">
        <x:f>O232-E232</x:f>
        <x:v>40000</x:v>
      </x:c>
      <x:c r="S232" s="647" t="str">
        <x:f>IF(P232&gt;0,P232-E232,"")</x:f>
      </x:c>
      <x:c r="T232" s="647" t="str">
        <x:f>IF(Q232&gt;0,Q232-E232,"")</x:f>
      </x:c>
      <x:c r="U232" s="648" t="n">
        <x:f>IF(R232&lt;30000,N232,0)</x:f>
        <x:v>0</x:v>
      </x:c>
      <x:c r="V232" s="648" t="n">
        <x:f>IF(P232&gt;0,N232,0)</x:f>
        <x:v>0</x:v>
      </x:c>
      <x:c r="W232" s="648" t="n">
        <x:f>IF(AND(P232&gt;0,S232&lt;0),N232,0)</x:f>
        <x:v>0</x:v>
      </x:c>
      <x:c r="X232" s="648" t="n">
        <x:f>IF(AND(P232&gt;0,S232=0),N232,0)</x:f>
        <x:v>0</x:v>
      </x:c>
      <x:c r="Y232" s="648" t="n">
        <x:f>IF(Q232&gt;0,N232,0)</x:f>
        <x:v>0</x:v>
      </x:c>
      <x:c r="Z232" s="647" t="n">
        <x:f>IF(P232&gt;0,N232*S232,0)</x:f>
        <x:v>0</x:v>
      </x:c>
      <x:c r="AA232" s="647" t="n">
        <x:f>IF(Q232&gt;0,N232*T232,0)</x:f>
        <x:v>0</x:v>
      </x:c>
      <x:c r="AB232" s="647" t="n">
        <x:f>N232*R232</x:f>
        <x:v>2519.9999999999995</x:v>
      </x:c>
      <x:c r="AC232" s="647" t="n">
        <x:f>IF(N232&gt;0,R232,999999)</x:f>
        <x:v>40000</x:v>
      </x:c>
      <x:c r="AD232" s="647" t="n">
        <x:f>IF(AND(N232&gt;0,P232&gt;0),S232,999999)</x:f>
        <x:v>999999</x:v>
      </x:c>
      <x:c r="AE232" s="647" t="n">
        <x:f>IF(AND(N232&gt;0,Q232&gt;0),T232,999999)</x:f>
        <x:v>999999</x:v>
      </x:c>
      <x:c r="AF232" s="648" t="n">
        <x:f>B232*D232*F232*J232</x:f>
        <x:v>0.04488</x:v>
      </x:c>
      <x:c r="AG232" s="648" t="n">
        <x:f>IF(P232&gt;0,AF232,0)</x:f>
        <x:v>0</x:v>
      </x:c>
      <x:c r="AH232" s="648" t="n">
        <x:f>IF(AND(P232&gt;0,S232&lt;0),AF232,0)</x:f>
        <x:v>0</x:v>
      </x:c>
      <x:c r="AI232" s="648" t="n">
        <x:f>IF(AND(P232&gt;0,S232=0),AF232,0)</x:f>
        <x:v>0</x:v>
      </x:c>
      <x:c r="AJ232" s="648" t="n">
        <x:f>IF(R232&lt;30000,AF232,0)</x:f>
        <x:v>0</x:v>
      </x:c>
      <x:c r="AK232" s="647" t="n">
        <x:f>IF(P232&gt;0,AF232*S232,0)</x:f>
        <x:v>0</x:v>
      </x:c>
    </x:row>
    <x:row r="233" ht="22" customHeight="1">
      <x:c r="A233" s="19" t="str">
        <x:v>中心</x:v>
      </x:c>
      <x:c r="B233" s="23" t="n">
        <x:f>'114_降本系数'!B27</x:f>
        <x:v>0.5</x:v>
      </x:c>
      <x:c r="C233" s="19" t="str">
        <x:v>L0</x:v>
      </x:c>
      <x:c r="D233" s="23" t="n">
        <x:f>'130_联合算法'!C16</x:f>
        <x:v>0.6</x:v>
      </x:c>
      <x:c r="E233" s="460" t="n">
        <x:f>'117_价格概率传导'!A9</x:f>
        <x:v>239900</x:v>
      </x:c>
      <x:c r="F233" s="23" t="n">
        <x:f>'117_价格概率传导'!D9</x:f>
        <x:v>0.34</x:v>
      </x:c>
      <x:c r="G233" s="23" t="n">
        <x:f>SUM('117_价格概率传导'!$D$6:$D$8)</x:f>
        <x:v>0.5</x:v>
      </x:c>
      <x:c r="H233" s="23" t="n">
        <x:f>SUM('117_价格概率传导'!$D$6:$D$9)</x:f>
        <x:v>0.8400000000000001</x:v>
      </x:c>
      <x:c r="I233" s="460" t="n">
        <x:f>'117_价格概率传导'!A20</x:f>
        <x:v>269900</x:v>
      </x:c>
      <x:c r="J233" s="23" t="n">
        <x:f>'117_价格概率传导'!D20</x:f>
        <x:v>0.23</x:v>
      </x:c>
      <x:c r="K233" s="23" t="n">
        <x:f>SUM('117_价格概率传导'!$D$16:$D$19)</x:f>
        <x:v>0.71</x:v>
      </x:c>
      <x:c r="L233" s="23" t="n">
        <x:f>SUM('117_价格概率传导'!$D$16:$D$20)</x:f>
        <x:v>0.94</x:v>
      </x:c>
      <x:c r="M233" s="23" t="n">
        <x:f>MAX(0,MIN(H233,L233)-MAX(G233,K233))</x:f>
        <x:v>0.13000000000000012</x:v>
      </x:c>
      <x:c r="N233" s="23" t="n">
        <x:f>B233*D233*M233</x:f>
        <x:v>0.039000000000000035</x:v>
      </x:c>
      <x:c r="O233" s="460" t="n">
        <x:f>I233</x:f>
        <x:v>269900</x:v>
      </x:c>
      <x:c r="P233" s="460" t="str">
        <x:f>""</x:f>
      </x:c>
      <x:c r="Q233" s="460" t="str">
        <x:f>""</x:f>
      </x:c>
      <x:c r="R233" s="460" t="n">
        <x:f>O233-E233</x:f>
        <x:v>30000</x:v>
      </x:c>
      <x:c r="S233" s="460" t="str">
        <x:f>IF(P233&gt;0,P233-E233,"")</x:f>
      </x:c>
      <x:c r="T233" s="460" t="str">
        <x:f>IF(Q233&gt;0,Q233-E233,"")</x:f>
      </x:c>
      <x:c r="U233" s="23" t="n">
        <x:f>IF(R233&lt;30000,N233,0)</x:f>
        <x:v>0</x:v>
      </x:c>
      <x:c r="V233" s="23" t="n">
        <x:f>IF(P233&gt;0,N233,0)</x:f>
        <x:v>0</x:v>
      </x:c>
      <x:c r="W233" s="23" t="n">
        <x:f>IF(AND(P233&gt;0,S233&lt;0),N233,0)</x:f>
        <x:v>0</x:v>
      </x:c>
      <x:c r="X233" s="23" t="n">
        <x:f>IF(AND(P233&gt;0,S233=0),N233,0)</x:f>
        <x:v>0</x:v>
      </x:c>
      <x:c r="Y233" s="23" t="n">
        <x:f>IF(Q233&gt;0,N233,0)</x:f>
        <x:v>0</x:v>
      </x:c>
      <x:c r="Z233" s="460" t="n">
        <x:f>IF(P233&gt;0,N233*S233,0)</x:f>
        <x:v>0</x:v>
      </x:c>
      <x:c r="AA233" s="460" t="n">
        <x:f>IF(Q233&gt;0,N233*T233,0)</x:f>
        <x:v>0</x:v>
      </x:c>
      <x:c r="AB233" s="460" t="n">
        <x:f>N233*R233</x:f>
        <x:v>1170.0000000000011</x:v>
      </x:c>
      <x:c r="AC233" s="460" t="n">
        <x:f>IF(N233&gt;0,R233,999999)</x:f>
        <x:v>30000</x:v>
      </x:c>
      <x:c r="AD233" s="460" t="n">
        <x:f>IF(AND(N233&gt;0,P233&gt;0),S233,999999)</x:f>
        <x:v>999999</x:v>
      </x:c>
      <x:c r="AE233" s="460" t="n">
        <x:f>IF(AND(N233&gt;0,Q233&gt;0),T233,999999)</x:f>
        <x:v>999999</x:v>
      </x:c>
      <x:c r="AF233" s="23" t="n">
        <x:f>B233*D233*F233*J233</x:f>
        <x:v>0.02346</x:v>
      </x:c>
      <x:c r="AG233" s="23" t="n">
        <x:f>IF(P233&gt;0,AF233,0)</x:f>
        <x:v>0</x:v>
      </x:c>
      <x:c r="AH233" s="23" t="n">
        <x:f>IF(AND(P233&gt;0,S233&lt;0),AF233,0)</x:f>
        <x:v>0</x:v>
      </x:c>
      <x:c r="AI233" s="23" t="n">
        <x:f>IF(AND(P233&gt;0,S233=0),AF233,0)</x:f>
        <x:v>0</x:v>
      </x:c>
      <x:c r="AJ233" s="23" t="n">
        <x:f>IF(R233&lt;30000,AF233,0)</x:f>
        <x:v>0</x:v>
      </x:c>
      <x:c r="AK233" s="460" t="n">
        <x:f>IF(P233&gt;0,AF233*S233,0)</x:f>
        <x:v>0</x:v>
      </x:c>
    </x:row>
    <x:row r="234" ht="22" customHeight="1">
      <x:c r="A234" s="643" t="str">
        <x:v>中心</x:v>
      </x:c>
      <x:c r="B234" s="648" t="n">
        <x:f>'114_降本系数'!B27</x:f>
        <x:v>0.5</x:v>
      </x:c>
      <x:c r="C234" s="643" t="str">
        <x:v>L0</x:v>
      </x:c>
      <x:c r="D234" s="648" t="n">
        <x:f>'130_联合算法'!C16</x:f>
        <x:v>0.6</x:v>
      </x:c>
      <x:c r="E234" s="647" t="n">
        <x:f>'117_价格概率传导'!A9</x:f>
        <x:v>239900</x:v>
      </x:c>
      <x:c r="F234" s="648" t="n">
        <x:f>'117_价格概率传导'!D9</x:f>
        <x:v>0.34</x:v>
      </x:c>
      <x:c r="G234" s="648" t="n">
        <x:f>SUM('117_价格概率传导'!$D$6:$D$8)</x:f>
        <x:v>0.5</x:v>
      </x:c>
      <x:c r="H234" s="648" t="n">
        <x:f>SUM('117_价格概率传导'!$D$6:$D$9)</x:f>
        <x:v>0.8400000000000001</x:v>
      </x:c>
      <x:c r="I234" s="647" t="n">
        <x:f>'117_价格概率传导'!A21</x:f>
        <x:v>259900</x:v>
      </x:c>
      <x:c r="J234" s="648" t="n">
        <x:f>'117_价格概率传导'!D21</x:f>
        <x:v>0.06</x:v>
      </x:c>
      <x:c r="K234" s="648" t="n">
        <x:f>SUM('117_价格概率传导'!$D$16:$D$20)</x:f>
        <x:v>0.94</x:v>
      </x:c>
      <x:c r="L234" s="648" t="n">
        <x:f>SUM('117_价格概率传导'!$D$16:$D$21)</x:f>
        <x:v>1</x:v>
      </x:c>
      <x:c r="M234" s="648" t="n">
        <x:f>MAX(0,MIN(H234,L234)-MAX(G234,K234))</x:f>
        <x:v>0</x:v>
      </x:c>
      <x:c r="N234" s="648" t="n">
        <x:f>B234*D234*M234</x:f>
        <x:v>0</x:v>
      </x:c>
      <x:c r="O234" s="647" t="n">
        <x:f>I234</x:f>
        <x:v>259900</x:v>
      </x:c>
      <x:c r="P234" s="647" t="str">
        <x:f>""</x:f>
      </x:c>
      <x:c r="Q234" s="647" t="str">
        <x:f>""</x:f>
      </x:c>
      <x:c r="R234" s="647" t="n">
        <x:f>O234-E234</x:f>
        <x:v>20000</x:v>
      </x:c>
      <x:c r="S234" s="647" t="str">
        <x:f>IF(P234&gt;0,P234-E234,"")</x:f>
      </x:c>
      <x:c r="T234" s="647" t="str">
        <x:f>IF(Q234&gt;0,Q234-E234,"")</x:f>
      </x:c>
      <x:c r="U234" s="648" t="n">
        <x:f>IF(R234&lt;30000,N234,0)</x:f>
        <x:v>0</x:v>
      </x:c>
      <x:c r="V234" s="648" t="n">
        <x:f>IF(P234&gt;0,N234,0)</x:f>
        <x:v>0</x:v>
      </x:c>
      <x:c r="W234" s="648" t="n">
        <x:f>IF(AND(P234&gt;0,S234&lt;0),N234,0)</x:f>
        <x:v>0</x:v>
      </x:c>
      <x:c r="X234" s="648" t="n">
        <x:f>IF(AND(P234&gt;0,S234=0),N234,0)</x:f>
        <x:v>0</x:v>
      </x:c>
      <x:c r="Y234" s="648" t="n">
        <x:f>IF(Q234&gt;0,N234,0)</x:f>
        <x:v>0</x:v>
      </x:c>
      <x:c r="Z234" s="647" t="n">
        <x:f>IF(P234&gt;0,N234*S234,0)</x:f>
        <x:v>0</x:v>
      </x:c>
      <x:c r="AA234" s="647" t="n">
        <x:f>IF(Q234&gt;0,N234*T234,0)</x:f>
        <x:v>0</x:v>
      </x:c>
      <x:c r="AB234" s="647" t="n">
        <x:f>N234*R234</x:f>
        <x:v>0</x:v>
      </x:c>
      <x:c r="AC234" s="647" t="n">
        <x:f>IF(N234&gt;0,R234,999999)</x:f>
        <x:v>999999</x:v>
      </x:c>
      <x:c r="AD234" s="647" t="n">
        <x:f>IF(AND(N234&gt;0,P234&gt;0),S234,999999)</x:f>
        <x:v>999999</x:v>
      </x:c>
      <x:c r="AE234" s="647" t="n">
        <x:f>IF(AND(N234&gt;0,Q234&gt;0),T234,999999)</x:f>
        <x:v>999999</x:v>
      </x:c>
      <x:c r="AF234" s="648" t="n">
        <x:f>B234*D234*F234*J234</x:f>
        <x:v>0.0061200000000000004</x:v>
      </x:c>
      <x:c r="AG234" s="648" t="n">
        <x:f>IF(P234&gt;0,AF234,0)</x:f>
        <x:v>0</x:v>
      </x:c>
      <x:c r="AH234" s="648" t="n">
        <x:f>IF(AND(P234&gt;0,S234&lt;0),AF234,0)</x:f>
        <x:v>0</x:v>
      </x:c>
      <x:c r="AI234" s="648" t="n">
        <x:f>IF(AND(P234&gt;0,S234=0),AF234,0)</x:f>
        <x:v>0</x:v>
      </x:c>
      <x:c r="AJ234" s="648" t="n">
        <x:f>IF(R234&lt;30000,AF234,0)</x:f>
        <x:v>0.0061200000000000004</x:v>
      </x:c>
      <x:c r="AK234" s="647" t="n">
        <x:f>IF(P234&gt;0,AF234*S234,0)</x:f>
        <x:v>0</x:v>
      </x:c>
    </x:row>
    <x:row r="235" ht="22" customHeight="1">
      <x:c r="A235" s="19" t="str">
        <x:v>中心</x:v>
      </x:c>
      <x:c r="B235" s="23" t="n">
        <x:f>'114_降本系数'!B27</x:f>
        <x:v>0.5</x:v>
      </x:c>
      <x:c r="C235" s="19" t="str">
        <x:v>L0</x:v>
      </x:c>
      <x:c r="D235" s="23" t="n">
        <x:f>'130_联合算法'!C16</x:f>
        <x:v>0.6</x:v>
      </x:c>
      <x:c r="E235" s="460" t="n">
        <x:f>'117_价格概率传导'!A10</x:f>
        <x:v>229900</x:v>
      </x:c>
      <x:c r="F235" s="23" t="n">
        <x:f>'117_价格概率传导'!D10</x:f>
        <x:v>0.13</x:v>
      </x:c>
      <x:c r="G235" s="23" t="n">
        <x:f>SUM('117_价格概率传导'!$D$6:$D$9)</x:f>
        <x:v>0.8400000000000001</x:v>
      </x:c>
      <x:c r="H235" s="23" t="n">
        <x:f>SUM('117_价格概率传导'!$D$6:$D$10)</x:f>
        <x:v>0.9700000000000001</x:v>
      </x:c>
      <x:c r="I235" s="460" t="n">
        <x:f>'117_价格概率传导'!A16</x:f>
        <x:v>299900</x:v>
      </x:c>
      <x:c r="J235" s="23" t="n">
        <x:f>'117_价格概率传导'!D16</x:f>
        <x:v>0.02</x:v>
      </x:c>
      <x:c r="K235" s="23" t="n">
        <x:f>0</x:f>
        <x:v>0</x:v>
      </x:c>
      <x:c r="L235" s="23" t="n">
        <x:f>SUM('117_价格概率传导'!$D$16:$D$16)</x:f>
        <x:v>0.02</x:v>
      </x:c>
      <x:c r="M235" s="23" t="n">
        <x:f>MAX(0,MIN(H235,L235)-MAX(G235,K235))</x:f>
        <x:v>0</x:v>
      </x:c>
      <x:c r="N235" s="23" t="n">
        <x:f>B235*D235*M235</x:f>
        <x:v>0</x:v>
      </x:c>
      <x:c r="O235" s="460" t="n">
        <x:f>I235</x:f>
        <x:v>299900</x:v>
      </x:c>
      <x:c r="P235" s="460" t="str">
        <x:f>""</x:f>
      </x:c>
      <x:c r="Q235" s="460" t="str">
        <x:f>""</x:f>
      </x:c>
      <x:c r="R235" s="460" t="n">
        <x:f>O235-E235</x:f>
        <x:v>70000</x:v>
      </x:c>
      <x:c r="S235" s="460" t="str">
        <x:f>IF(P235&gt;0,P235-E235,"")</x:f>
      </x:c>
      <x:c r="T235" s="460" t="str">
        <x:f>IF(Q235&gt;0,Q235-E235,"")</x:f>
      </x:c>
      <x:c r="U235" s="23" t="n">
        <x:f>IF(R235&lt;30000,N235,0)</x:f>
        <x:v>0</x:v>
      </x:c>
      <x:c r="V235" s="23" t="n">
        <x:f>IF(P235&gt;0,N235,0)</x:f>
        <x:v>0</x:v>
      </x:c>
      <x:c r="W235" s="23" t="n">
        <x:f>IF(AND(P235&gt;0,S235&lt;0),N235,0)</x:f>
        <x:v>0</x:v>
      </x:c>
      <x:c r="X235" s="23" t="n">
        <x:f>IF(AND(P235&gt;0,S235=0),N235,0)</x:f>
        <x:v>0</x:v>
      </x:c>
      <x:c r="Y235" s="23" t="n">
        <x:f>IF(Q235&gt;0,N235,0)</x:f>
        <x:v>0</x:v>
      </x:c>
      <x:c r="Z235" s="460" t="n">
        <x:f>IF(P235&gt;0,N235*S235,0)</x:f>
        <x:v>0</x:v>
      </x:c>
      <x:c r="AA235" s="460" t="n">
        <x:f>IF(Q235&gt;0,N235*T235,0)</x:f>
        <x:v>0</x:v>
      </x:c>
      <x:c r="AB235" s="460" t="n">
        <x:f>N235*R235</x:f>
        <x:v>0</x:v>
      </x:c>
      <x:c r="AC235" s="460" t="n">
        <x:f>IF(N235&gt;0,R235,999999)</x:f>
        <x:v>999999</x:v>
      </x:c>
      <x:c r="AD235" s="460" t="n">
        <x:f>IF(AND(N235&gt;0,P235&gt;0),S235,999999)</x:f>
        <x:v>999999</x:v>
      </x:c>
      <x:c r="AE235" s="460" t="n">
        <x:f>IF(AND(N235&gt;0,Q235&gt;0),T235,999999)</x:f>
        <x:v>999999</x:v>
      </x:c>
      <x:c r="AF235" s="23" t="n">
        <x:f>B235*D235*F235*J235</x:f>
        <x:v>0.00078</x:v>
      </x:c>
      <x:c r="AG235" s="23" t="n">
        <x:f>IF(P235&gt;0,AF235,0)</x:f>
        <x:v>0</x:v>
      </x:c>
      <x:c r="AH235" s="23" t="n">
        <x:f>IF(AND(P235&gt;0,S235&lt;0),AF235,0)</x:f>
        <x:v>0</x:v>
      </x:c>
      <x:c r="AI235" s="23" t="n">
        <x:f>IF(AND(P235&gt;0,S235=0),AF235,0)</x:f>
        <x:v>0</x:v>
      </x:c>
      <x:c r="AJ235" s="23" t="n">
        <x:f>IF(R235&lt;30000,AF235,0)</x:f>
        <x:v>0</x:v>
      </x:c>
      <x:c r="AK235" s="460" t="n">
        <x:f>IF(P235&gt;0,AF235*S235,0)</x:f>
        <x:v>0</x:v>
      </x:c>
    </x:row>
    <x:row r="236" ht="22" customHeight="1">
      <x:c r="A236" s="643" t="str">
        <x:v>中心</x:v>
      </x:c>
      <x:c r="B236" s="648" t="n">
        <x:f>'114_降本系数'!B27</x:f>
        <x:v>0.5</x:v>
      </x:c>
      <x:c r="C236" s="643" t="str">
        <x:v>L0</x:v>
      </x:c>
      <x:c r="D236" s="648" t="n">
        <x:f>'130_联合算法'!C16</x:f>
        <x:v>0.6</x:v>
      </x:c>
      <x:c r="E236" s="647" t="n">
        <x:f>'117_价格概率传导'!A10</x:f>
        <x:v>229900</x:v>
      </x:c>
      <x:c r="F236" s="648" t="n">
        <x:f>'117_价格概率传导'!D10</x:f>
        <x:v>0.13</x:v>
      </x:c>
      <x:c r="G236" s="648" t="n">
        <x:f>SUM('117_价格概率传导'!$D$6:$D$9)</x:f>
        <x:v>0.8400000000000001</x:v>
      </x:c>
      <x:c r="H236" s="648" t="n">
        <x:f>SUM('117_价格概率传导'!$D$6:$D$10)</x:f>
        <x:v>0.9700000000000001</x:v>
      </x:c>
      <x:c r="I236" s="647" t="n">
        <x:f>'117_价格概率传导'!A17</x:f>
        <x:v>293900</x:v>
      </x:c>
      <x:c r="J236" s="648" t="n">
        <x:f>'117_价格概率传导'!D17</x:f>
        <x:v>0.03</x:v>
      </x:c>
      <x:c r="K236" s="648" t="n">
        <x:f>SUM('117_价格概率传导'!$D$16:$D$16)</x:f>
        <x:v>0.02</x:v>
      </x:c>
      <x:c r="L236" s="648" t="n">
        <x:f>SUM('117_价格概率传导'!$D$16:$D$17)</x:f>
        <x:v>0.05</x:v>
      </x:c>
      <x:c r="M236" s="648" t="n">
        <x:f>MAX(0,MIN(H236,L236)-MAX(G236,K236))</x:f>
        <x:v>0</x:v>
      </x:c>
      <x:c r="N236" s="648" t="n">
        <x:f>B236*D236*M236</x:f>
        <x:v>0</x:v>
      </x:c>
      <x:c r="O236" s="647" t="n">
        <x:f>I236</x:f>
        <x:v>293900</x:v>
      </x:c>
      <x:c r="P236" s="647" t="str">
        <x:f>""</x:f>
      </x:c>
      <x:c r="Q236" s="647" t="str">
        <x:f>""</x:f>
      </x:c>
      <x:c r="R236" s="647" t="n">
        <x:f>O236-E236</x:f>
        <x:v>64000</x:v>
      </x:c>
      <x:c r="S236" s="647" t="str">
        <x:f>IF(P236&gt;0,P236-E236,"")</x:f>
      </x:c>
      <x:c r="T236" s="647" t="str">
        <x:f>IF(Q236&gt;0,Q236-E236,"")</x:f>
      </x:c>
      <x:c r="U236" s="648" t="n">
        <x:f>IF(R236&lt;30000,N236,0)</x:f>
        <x:v>0</x:v>
      </x:c>
      <x:c r="V236" s="648" t="n">
        <x:f>IF(P236&gt;0,N236,0)</x:f>
        <x:v>0</x:v>
      </x:c>
      <x:c r="W236" s="648" t="n">
        <x:f>IF(AND(P236&gt;0,S236&lt;0),N236,0)</x:f>
        <x:v>0</x:v>
      </x:c>
      <x:c r="X236" s="648" t="n">
        <x:f>IF(AND(P236&gt;0,S236=0),N236,0)</x:f>
        <x:v>0</x:v>
      </x:c>
      <x:c r="Y236" s="648" t="n">
        <x:f>IF(Q236&gt;0,N236,0)</x:f>
        <x:v>0</x:v>
      </x:c>
      <x:c r="Z236" s="647" t="n">
        <x:f>IF(P236&gt;0,N236*S236,0)</x:f>
        <x:v>0</x:v>
      </x:c>
      <x:c r="AA236" s="647" t="n">
        <x:f>IF(Q236&gt;0,N236*T236,0)</x:f>
        <x:v>0</x:v>
      </x:c>
      <x:c r="AB236" s="647" t="n">
        <x:f>N236*R236</x:f>
        <x:v>0</x:v>
      </x:c>
      <x:c r="AC236" s="647" t="n">
        <x:f>IF(N236&gt;0,R236,999999)</x:f>
        <x:v>999999</x:v>
      </x:c>
      <x:c r="AD236" s="647" t="n">
        <x:f>IF(AND(N236&gt;0,P236&gt;0),S236,999999)</x:f>
        <x:v>999999</x:v>
      </x:c>
      <x:c r="AE236" s="647" t="n">
        <x:f>IF(AND(N236&gt;0,Q236&gt;0),T236,999999)</x:f>
        <x:v>999999</x:v>
      </x:c>
      <x:c r="AF236" s="648" t="n">
        <x:f>B236*D236*F236*J236</x:f>
        <x:v>0.00117</x:v>
      </x:c>
      <x:c r="AG236" s="648" t="n">
        <x:f>IF(P236&gt;0,AF236,0)</x:f>
        <x:v>0</x:v>
      </x:c>
      <x:c r="AH236" s="648" t="n">
        <x:f>IF(AND(P236&gt;0,S236&lt;0),AF236,0)</x:f>
        <x:v>0</x:v>
      </x:c>
      <x:c r="AI236" s="648" t="n">
        <x:f>IF(AND(P236&gt;0,S236=0),AF236,0)</x:f>
        <x:v>0</x:v>
      </x:c>
      <x:c r="AJ236" s="648" t="n">
        <x:f>IF(R236&lt;30000,AF236,0)</x:f>
        <x:v>0</x:v>
      </x:c>
      <x:c r="AK236" s="647" t="n">
        <x:f>IF(P236&gt;0,AF236*S236,0)</x:f>
        <x:v>0</x:v>
      </x:c>
    </x:row>
    <x:row r="237" ht="22" customHeight="1">
      <x:c r="A237" s="19" t="str">
        <x:v>中心</x:v>
      </x:c>
      <x:c r="B237" s="23" t="n">
        <x:f>'114_降本系数'!B27</x:f>
        <x:v>0.5</x:v>
      </x:c>
      <x:c r="C237" s="19" t="str">
        <x:v>L0</x:v>
      </x:c>
      <x:c r="D237" s="23" t="n">
        <x:f>'130_联合算法'!C16</x:f>
        <x:v>0.6</x:v>
      </x:c>
      <x:c r="E237" s="460" t="n">
        <x:f>'117_价格概率传导'!A10</x:f>
        <x:v>229900</x:v>
      </x:c>
      <x:c r="F237" s="23" t="n">
        <x:f>'117_价格概率传导'!D10</x:f>
        <x:v>0.13</x:v>
      </x:c>
      <x:c r="G237" s="23" t="n">
        <x:f>SUM('117_价格概率传导'!$D$6:$D$9)</x:f>
        <x:v>0.8400000000000001</x:v>
      </x:c>
      <x:c r="H237" s="23" t="n">
        <x:f>SUM('117_价格概率传导'!$D$6:$D$10)</x:f>
        <x:v>0.9700000000000001</x:v>
      </x:c>
      <x:c r="I237" s="460" t="n">
        <x:f>'117_价格概率传导'!A18</x:f>
        <x:v>289900</x:v>
      </x:c>
      <x:c r="J237" s="23" t="n">
        <x:f>'117_价格概率传导'!D18</x:f>
        <x:v>0.22</x:v>
      </x:c>
      <x:c r="K237" s="23" t="n">
        <x:f>SUM('117_价格概率传导'!$D$16:$D$17)</x:f>
        <x:v>0.05</x:v>
      </x:c>
      <x:c r="L237" s="23" t="n">
        <x:f>SUM('117_价格概率传导'!$D$16:$D$18)</x:f>
        <x:v>0.27</x:v>
      </x:c>
      <x:c r="M237" s="23" t="n">
        <x:f>MAX(0,MIN(H237,L237)-MAX(G237,K237))</x:f>
        <x:v>0</x:v>
      </x:c>
      <x:c r="N237" s="23" t="n">
        <x:f>B237*D237*M237</x:f>
        <x:v>0</x:v>
      </x:c>
      <x:c r="O237" s="460" t="n">
        <x:f>I237</x:f>
        <x:v>289900</x:v>
      </x:c>
      <x:c r="P237" s="460" t="str">
        <x:f>""</x:f>
      </x:c>
      <x:c r="Q237" s="460" t="str">
        <x:f>""</x:f>
      </x:c>
      <x:c r="R237" s="460" t="n">
        <x:f>O237-E237</x:f>
        <x:v>60000</x:v>
      </x:c>
      <x:c r="S237" s="460" t="str">
        <x:f>IF(P237&gt;0,P237-E237,"")</x:f>
      </x:c>
      <x:c r="T237" s="460" t="str">
        <x:f>IF(Q237&gt;0,Q237-E237,"")</x:f>
      </x:c>
      <x:c r="U237" s="23" t="n">
        <x:f>IF(R237&lt;30000,N237,0)</x:f>
        <x:v>0</x:v>
      </x:c>
      <x:c r="V237" s="23" t="n">
        <x:f>IF(P237&gt;0,N237,0)</x:f>
        <x:v>0</x:v>
      </x:c>
      <x:c r="W237" s="23" t="n">
        <x:f>IF(AND(P237&gt;0,S237&lt;0),N237,0)</x:f>
        <x:v>0</x:v>
      </x:c>
      <x:c r="X237" s="23" t="n">
        <x:f>IF(AND(P237&gt;0,S237=0),N237,0)</x:f>
        <x:v>0</x:v>
      </x:c>
      <x:c r="Y237" s="23" t="n">
        <x:f>IF(Q237&gt;0,N237,0)</x:f>
        <x:v>0</x:v>
      </x:c>
      <x:c r="Z237" s="460" t="n">
        <x:f>IF(P237&gt;0,N237*S237,0)</x:f>
        <x:v>0</x:v>
      </x:c>
      <x:c r="AA237" s="460" t="n">
        <x:f>IF(Q237&gt;0,N237*T237,0)</x:f>
        <x:v>0</x:v>
      </x:c>
      <x:c r="AB237" s="460" t="n">
        <x:f>N237*R237</x:f>
        <x:v>0</x:v>
      </x:c>
      <x:c r="AC237" s="460" t="n">
        <x:f>IF(N237&gt;0,R237,999999)</x:f>
        <x:v>999999</x:v>
      </x:c>
      <x:c r="AD237" s="460" t="n">
        <x:f>IF(AND(N237&gt;0,P237&gt;0),S237,999999)</x:f>
        <x:v>999999</x:v>
      </x:c>
      <x:c r="AE237" s="460" t="n">
        <x:f>IF(AND(N237&gt;0,Q237&gt;0),T237,999999)</x:f>
        <x:v>999999</x:v>
      </x:c>
      <x:c r="AF237" s="23" t="n">
        <x:f>B237*D237*F237*J237</x:f>
        <x:v>0.00858</x:v>
      </x:c>
      <x:c r="AG237" s="23" t="n">
        <x:f>IF(P237&gt;0,AF237,0)</x:f>
        <x:v>0</x:v>
      </x:c>
      <x:c r="AH237" s="23" t="n">
        <x:f>IF(AND(P237&gt;0,S237&lt;0),AF237,0)</x:f>
        <x:v>0</x:v>
      </x:c>
      <x:c r="AI237" s="23" t="n">
        <x:f>IF(AND(P237&gt;0,S237=0),AF237,0)</x:f>
        <x:v>0</x:v>
      </x:c>
      <x:c r="AJ237" s="23" t="n">
        <x:f>IF(R237&lt;30000,AF237,0)</x:f>
        <x:v>0</x:v>
      </x:c>
      <x:c r="AK237" s="460" t="n">
        <x:f>IF(P237&gt;0,AF237*S237,0)</x:f>
        <x:v>0</x:v>
      </x:c>
    </x:row>
    <x:row r="238" ht="22" customHeight="1">
      <x:c r="A238" s="643" t="str">
        <x:v>中心</x:v>
      </x:c>
      <x:c r="B238" s="648" t="n">
        <x:f>'114_降本系数'!B27</x:f>
        <x:v>0.5</x:v>
      </x:c>
      <x:c r="C238" s="643" t="str">
        <x:v>L0</x:v>
      </x:c>
      <x:c r="D238" s="648" t="n">
        <x:f>'130_联合算法'!C16</x:f>
        <x:v>0.6</x:v>
      </x:c>
      <x:c r="E238" s="647" t="n">
        <x:f>'117_价格概率传导'!A10</x:f>
        <x:v>229900</x:v>
      </x:c>
      <x:c r="F238" s="648" t="n">
        <x:f>'117_价格概率传导'!D10</x:f>
        <x:v>0.13</x:v>
      </x:c>
      <x:c r="G238" s="648" t="n">
        <x:f>SUM('117_价格概率传导'!$D$6:$D$9)</x:f>
        <x:v>0.8400000000000001</x:v>
      </x:c>
      <x:c r="H238" s="648" t="n">
        <x:f>SUM('117_价格概率传导'!$D$6:$D$10)</x:f>
        <x:v>0.9700000000000001</x:v>
      </x:c>
      <x:c r="I238" s="647" t="n">
        <x:f>'117_价格概率传导'!A19</x:f>
        <x:v>279900</x:v>
      </x:c>
      <x:c r="J238" s="648" t="n">
        <x:f>'117_价格概率传导'!D19</x:f>
        <x:v>0.44</x:v>
      </x:c>
      <x:c r="K238" s="648" t="n">
        <x:f>SUM('117_价格概率传导'!$D$16:$D$18)</x:f>
        <x:v>0.27</x:v>
      </x:c>
      <x:c r="L238" s="648" t="n">
        <x:f>SUM('117_价格概率传导'!$D$16:$D$19)</x:f>
        <x:v>0.71</x:v>
      </x:c>
      <x:c r="M238" s="648" t="n">
        <x:f>MAX(0,MIN(H238,L238)-MAX(G238,K238))</x:f>
        <x:v>0</x:v>
      </x:c>
      <x:c r="N238" s="648" t="n">
        <x:f>B238*D238*M238</x:f>
        <x:v>0</x:v>
      </x:c>
      <x:c r="O238" s="647" t="n">
        <x:f>I238</x:f>
        <x:v>279900</x:v>
      </x:c>
      <x:c r="P238" s="647" t="str">
        <x:f>""</x:f>
      </x:c>
      <x:c r="Q238" s="647" t="str">
        <x:f>""</x:f>
      </x:c>
      <x:c r="R238" s="647" t="n">
        <x:f>O238-E238</x:f>
        <x:v>50000</x:v>
      </x:c>
      <x:c r="S238" s="647" t="str">
        <x:f>IF(P238&gt;0,P238-E238,"")</x:f>
      </x:c>
      <x:c r="T238" s="647" t="str">
        <x:f>IF(Q238&gt;0,Q238-E238,"")</x:f>
      </x:c>
      <x:c r="U238" s="648" t="n">
        <x:f>IF(R238&lt;30000,N238,0)</x:f>
        <x:v>0</x:v>
      </x:c>
      <x:c r="V238" s="648" t="n">
        <x:f>IF(P238&gt;0,N238,0)</x:f>
        <x:v>0</x:v>
      </x:c>
      <x:c r="W238" s="648" t="n">
        <x:f>IF(AND(P238&gt;0,S238&lt;0),N238,0)</x:f>
        <x:v>0</x:v>
      </x:c>
      <x:c r="X238" s="648" t="n">
        <x:f>IF(AND(P238&gt;0,S238=0),N238,0)</x:f>
        <x:v>0</x:v>
      </x:c>
      <x:c r="Y238" s="648" t="n">
        <x:f>IF(Q238&gt;0,N238,0)</x:f>
        <x:v>0</x:v>
      </x:c>
      <x:c r="Z238" s="647" t="n">
        <x:f>IF(P238&gt;0,N238*S238,0)</x:f>
        <x:v>0</x:v>
      </x:c>
      <x:c r="AA238" s="647" t="n">
        <x:f>IF(Q238&gt;0,N238*T238,0)</x:f>
        <x:v>0</x:v>
      </x:c>
      <x:c r="AB238" s="647" t="n">
        <x:f>N238*R238</x:f>
        <x:v>0</x:v>
      </x:c>
      <x:c r="AC238" s="647" t="n">
        <x:f>IF(N238&gt;0,R238,999999)</x:f>
        <x:v>999999</x:v>
      </x:c>
      <x:c r="AD238" s="647" t="n">
        <x:f>IF(AND(N238&gt;0,P238&gt;0),S238,999999)</x:f>
        <x:v>999999</x:v>
      </x:c>
      <x:c r="AE238" s="647" t="n">
        <x:f>IF(AND(N238&gt;0,Q238&gt;0),T238,999999)</x:f>
        <x:v>999999</x:v>
      </x:c>
      <x:c r="AF238" s="648" t="n">
        <x:f>B238*D238*F238*J238</x:f>
        <x:v>0.01716</x:v>
      </x:c>
      <x:c r="AG238" s="648" t="n">
        <x:f>IF(P238&gt;0,AF238,0)</x:f>
        <x:v>0</x:v>
      </x:c>
      <x:c r="AH238" s="648" t="n">
        <x:f>IF(AND(P238&gt;0,S238&lt;0),AF238,0)</x:f>
        <x:v>0</x:v>
      </x:c>
      <x:c r="AI238" s="648" t="n">
        <x:f>IF(AND(P238&gt;0,S238=0),AF238,0)</x:f>
        <x:v>0</x:v>
      </x:c>
      <x:c r="AJ238" s="648" t="n">
        <x:f>IF(R238&lt;30000,AF238,0)</x:f>
        <x:v>0</x:v>
      </x:c>
      <x:c r="AK238" s="647" t="n">
        <x:f>IF(P238&gt;0,AF238*S238,0)</x:f>
        <x:v>0</x:v>
      </x:c>
    </x:row>
    <x:row r="239" ht="22" customHeight="1">
      <x:c r="A239" s="19" t="str">
        <x:v>中心</x:v>
      </x:c>
      <x:c r="B239" s="23" t="n">
        <x:f>'114_降本系数'!B27</x:f>
        <x:v>0.5</x:v>
      </x:c>
      <x:c r="C239" s="19" t="str">
        <x:v>L0</x:v>
      </x:c>
      <x:c r="D239" s="23" t="n">
        <x:f>'130_联合算法'!C16</x:f>
        <x:v>0.6</x:v>
      </x:c>
      <x:c r="E239" s="460" t="n">
        <x:f>'117_价格概率传导'!A10</x:f>
        <x:v>229900</x:v>
      </x:c>
      <x:c r="F239" s="23" t="n">
        <x:f>'117_价格概率传导'!D10</x:f>
        <x:v>0.13</x:v>
      </x:c>
      <x:c r="G239" s="23" t="n">
        <x:f>SUM('117_价格概率传导'!$D$6:$D$9)</x:f>
        <x:v>0.8400000000000001</x:v>
      </x:c>
      <x:c r="H239" s="23" t="n">
        <x:f>SUM('117_价格概率传导'!$D$6:$D$10)</x:f>
        <x:v>0.9700000000000001</x:v>
      </x:c>
      <x:c r="I239" s="460" t="n">
        <x:f>'117_价格概率传导'!A20</x:f>
        <x:v>269900</x:v>
      </x:c>
      <x:c r="J239" s="23" t="n">
        <x:f>'117_价格概率传导'!D20</x:f>
        <x:v>0.23</x:v>
      </x:c>
      <x:c r="K239" s="23" t="n">
        <x:f>SUM('117_价格概率传导'!$D$16:$D$19)</x:f>
        <x:v>0.71</x:v>
      </x:c>
      <x:c r="L239" s="23" t="n">
        <x:f>SUM('117_价格概率传导'!$D$16:$D$20)</x:f>
        <x:v>0.94</x:v>
      </x:c>
      <x:c r="M239" s="23" t="n">
        <x:f>MAX(0,MIN(H239,L239)-MAX(G239,K239))</x:f>
        <x:v>0.09999999999999987</x:v>
      </x:c>
      <x:c r="N239" s="23" t="n">
        <x:f>B239*D239*M239</x:f>
        <x:v>0.029999999999999957</x:v>
      </x:c>
      <x:c r="O239" s="460" t="n">
        <x:f>I239</x:f>
        <x:v>269900</x:v>
      </x:c>
      <x:c r="P239" s="460" t="str">
        <x:f>""</x:f>
      </x:c>
      <x:c r="Q239" s="460" t="str">
        <x:f>""</x:f>
      </x:c>
      <x:c r="R239" s="460" t="n">
        <x:f>O239-E239</x:f>
        <x:v>40000</x:v>
      </x:c>
      <x:c r="S239" s="460" t="str">
        <x:f>IF(P239&gt;0,P239-E239,"")</x:f>
      </x:c>
      <x:c r="T239" s="460" t="str">
        <x:f>IF(Q239&gt;0,Q239-E239,"")</x:f>
      </x:c>
      <x:c r="U239" s="23" t="n">
        <x:f>IF(R239&lt;30000,N239,0)</x:f>
        <x:v>0</x:v>
      </x:c>
      <x:c r="V239" s="23" t="n">
        <x:f>IF(P239&gt;0,N239,0)</x:f>
        <x:v>0</x:v>
      </x:c>
      <x:c r="W239" s="23" t="n">
        <x:f>IF(AND(P239&gt;0,S239&lt;0),N239,0)</x:f>
        <x:v>0</x:v>
      </x:c>
      <x:c r="X239" s="23" t="n">
        <x:f>IF(AND(P239&gt;0,S239=0),N239,0)</x:f>
        <x:v>0</x:v>
      </x:c>
      <x:c r="Y239" s="23" t="n">
        <x:f>IF(Q239&gt;0,N239,0)</x:f>
        <x:v>0</x:v>
      </x:c>
      <x:c r="Z239" s="460" t="n">
        <x:f>IF(P239&gt;0,N239*S239,0)</x:f>
        <x:v>0</x:v>
      </x:c>
      <x:c r="AA239" s="460" t="n">
        <x:f>IF(Q239&gt;0,N239*T239,0)</x:f>
        <x:v>0</x:v>
      </x:c>
      <x:c r="AB239" s="460" t="n">
        <x:f>N239*R239</x:f>
        <x:v>1199.9999999999982</x:v>
      </x:c>
      <x:c r="AC239" s="460" t="n">
        <x:f>IF(N239&gt;0,R239,999999)</x:f>
        <x:v>40000</x:v>
      </x:c>
      <x:c r="AD239" s="460" t="n">
        <x:f>IF(AND(N239&gt;0,P239&gt;0),S239,999999)</x:f>
        <x:v>999999</x:v>
      </x:c>
      <x:c r="AE239" s="460" t="n">
        <x:f>IF(AND(N239&gt;0,Q239&gt;0),T239,999999)</x:f>
        <x:v>999999</x:v>
      </x:c>
      <x:c r="AF239" s="23" t="n">
        <x:f>B239*D239*F239*J239</x:f>
        <x:v>0.00897</x:v>
      </x:c>
      <x:c r="AG239" s="23" t="n">
        <x:f>IF(P239&gt;0,AF239,0)</x:f>
        <x:v>0</x:v>
      </x:c>
      <x:c r="AH239" s="23" t="n">
        <x:f>IF(AND(P239&gt;0,S239&lt;0),AF239,0)</x:f>
        <x:v>0</x:v>
      </x:c>
      <x:c r="AI239" s="23" t="n">
        <x:f>IF(AND(P239&gt;0,S239=0),AF239,0)</x:f>
        <x:v>0</x:v>
      </x:c>
      <x:c r="AJ239" s="23" t="n">
        <x:f>IF(R239&lt;30000,AF239,0)</x:f>
        <x:v>0</x:v>
      </x:c>
      <x:c r="AK239" s="460" t="n">
        <x:f>IF(P239&gt;0,AF239*S239,0)</x:f>
        <x:v>0</x:v>
      </x:c>
    </x:row>
    <x:row r="240" ht="22" customHeight="1">
      <x:c r="A240" s="643" t="str">
        <x:v>中心</x:v>
      </x:c>
      <x:c r="B240" s="648" t="n">
        <x:f>'114_降本系数'!B27</x:f>
        <x:v>0.5</x:v>
      </x:c>
      <x:c r="C240" s="643" t="str">
        <x:v>L0</x:v>
      </x:c>
      <x:c r="D240" s="648" t="n">
        <x:f>'130_联合算法'!C16</x:f>
        <x:v>0.6</x:v>
      </x:c>
      <x:c r="E240" s="647" t="n">
        <x:f>'117_价格概率传导'!A10</x:f>
        <x:v>229900</x:v>
      </x:c>
      <x:c r="F240" s="648" t="n">
        <x:f>'117_价格概率传导'!D10</x:f>
        <x:v>0.13</x:v>
      </x:c>
      <x:c r="G240" s="648" t="n">
        <x:f>SUM('117_价格概率传导'!$D$6:$D$9)</x:f>
        <x:v>0.8400000000000001</x:v>
      </x:c>
      <x:c r="H240" s="648" t="n">
        <x:f>SUM('117_价格概率传导'!$D$6:$D$10)</x:f>
        <x:v>0.9700000000000001</x:v>
      </x:c>
      <x:c r="I240" s="647" t="n">
        <x:f>'117_价格概率传导'!A21</x:f>
        <x:v>259900</x:v>
      </x:c>
      <x:c r="J240" s="648" t="n">
        <x:f>'117_价格概率传导'!D21</x:f>
        <x:v>0.06</x:v>
      </x:c>
      <x:c r="K240" s="648" t="n">
        <x:f>SUM('117_价格概率传导'!$D$16:$D$20)</x:f>
        <x:v>0.94</x:v>
      </x:c>
      <x:c r="L240" s="648" t="n">
        <x:f>SUM('117_价格概率传导'!$D$16:$D$21)</x:f>
        <x:v>1</x:v>
      </x:c>
      <x:c r="M240" s="648" t="n">
        <x:f>MAX(0,MIN(H240,L240)-MAX(G240,K240))</x:f>
        <x:v>0.030000000000000138</x:v>
      </x:c>
      <x:c r="N240" s="648" t="n">
        <x:f>B240*D240*M240</x:f>
        <x:v>0.009000000000000041</x:v>
      </x:c>
      <x:c r="O240" s="647" t="n">
        <x:f>I240</x:f>
        <x:v>259900</x:v>
      </x:c>
      <x:c r="P240" s="647" t="str">
        <x:f>""</x:f>
      </x:c>
      <x:c r="Q240" s="647" t="str">
        <x:f>""</x:f>
      </x:c>
      <x:c r="R240" s="647" t="n">
        <x:f>O240-E240</x:f>
        <x:v>30000</x:v>
      </x:c>
      <x:c r="S240" s="647" t="str">
        <x:f>IF(P240&gt;0,P240-E240,"")</x:f>
      </x:c>
      <x:c r="T240" s="647" t="str">
        <x:f>IF(Q240&gt;0,Q240-E240,"")</x:f>
      </x:c>
      <x:c r="U240" s="648" t="n">
        <x:f>IF(R240&lt;30000,N240,0)</x:f>
        <x:v>0</x:v>
      </x:c>
      <x:c r="V240" s="648" t="n">
        <x:f>IF(P240&gt;0,N240,0)</x:f>
        <x:v>0</x:v>
      </x:c>
      <x:c r="W240" s="648" t="n">
        <x:f>IF(AND(P240&gt;0,S240&lt;0),N240,0)</x:f>
        <x:v>0</x:v>
      </x:c>
      <x:c r="X240" s="648" t="n">
        <x:f>IF(AND(P240&gt;0,S240=0),N240,0)</x:f>
        <x:v>0</x:v>
      </x:c>
      <x:c r="Y240" s="648" t="n">
        <x:f>IF(Q240&gt;0,N240,0)</x:f>
        <x:v>0</x:v>
      </x:c>
      <x:c r="Z240" s="647" t="n">
        <x:f>IF(P240&gt;0,N240*S240,0)</x:f>
        <x:v>0</x:v>
      </x:c>
      <x:c r="AA240" s="647" t="n">
        <x:f>IF(Q240&gt;0,N240*T240,0)</x:f>
        <x:v>0</x:v>
      </x:c>
      <x:c r="AB240" s="647" t="n">
        <x:f>N240*R240</x:f>
        <x:v>270.00000000000125</x:v>
      </x:c>
      <x:c r="AC240" s="647" t="n">
        <x:f>IF(N240&gt;0,R240,999999)</x:f>
        <x:v>30000</x:v>
      </x:c>
      <x:c r="AD240" s="647" t="n">
        <x:f>IF(AND(N240&gt;0,P240&gt;0),S240,999999)</x:f>
        <x:v>999999</x:v>
      </x:c>
      <x:c r="AE240" s="647" t="n">
        <x:f>IF(AND(N240&gt;0,Q240&gt;0),T240,999999)</x:f>
        <x:v>999999</x:v>
      </x:c>
      <x:c r="AF240" s="648" t="n">
        <x:f>B240*D240*F240*J240</x:f>
        <x:v>0.00234</x:v>
      </x:c>
      <x:c r="AG240" s="648" t="n">
        <x:f>IF(P240&gt;0,AF240,0)</x:f>
        <x:v>0</x:v>
      </x:c>
      <x:c r="AH240" s="648" t="n">
        <x:f>IF(AND(P240&gt;0,S240&lt;0),AF240,0)</x:f>
        <x:v>0</x:v>
      </x:c>
      <x:c r="AI240" s="648" t="n">
        <x:f>IF(AND(P240&gt;0,S240=0),AF240,0)</x:f>
        <x:v>0</x:v>
      </x:c>
      <x:c r="AJ240" s="648" t="n">
        <x:f>IF(R240&lt;30000,AF240,0)</x:f>
        <x:v>0</x:v>
      </x:c>
      <x:c r="AK240" s="647" t="n">
        <x:f>IF(P240&gt;0,AF240*S240,0)</x:f>
        <x:v>0</x:v>
      </x:c>
    </x:row>
    <x:row r="241" ht="22" customHeight="1">
      <x:c r="A241" s="19" t="str">
        <x:v>中心</x:v>
      </x:c>
      <x:c r="B241" s="23" t="n">
        <x:f>'114_降本系数'!B27</x:f>
        <x:v>0.5</x:v>
      </x:c>
      <x:c r="C241" s="19" t="str">
        <x:v>L0</x:v>
      </x:c>
      <x:c r="D241" s="23" t="n">
        <x:f>'130_联合算法'!C16</x:f>
        <x:v>0.6</x:v>
      </x:c>
      <x:c r="E241" s="460" t="n">
        <x:f>'117_价格概率传导'!A11</x:f>
        <x:v>219900</x:v>
      </x:c>
      <x:c r="F241" s="23" t="n">
        <x:f>'117_价格概率传导'!D11</x:f>
        <x:v>0.03</x:v>
      </x:c>
      <x:c r="G241" s="23" t="n">
        <x:f>SUM('117_价格概率传导'!$D$6:$D$10)</x:f>
        <x:v>0.9700000000000001</x:v>
      </x:c>
      <x:c r="H241" s="23" t="n">
        <x:f>SUM('117_价格概率传导'!$D$6:$D$11)</x:f>
        <x:v>1</x:v>
      </x:c>
      <x:c r="I241" s="460" t="n">
        <x:f>'117_价格概率传导'!A16</x:f>
        <x:v>299900</x:v>
      </x:c>
      <x:c r="J241" s="23" t="n">
        <x:f>'117_价格概率传导'!D16</x:f>
        <x:v>0.02</x:v>
      </x:c>
      <x:c r="K241" s="23" t="n">
        <x:f>0</x:f>
        <x:v>0</x:v>
      </x:c>
      <x:c r="L241" s="23" t="n">
        <x:f>SUM('117_价格概率传导'!$D$16:$D$16)</x:f>
        <x:v>0.02</x:v>
      </x:c>
      <x:c r="M241" s="23" t="n">
        <x:f>MAX(0,MIN(H241,L241)-MAX(G241,K241))</x:f>
        <x:v>0</x:v>
      </x:c>
      <x:c r="N241" s="23" t="n">
        <x:f>B241*D241*M241</x:f>
        <x:v>0</x:v>
      </x:c>
      <x:c r="O241" s="460" t="n">
        <x:f>I241</x:f>
        <x:v>299900</x:v>
      </x:c>
      <x:c r="P241" s="460" t="str">
        <x:f>""</x:f>
      </x:c>
      <x:c r="Q241" s="460" t="str">
        <x:f>""</x:f>
      </x:c>
      <x:c r="R241" s="460" t="n">
        <x:f>O241-E241</x:f>
        <x:v>80000</x:v>
      </x:c>
      <x:c r="S241" s="460" t="str">
        <x:f>IF(P241&gt;0,P241-E241,"")</x:f>
      </x:c>
      <x:c r="T241" s="460" t="str">
        <x:f>IF(Q241&gt;0,Q241-E241,"")</x:f>
      </x:c>
      <x:c r="U241" s="23" t="n">
        <x:f>IF(R241&lt;30000,N241,0)</x:f>
        <x:v>0</x:v>
      </x:c>
      <x:c r="V241" s="23" t="n">
        <x:f>IF(P241&gt;0,N241,0)</x:f>
        <x:v>0</x:v>
      </x:c>
      <x:c r="W241" s="23" t="n">
        <x:f>IF(AND(P241&gt;0,S241&lt;0),N241,0)</x:f>
        <x:v>0</x:v>
      </x:c>
      <x:c r="X241" s="23" t="n">
        <x:f>IF(AND(P241&gt;0,S241=0),N241,0)</x:f>
        <x:v>0</x:v>
      </x:c>
      <x:c r="Y241" s="23" t="n">
        <x:f>IF(Q241&gt;0,N241,0)</x:f>
        <x:v>0</x:v>
      </x:c>
      <x:c r="Z241" s="460" t="n">
        <x:f>IF(P241&gt;0,N241*S241,0)</x:f>
        <x:v>0</x:v>
      </x:c>
      <x:c r="AA241" s="460" t="n">
        <x:f>IF(Q241&gt;0,N241*T241,0)</x:f>
        <x:v>0</x:v>
      </x:c>
      <x:c r="AB241" s="460" t="n">
        <x:f>N241*R241</x:f>
        <x:v>0</x:v>
      </x:c>
      <x:c r="AC241" s="460" t="n">
        <x:f>IF(N241&gt;0,R241,999999)</x:f>
        <x:v>999999</x:v>
      </x:c>
      <x:c r="AD241" s="460" t="n">
        <x:f>IF(AND(N241&gt;0,P241&gt;0),S241,999999)</x:f>
        <x:v>999999</x:v>
      </x:c>
      <x:c r="AE241" s="460" t="n">
        <x:f>IF(AND(N241&gt;0,Q241&gt;0),T241,999999)</x:f>
        <x:v>999999</x:v>
      </x:c>
      <x:c r="AF241" s="23" t="n">
        <x:f>B241*D241*F241*J241</x:f>
        <x:v>0.00017999999999999998</x:v>
      </x:c>
      <x:c r="AG241" s="23" t="n">
        <x:f>IF(P241&gt;0,AF241,0)</x:f>
        <x:v>0</x:v>
      </x:c>
      <x:c r="AH241" s="23" t="n">
        <x:f>IF(AND(P241&gt;0,S241&lt;0),AF241,0)</x:f>
        <x:v>0</x:v>
      </x:c>
      <x:c r="AI241" s="23" t="n">
        <x:f>IF(AND(P241&gt;0,S241=0),AF241,0)</x:f>
        <x:v>0</x:v>
      </x:c>
      <x:c r="AJ241" s="23" t="n">
        <x:f>IF(R241&lt;30000,AF241,0)</x:f>
        <x:v>0</x:v>
      </x:c>
      <x:c r="AK241" s="460" t="n">
        <x:f>IF(P241&gt;0,AF241*S241,0)</x:f>
        <x:v>0</x:v>
      </x:c>
    </x:row>
    <x:row r="242" ht="22" customHeight="1">
      <x:c r="A242" s="643" t="str">
        <x:v>中心</x:v>
      </x:c>
      <x:c r="B242" s="648" t="n">
        <x:f>'114_降本系数'!B27</x:f>
        <x:v>0.5</x:v>
      </x:c>
      <x:c r="C242" s="643" t="str">
        <x:v>L0</x:v>
      </x:c>
      <x:c r="D242" s="648" t="n">
        <x:f>'130_联合算法'!C16</x:f>
        <x:v>0.6</x:v>
      </x:c>
      <x:c r="E242" s="647" t="n">
        <x:f>'117_价格概率传导'!A11</x:f>
        <x:v>219900</x:v>
      </x:c>
      <x:c r="F242" s="648" t="n">
        <x:f>'117_价格概率传导'!D11</x:f>
        <x:v>0.03</x:v>
      </x:c>
      <x:c r="G242" s="648" t="n">
        <x:f>SUM('117_价格概率传导'!$D$6:$D$10)</x:f>
        <x:v>0.9700000000000001</x:v>
      </x:c>
      <x:c r="H242" s="648" t="n">
        <x:f>SUM('117_价格概率传导'!$D$6:$D$11)</x:f>
        <x:v>1</x:v>
      </x:c>
      <x:c r="I242" s="647" t="n">
        <x:f>'117_价格概率传导'!A17</x:f>
        <x:v>293900</x:v>
      </x:c>
      <x:c r="J242" s="648" t="n">
        <x:f>'117_价格概率传导'!D17</x:f>
        <x:v>0.03</x:v>
      </x:c>
      <x:c r="K242" s="648" t="n">
        <x:f>SUM('117_价格概率传导'!$D$16:$D$16)</x:f>
        <x:v>0.02</x:v>
      </x:c>
      <x:c r="L242" s="648" t="n">
        <x:f>SUM('117_价格概率传导'!$D$16:$D$17)</x:f>
        <x:v>0.05</x:v>
      </x:c>
      <x:c r="M242" s="648" t="n">
        <x:f>MAX(0,MIN(H242,L242)-MAX(G242,K242))</x:f>
        <x:v>0</x:v>
      </x:c>
      <x:c r="N242" s="648" t="n">
        <x:f>B242*D242*M242</x:f>
        <x:v>0</x:v>
      </x:c>
      <x:c r="O242" s="647" t="n">
        <x:f>I242</x:f>
        <x:v>293900</x:v>
      </x:c>
      <x:c r="P242" s="647" t="str">
        <x:f>""</x:f>
      </x:c>
      <x:c r="Q242" s="647" t="str">
        <x:f>""</x:f>
      </x:c>
      <x:c r="R242" s="647" t="n">
        <x:f>O242-E242</x:f>
        <x:v>74000</x:v>
      </x:c>
      <x:c r="S242" s="647" t="str">
        <x:f>IF(P242&gt;0,P242-E242,"")</x:f>
      </x:c>
      <x:c r="T242" s="647" t="str">
        <x:f>IF(Q242&gt;0,Q242-E242,"")</x:f>
      </x:c>
      <x:c r="U242" s="648" t="n">
        <x:f>IF(R242&lt;30000,N242,0)</x:f>
        <x:v>0</x:v>
      </x:c>
      <x:c r="V242" s="648" t="n">
        <x:f>IF(P242&gt;0,N242,0)</x:f>
        <x:v>0</x:v>
      </x:c>
      <x:c r="W242" s="648" t="n">
        <x:f>IF(AND(P242&gt;0,S242&lt;0),N242,0)</x:f>
        <x:v>0</x:v>
      </x:c>
      <x:c r="X242" s="648" t="n">
        <x:f>IF(AND(P242&gt;0,S242=0),N242,0)</x:f>
        <x:v>0</x:v>
      </x:c>
      <x:c r="Y242" s="648" t="n">
        <x:f>IF(Q242&gt;0,N242,0)</x:f>
        <x:v>0</x:v>
      </x:c>
      <x:c r="Z242" s="647" t="n">
        <x:f>IF(P242&gt;0,N242*S242,0)</x:f>
        <x:v>0</x:v>
      </x:c>
      <x:c r="AA242" s="647" t="n">
        <x:f>IF(Q242&gt;0,N242*T242,0)</x:f>
        <x:v>0</x:v>
      </x:c>
      <x:c r="AB242" s="647" t="n">
        <x:f>N242*R242</x:f>
        <x:v>0</x:v>
      </x:c>
      <x:c r="AC242" s="647" t="n">
        <x:f>IF(N242&gt;0,R242,999999)</x:f>
        <x:v>999999</x:v>
      </x:c>
      <x:c r="AD242" s="647" t="n">
        <x:f>IF(AND(N242&gt;0,P242&gt;0),S242,999999)</x:f>
        <x:v>999999</x:v>
      </x:c>
      <x:c r="AE242" s="647" t="n">
        <x:f>IF(AND(N242&gt;0,Q242&gt;0),T242,999999)</x:f>
        <x:v>999999</x:v>
      </x:c>
      <x:c r="AF242" s="648" t="n">
        <x:f>B242*D242*F242*J242</x:f>
        <x:v>0.00026999999999999995</x:v>
      </x:c>
      <x:c r="AG242" s="648" t="n">
        <x:f>IF(P242&gt;0,AF242,0)</x:f>
        <x:v>0</x:v>
      </x:c>
      <x:c r="AH242" s="648" t="n">
        <x:f>IF(AND(P242&gt;0,S242&lt;0),AF242,0)</x:f>
        <x:v>0</x:v>
      </x:c>
      <x:c r="AI242" s="648" t="n">
        <x:f>IF(AND(P242&gt;0,S242=0),AF242,0)</x:f>
        <x:v>0</x:v>
      </x:c>
      <x:c r="AJ242" s="648" t="n">
        <x:f>IF(R242&lt;30000,AF242,0)</x:f>
        <x:v>0</x:v>
      </x:c>
      <x:c r="AK242" s="647" t="n">
        <x:f>IF(P242&gt;0,AF242*S242,0)</x:f>
        <x:v>0</x:v>
      </x:c>
    </x:row>
    <x:row r="243" ht="22" customHeight="1">
      <x:c r="A243" s="19" t="str">
        <x:v>中心</x:v>
      </x:c>
      <x:c r="B243" s="23" t="n">
        <x:f>'114_降本系数'!B27</x:f>
        <x:v>0.5</x:v>
      </x:c>
      <x:c r="C243" s="19" t="str">
        <x:v>L0</x:v>
      </x:c>
      <x:c r="D243" s="23" t="n">
        <x:f>'130_联合算法'!C16</x:f>
        <x:v>0.6</x:v>
      </x:c>
      <x:c r="E243" s="460" t="n">
        <x:f>'117_价格概率传导'!A11</x:f>
        <x:v>219900</x:v>
      </x:c>
      <x:c r="F243" s="23" t="n">
        <x:f>'117_价格概率传导'!D11</x:f>
        <x:v>0.03</x:v>
      </x:c>
      <x:c r="G243" s="23" t="n">
        <x:f>SUM('117_价格概率传导'!$D$6:$D$10)</x:f>
        <x:v>0.9700000000000001</x:v>
      </x:c>
      <x:c r="H243" s="23" t="n">
        <x:f>SUM('117_价格概率传导'!$D$6:$D$11)</x:f>
        <x:v>1</x:v>
      </x:c>
      <x:c r="I243" s="460" t="n">
        <x:f>'117_价格概率传导'!A18</x:f>
        <x:v>289900</x:v>
      </x:c>
      <x:c r="J243" s="23" t="n">
        <x:f>'117_价格概率传导'!D18</x:f>
        <x:v>0.22</x:v>
      </x:c>
      <x:c r="K243" s="23" t="n">
        <x:f>SUM('117_价格概率传导'!$D$16:$D$17)</x:f>
        <x:v>0.05</x:v>
      </x:c>
      <x:c r="L243" s="23" t="n">
        <x:f>SUM('117_价格概率传导'!$D$16:$D$18)</x:f>
        <x:v>0.27</x:v>
      </x:c>
      <x:c r="M243" s="23" t="n">
        <x:f>MAX(0,MIN(H243,L243)-MAX(G243,K243))</x:f>
        <x:v>0</x:v>
      </x:c>
      <x:c r="N243" s="23" t="n">
        <x:f>B243*D243*M243</x:f>
        <x:v>0</x:v>
      </x:c>
      <x:c r="O243" s="460" t="n">
        <x:f>I243</x:f>
        <x:v>289900</x:v>
      </x:c>
      <x:c r="P243" s="460" t="str">
        <x:f>""</x:f>
      </x:c>
      <x:c r="Q243" s="460" t="str">
        <x:f>""</x:f>
      </x:c>
      <x:c r="R243" s="460" t="n">
        <x:f>O243-E243</x:f>
        <x:v>70000</x:v>
      </x:c>
      <x:c r="S243" s="460" t="str">
        <x:f>IF(P243&gt;0,P243-E243,"")</x:f>
      </x:c>
      <x:c r="T243" s="460" t="str">
        <x:f>IF(Q243&gt;0,Q243-E243,"")</x:f>
      </x:c>
      <x:c r="U243" s="23" t="n">
        <x:f>IF(R243&lt;30000,N243,0)</x:f>
        <x:v>0</x:v>
      </x:c>
      <x:c r="V243" s="23" t="n">
        <x:f>IF(P243&gt;0,N243,0)</x:f>
        <x:v>0</x:v>
      </x:c>
      <x:c r="W243" s="23" t="n">
        <x:f>IF(AND(P243&gt;0,S243&lt;0),N243,0)</x:f>
        <x:v>0</x:v>
      </x:c>
      <x:c r="X243" s="23" t="n">
        <x:f>IF(AND(P243&gt;0,S243=0),N243,0)</x:f>
        <x:v>0</x:v>
      </x:c>
      <x:c r="Y243" s="23" t="n">
        <x:f>IF(Q243&gt;0,N243,0)</x:f>
        <x:v>0</x:v>
      </x:c>
      <x:c r="Z243" s="460" t="n">
        <x:f>IF(P243&gt;0,N243*S243,0)</x:f>
        <x:v>0</x:v>
      </x:c>
      <x:c r="AA243" s="460" t="n">
        <x:f>IF(Q243&gt;0,N243*T243,0)</x:f>
        <x:v>0</x:v>
      </x:c>
      <x:c r="AB243" s="460" t="n">
        <x:f>N243*R243</x:f>
        <x:v>0</x:v>
      </x:c>
      <x:c r="AC243" s="460" t="n">
        <x:f>IF(N243&gt;0,R243,999999)</x:f>
        <x:v>999999</x:v>
      </x:c>
      <x:c r="AD243" s="460" t="n">
        <x:f>IF(AND(N243&gt;0,P243&gt;0),S243,999999)</x:f>
        <x:v>999999</x:v>
      </x:c>
      <x:c r="AE243" s="460" t="n">
        <x:f>IF(AND(N243&gt;0,Q243&gt;0),T243,999999)</x:f>
        <x:v>999999</x:v>
      </x:c>
      <x:c r="AF243" s="23" t="n">
        <x:f>B243*D243*F243*J243</x:f>
        <x:v>0.00198</x:v>
      </x:c>
      <x:c r="AG243" s="23" t="n">
        <x:f>IF(P243&gt;0,AF243,0)</x:f>
        <x:v>0</x:v>
      </x:c>
      <x:c r="AH243" s="23" t="n">
        <x:f>IF(AND(P243&gt;0,S243&lt;0),AF243,0)</x:f>
        <x:v>0</x:v>
      </x:c>
      <x:c r="AI243" s="23" t="n">
        <x:f>IF(AND(P243&gt;0,S243=0),AF243,0)</x:f>
        <x:v>0</x:v>
      </x:c>
      <x:c r="AJ243" s="23" t="n">
        <x:f>IF(R243&lt;30000,AF243,0)</x:f>
        <x:v>0</x:v>
      </x:c>
      <x:c r="AK243" s="460" t="n">
        <x:f>IF(P243&gt;0,AF243*S243,0)</x:f>
        <x:v>0</x:v>
      </x:c>
    </x:row>
    <x:row r="244" ht="22" customHeight="1">
      <x:c r="A244" s="643" t="str">
        <x:v>中心</x:v>
      </x:c>
      <x:c r="B244" s="648" t="n">
        <x:f>'114_降本系数'!B27</x:f>
        <x:v>0.5</x:v>
      </x:c>
      <x:c r="C244" s="643" t="str">
        <x:v>L0</x:v>
      </x:c>
      <x:c r="D244" s="648" t="n">
        <x:f>'130_联合算法'!C16</x:f>
        <x:v>0.6</x:v>
      </x:c>
      <x:c r="E244" s="647" t="n">
        <x:f>'117_价格概率传导'!A11</x:f>
        <x:v>219900</x:v>
      </x:c>
      <x:c r="F244" s="648" t="n">
        <x:f>'117_价格概率传导'!D11</x:f>
        <x:v>0.03</x:v>
      </x:c>
      <x:c r="G244" s="648" t="n">
        <x:f>SUM('117_价格概率传导'!$D$6:$D$10)</x:f>
        <x:v>0.9700000000000001</x:v>
      </x:c>
      <x:c r="H244" s="648" t="n">
        <x:f>SUM('117_价格概率传导'!$D$6:$D$11)</x:f>
        <x:v>1</x:v>
      </x:c>
      <x:c r="I244" s="647" t="n">
        <x:f>'117_价格概率传导'!A19</x:f>
        <x:v>279900</x:v>
      </x:c>
      <x:c r="J244" s="648" t="n">
        <x:f>'117_价格概率传导'!D19</x:f>
        <x:v>0.44</x:v>
      </x:c>
      <x:c r="K244" s="648" t="n">
        <x:f>SUM('117_价格概率传导'!$D$16:$D$18)</x:f>
        <x:v>0.27</x:v>
      </x:c>
      <x:c r="L244" s="648" t="n">
        <x:f>SUM('117_价格概率传导'!$D$16:$D$19)</x:f>
        <x:v>0.71</x:v>
      </x:c>
      <x:c r="M244" s="648" t="n">
        <x:f>MAX(0,MIN(H244,L244)-MAX(G244,K244))</x:f>
        <x:v>0</x:v>
      </x:c>
      <x:c r="N244" s="648" t="n">
        <x:f>B244*D244*M244</x:f>
        <x:v>0</x:v>
      </x:c>
      <x:c r="O244" s="647" t="n">
        <x:f>I244</x:f>
        <x:v>279900</x:v>
      </x:c>
      <x:c r="P244" s="647" t="str">
        <x:f>""</x:f>
      </x:c>
      <x:c r="Q244" s="647" t="str">
        <x:f>""</x:f>
      </x:c>
      <x:c r="R244" s="647" t="n">
        <x:f>O244-E244</x:f>
        <x:v>60000</x:v>
      </x:c>
      <x:c r="S244" s="647" t="str">
        <x:f>IF(P244&gt;0,P244-E244,"")</x:f>
      </x:c>
      <x:c r="T244" s="647" t="str">
        <x:f>IF(Q244&gt;0,Q244-E244,"")</x:f>
      </x:c>
      <x:c r="U244" s="648" t="n">
        <x:f>IF(R244&lt;30000,N244,0)</x:f>
        <x:v>0</x:v>
      </x:c>
      <x:c r="V244" s="648" t="n">
        <x:f>IF(P244&gt;0,N244,0)</x:f>
        <x:v>0</x:v>
      </x:c>
      <x:c r="W244" s="648" t="n">
        <x:f>IF(AND(P244&gt;0,S244&lt;0),N244,0)</x:f>
        <x:v>0</x:v>
      </x:c>
      <x:c r="X244" s="648" t="n">
        <x:f>IF(AND(P244&gt;0,S244=0),N244,0)</x:f>
        <x:v>0</x:v>
      </x:c>
      <x:c r="Y244" s="648" t="n">
        <x:f>IF(Q244&gt;0,N244,0)</x:f>
        <x:v>0</x:v>
      </x:c>
      <x:c r="Z244" s="647" t="n">
        <x:f>IF(P244&gt;0,N244*S244,0)</x:f>
        <x:v>0</x:v>
      </x:c>
      <x:c r="AA244" s="647" t="n">
        <x:f>IF(Q244&gt;0,N244*T244,0)</x:f>
        <x:v>0</x:v>
      </x:c>
      <x:c r="AB244" s="647" t="n">
        <x:f>N244*R244</x:f>
        <x:v>0</x:v>
      </x:c>
      <x:c r="AC244" s="647" t="n">
        <x:f>IF(N244&gt;0,R244,999999)</x:f>
        <x:v>999999</x:v>
      </x:c>
      <x:c r="AD244" s="647" t="n">
        <x:f>IF(AND(N244&gt;0,P244&gt;0),S244,999999)</x:f>
        <x:v>999999</x:v>
      </x:c>
      <x:c r="AE244" s="647" t="n">
        <x:f>IF(AND(N244&gt;0,Q244&gt;0),T244,999999)</x:f>
        <x:v>999999</x:v>
      </x:c>
      <x:c r="AF244" s="648" t="n">
        <x:f>B244*D244*F244*J244</x:f>
        <x:v>0.00396</x:v>
      </x:c>
      <x:c r="AG244" s="648" t="n">
        <x:f>IF(P244&gt;0,AF244,0)</x:f>
        <x:v>0</x:v>
      </x:c>
      <x:c r="AH244" s="648" t="n">
        <x:f>IF(AND(P244&gt;0,S244&lt;0),AF244,0)</x:f>
        <x:v>0</x:v>
      </x:c>
      <x:c r="AI244" s="648" t="n">
        <x:f>IF(AND(P244&gt;0,S244=0),AF244,0)</x:f>
        <x:v>0</x:v>
      </x:c>
      <x:c r="AJ244" s="648" t="n">
        <x:f>IF(R244&lt;30000,AF244,0)</x:f>
        <x:v>0</x:v>
      </x:c>
      <x:c r="AK244" s="647" t="n">
        <x:f>IF(P244&gt;0,AF244*S244,0)</x:f>
        <x:v>0</x:v>
      </x:c>
    </x:row>
    <x:row r="245" ht="22" customHeight="1">
      <x:c r="A245" s="19" t="str">
        <x:v>中心</x:v>
      </x:c>
      <x:c r="B245" s="23" t="n">
        <x:f>'114_降本系数'!B27</x:f>
        <x:v>0.5</x:v>
      </x:c>
      <x:c r="C245" s="19" t="str">
        <x:v>L0</x:v>
      </x:c>
      <x:c r="D245" s="23" t="n">
        <x:f>'130_联合算法'!C16</x:f>
        <x:v>0.6</x:v>
      </x:c>
      <x:c r="E245" s="460" t="n">
        <x:f>'117_价格概率传导'!A11</x:f>
        <x:v>219900</x:v>
      </x:c>
      <x:c r="F245" s="23" t="n">
        <x:f>'117_价格概率传导'!D11</x:f>
        <x:v>0.03</x:v>
      </x:c>
      <x:c r="G245" s="23" t="n">
        <x:f>SUM('117_价格概率传导'!$D$6:$D$10)</x:f>
        <x:v>0.9700000000000001</x:v>
      </x:c>
      <x:c r="H245" s="23" t="n">
        <x:f>SUM('117_价格概率传导'!$D$6:$D$11)</x:f>
        <x:v>1</x:v>
      </x:c>
      <x:c r="I245" s="460" t="n">
        <x:f>'117_价格概率传导'!A20</x:f>
        <x:v>269900</x:v>
      </x:c>
      <x:c r="J245" s="23" t="n">
        <x:f>'117_价格概率传导'!D20</x:f>
        <x:v>0.23</x:v>
      </x:c>
      <x:c r="K245" s="23" t="n">
        <x:f>SUM('117_价格概率传导'!$D$16:$D$19)</x:f>
        <x:v>0.71</x:v>
      </x:c>
      <x:c r="L245" s="23" t="n">
        <x:f>SUM('117_价格概率传导'!$D$16:$D$20)</x:f>
        <x:v>0.94</x:v>
      </x:c>
      <x:c r="M245" s="23" t="n">
        <x:f>MAX(0,MIN(H245,L245)-MAX(G245,K245))</x:f>
        <x:v>0</x:v>
      </x:c>
      <x:c r="N245" s="23" t="n">
        <x:f>B245*D245*M245</x:f>
        <x:v>0</x:v>
      </x:c>
      <x:c r="O245" s="460" t="n">
        <x:f>I245</x:f>
        <x:v>269900</x:v>
      </x:c>
      <x:c r="P245" s="460" t="str">
        <x:f>""</x:f>
      </x:c>
      <x:c r="Q245" s="460" t="str">
        <x:f>""</x:f>
      </x:c>
      <x:c r="R245" s="460" t="n">
        <x:f>O245-E245</x:f>
        <x:v>50000</x:v>
      </x:c>
      <x:c r="S245" s="460" t="str">
        <x:f>IF(P245&gt;0,P245-E245,"")</x:f>
      </x:c>
      <x:c r="T245" s="460" t="str">
        <x:f>IF(Q245&gt;0,Q245-E245,"")</x:f>
      </x:c>
      <x:c r="U245" s="23" t="n">
        <x:f>IF(R245&lt;30000,N245,0)</x:f>
        <x:v>0</x:v>
      </x:c>
      <x:c r="V245" s="23" t="n">
        <x:f>IF(P245&gt;0,N245,0)</x:f>
        <x:v>0</x:v>
      </x:c>
      <x:c r="W245" s="23" t="n">
        <x:f>IF(AND(P245&gt;0,S245&lt;0),N245,0)</x:f>
        <x:v>0</x:v>
      </x:c>
      <x:c r="X245" s="23" t="n">
        <x:f>IF(AND(P245&gt;0,S245=0),N245,0)</x:f>
        <x:v>0</x:v>
      </x:c>
      <x:c r="Y245" s="23" t="n">
        <x:f>IF(Q245&gt;0,N245,0)</x:f>
        <x:v>0</x:v>
      </x:c>
      <x:c r="Z245" s="460" t="n">
        <x:f>IF(P245&gt;0,N245*S245,0)</x:f>
        <x:v>0</x:v>
      </x:c>
      <x:c r="AA245" s="460" t="n">
        <x:f>IF(Q245&gt;0,N245*T245,0)</x:f>
        <x:v>0</x:v>
      </x:c>
      <x:c r="AB245" s="460" t="n">
        <x:f>N245*R245</x:f>
        <x:v>0</x:v>
      </x:c>
      <x:c r="AC245" s="460" t="n">
        <x:f>IF(N245&gt;0,R245,999999)</x:f>
        <x:v>999999</x:v>
      </x:c>
      <x:c r="AD245" s="460" t="n">
        <x:f>IF(AND(N245&gt;0,P245&gt;0),S245,999999)</x:f>
        <x:v>999999</x:v>
      </x:c>
      <x:c r="AE245" s="460" t="n">
        <x:f>IF(AND(N245&gt;0,Q245&gt;0),T245,999999)</x:f>
        <x:v>999999</x:v>
      </x:c>
      <x:c r="AF245" s="23" t="n">
        <x:f>B245*D245*F245*J245</x:f>
        <x:v>0.00207</x:v>
      </x:c>
      <x:c r="AG245" s="23" t="n">
        <x:f>IF(P245&gt;0,AF245,0)</x:f>
        <x:v>0</x:v>
      </x:c>
      <x:c r="AH245" s="23" t="n">
        <x:f>IF(AND(P245&gt;0,S245&lt;0),AF245,0)</x:f>
        <x:v>0</x:v>
      </x:c>
      <x:c r="AI245" s="23" t="n">
        <x:f>IF(AND(P245&gt;0,S245=0),AF245,0)</x:f>
        <x:v>0</x:v>
      </x:c>
      <x:c r="AJ245" s="23" t="n">
        <x:f>IF(R245&lt;30000,AF245,0)</x:f>
        <x:v>0</x:v>
      </x:c>
      <x:c r="AK245" s="460" t="n">
        <x:f>IF(P245&gt;0,AF245*S245,0)</x:f>
        <x:v>0</x:v>
      </x:c>
    </x:row>
    <x:row r="246" ht="22" customHeight="1">
      <x:c r="A246" s="643" t="str">
        <x:v>中心</x:v>
      </x:c>
      <x:c r="B246" s="648" t="n">
        <x:f>'114_降本系数'!B27</x:f>
        <x:v>0.5</x:v>
      </x:c>
      <x:c r="C246" s="643" t="str">
        <x:v>L0</x:v>
      </x:c>
      <x:c r="D246" s="648" t="n">
        <x:f>'130_联合算法'!C16</x:f>
        <x:v>0.6</x:v>
      </x:c>
      <x:c r="E246" s="647" t="n">
        <x:f>'117_价格概率传导'!A11</x:f>
        <x:v>219900</x:v>
      </x:c>
      <x:c r="F246" s="648" t="n">
        <x:f>'117_价格概率传导'!D11</x:f>
        <x:v>0.03</x:v>
      </x:c>
      <x:c r="G246" s="648" t="n">
        <x:f>SUM('117_价格概率传导'!$D$6:$D$10)</x:f>
        <x:v>0.9700000000000001</x:v>
      </x:c>
      <x:c r="H246" s="648" t="n">
        <x:f>SUM('117_价格概率传导'!$D$6:$D$11)</x:f>
        <x:v>1</x:v>
      </x:c>
      <x:c r="I246" s="647" t="n">
        <x:f>'117_价格概率传导'!A21</x:f>
        <x:v>259900</x:v>
      </x:c>
      <x:c r="J246" s="648" t="n">
        <x:f>'117_价格概率传导'!D21</x:f>
        <x:v>0.06</x:v>
      </x:c>
      <x:c r="K246" s="648" t="n">
        <x:f>SUM('117_价格概率传导'!$D$16:$D$20)</x:f>
        <x:v>0.94</x:v>
      </x:c>
      <x:c r="L246" s="648" t="n">
        <x:f>SUM('117_价格概率传导'!$D$16:$D$21)</x:f>
        <x:v>1</x:v>
      </x:c>
      <x:c r="M246" s="648" t="n">
        <x:f>MAX(0,MIN(H246,L246)-MAX(G246,K246))</x:f>
        <x:v>0.029999999999999916</x:v>
      </x:c>
      <x:c r="N246" s="648" t="n">
        <x:f>B246*D246*M246</x:f>
        <x:v>0.008999999999999975</x:v>
      </x:c>
      <x:c r="O246" s="647" t="n">
        <x:f>I246</x:f>
        <x:v>259900</x:v>
      </x:c>
      <x:c r="P246" s="647" t="str">
        <x:f>""</x:f>
      </x:c>
      <x:c r="Q246" s="647" t="str">
        <x:f>""</x:f>
      </x:c>
      <x:c r="R246" s="647" t="n">
        <x:f>O246-E246</x:f>
        <x:v>40000</x:v>
      </x:c>
      <x:c r="S246" s="647" t="str">
        <x:f>IF(P246&gt;0,P246-E246,"")</x:f>
      </x:c>
      <x:c r="T246" s="647" t="str">
        <x:f>IF(Q246&gt;0,Q246-E246,"")</x:f>
      </x:c>
      <x:c r="U246" s="648" t="n">
        <x:f>IF(R246&lt;30000,N246,0)</x:f>
        <x:v>0</x:v>
      </x:c>
      <x:c r="V246" s="648" t="n">
        <x:f>IF(P246&gt;0,N246,0)</x:f>
        <x:v>0</x:v>
      </x:c>
      <x:c r="W246" s="648" t="n">
        <x:f>IF(AND(P246&gt;0,S246&lt;0),N246,0)</x:f>
        <x:v>0</x:v>
      </x:c>
      <x:c r="X246" s="648" t="n">
        <x:f>IF(AND(P246&gt;0,S246=0),N246,0)</x:f>
        <x:v>0</x:v>
      </x:c>
      <x:c r="Y246" s="648" t="n">
        <x:f>IF(Q246&gt;0,N246,0)</x:f>
        <x:v>0</x:v>
      </x:c>
      <x:c r="Z246" s="647" t="n">
        <x:f>IF(P246&gt;0,N246*S246,0)</x:f>
        <x:v>0</x:v>
      </x:c>
      <x:c r="AA246" s="647" t="n">
        <x:f>IF(Q246&gt;0,N246*T246,0)</x:f>
        <x:v>0</x:v>
      </x:c>
      <x:c r="AB246" s="647" t="n">
        <x:f>N246*R246</x:f>
        <x:v>359.999999999999</x:v>
      </x:c>
      <x:c r="AC246" s="647" t="n">
        <x:f>IF(N246&gt;0,R246,999999)</x:f>
        <x:v>40000</x:v>
      </x:c>
      <x:c r="AD246" s="647" t="n">
        <x:f>IF(AND(N246&gt;0,P246&gt;0),S246,999999)</x:f>
        <x:v>999999</x:v>
      </x:c>
      <x:c r="AE246" s="647" t="n">
        <x:f>IF(AND(N246&gt;0,Q246&gt;0),T246,999999)</x:f>
        <x:v>999999</x:v>
      </x:c>
      <x:c r="AF246" s="648" t="n">
        <x:f>B246*D246*F246*J246</x:f>
        <x:v>0.0005399999999999999</x:v>
      </x:c>
      <x:c r="AG246" s="648" t="n">
        <x:f>IF(P246&gt;0,AF246,0)</x:f>
        <x:v>0</x:v>
      </x:c>
      <x:c r="AH246" s="648" t="n">
        <x:f>IF(AND(P246&gt;0,S246&lt;0),AF246,0)</x:f>
        <x:v>0</x:v>
      </x:c>
      <x:c r="AI246" s="648" t="n">
        <x:f>IF(AND(P246&gt;0,S246=0),AF246,0)</x:f>
        <x:v>0</x:v>
      </x:c>
      <x:c r="AJ246" s="648" t="n">
        <x:f>IF(R246&lt;30000,AF246,0)</x:f>
        <x:v>0</x:v>
      </x:c>
      <x:c r="AK246" s="647" t="n">
        <x:f>IF(P246&gt;0,AF246*S246,0)</x:f>
        <x:v>0</x:v>
      </x:c>
    </x:row>
    <x:row r="247" ht="22" customHeight="1">
      <x:c r="A247" s="19" t="str">
        <x:v>中心</x:v>
      </x:c>
      <x:c r="B247" s="23" t="n">
        <x:f>'114_降本系数'!B27</x:f>
        <x:v>0.5</x:v>
      </x:c>
      <x:c r="C247" s="19" t="str">
        <x:v>L1A</x:v>
      </x:c>
      <x:c r="D247" s="23" t="n">
        <x:f>'130_联合算法'!C17</x:f>
        <x:v>0.15</x:v>
      </x:c>
      <x:c r="E247" s="460" t="n">
        <x:f>'117_价格概率传导'!A6</x:f>
        <x:v>259900</x:v>
      </x:c>
      <x:c r="F247" s="23" t="n">
        <x:f>'117_价格概率传导'!D6</x:f>
        <x:v>0.03</x:v>
      </x:c>
      <x:c r="G247" s="23" t="n">
        <x:f>0</x:f>
        <x:v>0</x:v>
      </x:c>
      <x:c r="H247" s="23" t="n">
        <x:f>SUM('117_价格概率传导'!$D$6:$D$6)</x:f>
        <x:v>0.03</x:v>
      </x:c>
      <x:c r="I247" s="460" t="n">
        <x:f>'117_价格概率传导'!A16</x:f>
        <x:v>299900</x:v>
      </x:c>
      <x:c r="J247" s="23" t="n">
        <x:f>'117_价格概率传导'!D16</x:f>
        <x:v>0.02</x:v>
      </x:c>
      <x:c r="K247" s="23" t="n">
        <x:f>0</x:f>
        <x:v>0</x:v>
      </x:c>
      <x:c r="L247" s="23" t="n">
        <x:f>SUM('117_价格概率传导'!$D$16:$D$16)</x:f>
        <x:v>0.02</x:v>
      </x:c>
      <x:c r="M247" s="23" t="n">
        <x:f>MAX(0,MIN(H247,L247)-MAX(G247,K247))</x:f>
        <x:v>0.02</x:v>
      </x:c>
      <x:c r="N247" s="23" t="n">
        <x:f>B247*D247*M247</x:f>
        <x:v>0.0015</x:v>
      </x:c>
      <x:c r="O247" s="460" t="n">
        <x:f>MIN(299900,I247+20000)</x:f>
        <x:v>299900</x:v>
      </x:c>
      <x:c r="P247" s="460" t="n">
        <x:f>O247-30000</x:f>
        <x:v>269900</x:v>
      </x:c>
      <x:c r="Q247" s="460" t="str">
        <x:f>""</x:f>
      </x:c>
      <x:c r="R247" s="460" t="n">
        <x:f>O247-E247</x:f>
        <x:v>40000</x:v>
      </x:c>
      <x:c r="S247" s="460" t="n">
        <x:f>IF(P247&gt;0,P247-E247,"")</x:f>
        <x:v>10000</x:v>
      </x:c>
      <x:c r="T247" s="460" t="str">
        <x:f>IF(Q247&gt;0,Q247-E247,"")</x:f>
      </x:c>
      <x:c r="U247" s="23" t="n">
        <x:f>IF(R247&lt;30000,N247,0)</x:f>
        <x:v>0</x:v>
      </x:c>
      <x:c r="V247" s="23" t="n">
        <x:f>IF(P247&gt;0,N247,0)</x:f>
        <x:v>0.0015</x:v>
      </x:c>
      <x:c r="W247" s="23" t="n">
        <x:f>IF(AND(P247&gt;0,S247&lt;0),N247,0)</x:f>
        <x:v>0</x:v>
      </x:c>
      <x:c r="X247" s="23" t="n">
        <x:f>IF(AND(P247&gt;0,S247=0),N247,0)</x:f>
        <x:v>0</x:v>
      </x:c>
      <x:c r="Y247" s="23" t="n">
        <x:f>IF(Q247&gt;0,N247,0)</x:f>
        <x:v>0</x:v>
      </x:c>
      <x:c r="Z247" s="460" t="n">
        <x:f>IF(P247&gt;0,N247*S247,0)</x:f>
        <x:v>15</x:v>
      </x:c>
      <x:c r="AA247" s="460" t="n">
        <x:f>IF(Q247&gt;0,N247*T247,0)</x:f>
        <x:v>0</x:v>
      </x:c>
      <x:c r="AB247" s="460" t="n">
        <x:f>N247*R247</x:f>
        <x:v>60</x:v>
      </x:c>
      <x:c r="AC247" s="460" t="n">
        <x:f>IF(N247&gt;0,R247,999999)</x:f>
        <x:v>40000</x:v>
      </x:c>
      <x:c r="AD247" s="460" t="n">
        <x:f>IF(AND(N247&gt;0,P247&gt;0),S247,999999)</x:f>
        <x:v>10000</x:v>
      </x:c>
      <x:c r="AE247" s="460" t="n">
        <x:f>IF(AND(N247&gt;0,Q247&gt;0),T247,999999)</x:f>
        <x:v>999999</x:v>
      </x:c>
      <x:c r="AF247" s="23" t="n">
        <x:f>B247*D247*F247*J247</x:f>
        <x:v>0.000044999999999999996</x:v>
      </x:c>
      <x:c r="AG247" s="23" t="n">
        <x:f>IF(P247&gt;0,AF247,0)</x:f>
        <x:v>0.000044999999999999996</x:v>
      </x:c>
      <x:c r="AH247" s="23" t="n">
        <x:f>IF(AND(P247&gt;0,S247&lt;0),AF247,0)</x:f>
        <x:v>0</x:v>
      </x:c>
      <x:c r="AI247" s="23" t="n">
        <x:f>IF(AND(P247&gt;0,S247=0),AF247,0)</x:f>
        <x:v>0</x:v>
      </x:c>
      <x:c r="AJ247" s="23" t="n">
        <x:f>IF(R247&lt;30000,AF247,0)</x:f>
        <x:v>0</x:v>
      </x:c>
      <x:c r="AK247" s="460" t="n">
        <x:f>IF(P247&gt;0,AF247*S247,0)</x:f>
        <x:v>0.44999999999999996</x:v>
      </x:c>
    </x:row>
    <x:row r="248" ht="22" customHeight="1">
      <x:c r="A248" s="643" t="str">
        <x:v>中心</x:v>
      </x:c>
      <x:c r="B248" s="648" t="n">
        <x:f>'114_降本系数'!B27</x:f>
        <x:v>0.5</x:v>
      </x:c>
      <x:c r="C248" s="643" t="str">
        <x:v>L1A</x:v>
      </x:c>
      <x:c r="D248" s="648" t="n">
        <x:f>'130_联合算法'!C17</x:f>
        <x:v>0.15</x:v>
      </x:c>
      <x:c r="E248" s="647" t="n">
        <x:f>'117_价格概率传导'!A6</x:f>
        <x:v>259900</x:v>
      </x:c>
      <x:c r="F248" s="648" t="n">
        <x:f>'117_价格概率传导'!D6</x:f>
        <x:v>0.03</x:v>
      </x:c>
      <x:c r="G248" s="648" t="n">
        <x:f>0</x:f>
        <x:v>0</x:v>
      </x:c>
      <x:c r="H248" s="648" t="n">
        <x:f>SUM('117_价格概率传导'!$D$6:$D$6)</x:f>
        <x:v>0.03</x:v>
      </x:c>
      <x:c r="I248" s="647" t="n">
        <x:f>'117_价格概率传导'!A17</x:f>
        <x:v>293900</x:v>
      </x:c>
      <x:c r="J248" s="648" t="n">
        <x:f>'117_价格概率传导'!D17</x:f>
        <x:v>0.03</x:v>
      </x:c>
      <x:c r="K248" s="648" t="n">
        <x:f>SUM('117_价格概率传导'!$D$16:$D$16)</x:f>
        <x:v>0.02</x:v>
      </x:c>
      <x:c r="L248" s="648" t="n">
        <x:f>SUM('117_价格概率传导'!$D$16:$D$17)</x:f>
        <x:v>0.05</x:v>
      </x:c>
      <x:c r="M248" s="648" t="n">
        <x:f>MAX(0,MIN(H248,L248)-MAX(G248,K248))</x:f>
        <x:v>0.009999999999999998</x:v>
      </x:c>
      <x:c r="N248" s="648" t="n">
        <x:f>B248*D248*M248</x:f>
        <x:v>0.0007499999999999999</x:v>
      </x:c>
      <x:c r="O248" s="647" t="n">
        <x:f>MIN(299900,I248+20000)</x:f>
        <x:v>299900</x:v>
      </x:c>
      <x:c r="P248" s="647" t="n">
        <x:f>O248-30000</x:f>
        <x:v>269900</x:v>
      </x:c>
      <x:c r="Q248" s="647" t="str">
        <x:f>""</x:f>
      </x:c>
      <x:c r="R248" s="647" t="n">
        <x:f>O248-E248</x:f>
        <x:v>40000</x:v>
      </x:c>
      <x:c r="S248" s="647" t="n">
        <x:f>IF(P248&gt;0,P248-E248,"")</x:f>
        <x:v>10000</x:v>
      </x:c>
      <x:c r="T248" s="647" t="str">
        <x:f>IF(Q248&gt;0,Q248-E248,"")</x:f>
      </x:c>
      <x:c r="U248" s="648" t="n">
        <x:f>IF(R248&lt;30000,N248,0)</x:f>
        <x:v>0</x:v>
      </x:c>
      <x:c r="V248" s="648" t="n">
        <x:f>IF(P248&gt;0,N248,0)</x:f>
        <x:v>0.0007499999999999999</x:v>
      </x:c>
      <x:c r="W248" s="648" t="n">
        <x:f>IF(AND(P248&gt;0,S248&lt;0),N248,0)</x:f>
        <x:v>0</x:v>
      </x:c>
      <x:c r="X248" s="648" t="n">
        <x:f>IF(AND(P248&gt;0,S248=0),N248,0)</x:f>
        <x:v>0</x:v>
      </x:c>
      <x:c r="Y248" s="648" t="n">
        <x:f>IF(Q248&gt;0,N248,0)</x:f>
        <x:v>0</x:v>
      </x:c>
      <x:c r="Z248" s="647" t="n">
        <x:f>IF(P248&gt;0,N248*S248,0)</x:f>
        <x:v>7.499999999999999</x:v>
      </x:c>
      <x:c r="AA248" s="647" t="n">
        <x:f>IF(Q248&gt;0,N248*T248,0)</x:f>
        <x:v>0</x:v>
      </x:c>
      <x:c r="AB248" s="647" t="n">
        <x:f>N248*R248</x:f>
        <x:v>29.999999999999996</x:v>
      </x:c>
      <x:c r="AC248" s="647" t="n">
        <x:f>IF(N248&gt;0,R248,999999)</x:f>
        <x:v>40000</x:v>
      </x:c>
      <x:c r="AD248" s="647" t="n">
        <x:f>IF(AND(N248&gt;0,P248&gt;0),S248,999999)</x:f>
        <x:v>10000</x:v>
      </x:c>
      <x:c r="AE248" s="647" t="n">
        <x:f>IF(AND(N248&gt;0,Q248&gt;0),T248,999999)</x:f>
        <x:v>999999</x:v>
      </x:c>
      <x:c r="AF248" s="648" t="n">
        <x:f>B248*D248*F248*J248</x:f>
        <x:v>0.00006749999999999999</x:v>
      </x:c>
      <x:c r="AG248" s="648" t="n">
        <x:f>IF(P248&gt;0,AF248,0)</x:f>
        <x:v>0.00006749999999999999</x:v>
      </x:c>
      <x:c r="AH248" s="648" t="n">
        <x:f>IF(AND(P248&gt;0,S248&lt;0),AF248,0)</x:f>
        <x:v>0</x:v>
      </x:c>
      <x:c r="AI248" s="648" t="n">
        <x:f>IF(AND(P248&gt;0,S248=0),AF248,0)</x:f>
        <x:v>0</x:v>
      </x:c>
      <x:c r="AJ248" s="648" t="n">
        <x:f>IF(R248&lt;30000,AF248,0)</x:f>
        <x:v>0</x:v>
      </x:c>
      <x:c r="AK248" s="647" t="n">
        <x:f>IF(P248&gt;0,AF248*S248,0)</x:f>
        <x:v>0.6749999999999998</x:v>
      </x:c>
    </x:row>
    <x:row r="249" ht="22" customHeight="1">
      <x:c r="A249" s="19" t="str">
        <x:v>中心</x:v>
      </x:c>
      <x:c r="B249" s="23" t="n">
        <x:f>'114_降本系数'!B27</x:f>
        <x:v>0.5</x:v>
      </x:c>
      <x:c r="C249" s="19" t="str">
        <x:v>L1A</x:v>
      </x:c>
      <x:c r="D249" s="23" t="n">
        <x:f>'130_联合算法'!C17</x:f>
        <x:v>0.15</x:v>
      </x:c>
      <x:c r="E249" s="460" t="n">
        <x:f>'117_价格概率传导'!A6</x:f>
        <x:v>259900</x:v>
      </x:c>
      <x:c r="F249" s="23" t="n">
        <x:f>'117_价格概率传导'!D6</x:f>
        <x:v>0.03</x:v>
      </x:c>
      <x:c r="G249" s="23" t="n">
        <x:f>0</x:f>
        <x:v>0</x:v>
      </x:c>
      <x:c r="H249" s="23" t="n">
        <x:f>SUM('117_价格概率传导'!$D$6:$D$6)</x:f>
        <x:v>0.03</x:v>
      </x:c>
      <x:c r="I249" s="460" t="n">
        <x:f>'117_价格概率传导'!A18</x:f>
        <x:v>289900</x:v>
      </x:c>
      <x:c r="J249" s="23" t="n">
        <x:f>'117_价格概率传导'!D18</x:f>
        <x:v>0.22</x:v>
      </x:c>
      <x:c r="K249" s="23" t="n">
        <x:f>SUM('117_价格概率传导'!$D$16:$D$17)</x:f>
        <x:v>0.05</x:v>
      </x:c>
      <x:c r="L249" s="23" t="n">
        <x:f>SUM('117_价格概率传导'!$D$16:$D$18)</x:f>
        <x:v>0.27</x:v>
      </x:c>
      <x:c r="M249" s="23" t="n">
        <x:f>MAX(0,MIN(H249,L249)-MAX(G249,K249))</x:f>
        <x:v>0</x:v>
      </x:c>
      <x:c r="N249" s="23" t="n">
        <x:f>B249*D249*M249</x:f>
        <x:v>0</x:v>
      </x:c>
      <x:c r="O249" s="460" t="n">
        <x:f>MIN(299900,I249+20000)</x:f>
        <x:v>299900</x:v>
      </x:c>
      <x:c r="P249" s="460" t="n">
        <x:f>O249-30000</x:f>
        <x:v>269900</x:v>
      </x:c>
      <x:c r="Q249" s="460" t="str">
        <x:f>""</x:f>
      </x:c>
      <x:c r="R249" s="460" t="n">
        <x:f>O249-E249</x:f>
        <x:v>40000</x:v>
      </x:c>
      <x:c r="S249" s="460" t="n">
        <x:f>IF(P249&gt;0,P249-E249,"")</x:f>
        <x:v>10000</x:v>
      </x:c>
      <x:c r="T249" s="460" t="str">
        <x:f>IF(Q249&gt;0,Q249-E249,"")</x:f>
      </x:c>
      <x:c r="U249" s="23" t="n">
        <x:f>IF(R249&lt;30000,N249,0)</x:f>
        <x:v>0</x:v>
      </x:c>
      <x:c r="V249" s="23" t="n">
        <x:f>IF(P249&gt;0,N249,0)</x:f>
        <x:v>0</x:v>
      </x:c>
      <x:c r="W249" s="23" t="n">
        <x:f>IF(AND(P249&gt;0,S249&lt;0),N249,0)</x:f>
        <x:v>0</x:v>
      </x:c>
      <x:c r="X249" s="23" t="n">
        <x:f>IF(AND(P249&gt;0,S249=0),N249,0)</x:f>
        <x:v>0</x:v>
      </x:c>
      <x:c r="Y249" s="23" t="n">
        <x:f>IF(Q249&gt;0,N249,0)</x:f>
        <x:v>0</x:v>
      </x:c>
      <x:c r="Z249" s="460" t="n">
        <x:f>IF(P249&gt;0,N249*S249,0)</x:f>
        <x:v>0</x:v>
      </x:c>
      <x:c r="AA249" s="460" t="n">
        <x:f>IF(Q249&gt;0,N249*T249,0)</x:f>
        <x:v>0</x:v>
      </x:c>
      <x:c r="AB249" s="460" t="n">
        <x:f>N249*R249</x:f>
        <x:v>0</x:v>
      </x:c>
      <x:c r="AC249" s="460" t="n">
        <x:f>IF(N249&gt;0,R249,999999)</x:f>
        <x:v>999999</x:v>
      </x:c>
      <x:c r="AD249" s="460" t="n">
        <x:f>IF(AND(N249&gt;0,P249&gt;0),S249,999999)</x:f>
        <x:v>999999</x:v>
      </x:c>
      <x:c r="AE249" s="460" t="n">
        <x:f>IF(AND(N249&gt;0,Q249&gt;0),T249,999999)</x:f>
        <x:v>999999</x:v>
      </x:c>
      <x:c r="AF249" s="23" t="n">
        <x:f>B249*D249*F249*J249</x:f>
        <x:v>0.000495</x:v>
      </x:c>
      <x:c r="AG249" s="23" t="n">
        <x:f>IF(P249&gt;0,AF249,0)</x:f>
        <x:v>0.000495</x:v>
      </x:c>
      <x:c r="AH249" s="23" t="n">
        <x:f>IF(AND(P249&gt;0,S249&lt;0),AF249,0)</x:f>
        <x:v>0</x:v>
      </x:c>
      <x:c r="AI249" s="23" t="n">
        <x:f>IF(AND(P249&gt;0,S249=0),AF249,0)</x:f>
        <x:v>0</x:v>
      </x:c>
      <x:c r="AJ249" s="23" t="n">
        <x:f>IF(R249&lt;30000,AF249,0)</x:f>
        <x:v>0</x:v>
      </x:c>
      <x:c r="AK249" s="460" t="n">
        <x:f>IF(P249&gt;0,AF249*S249,0)</x:f>
        <x:v>4.95</x:v>
      </x:c>
    </x:row>
    <x:row r="250" ht="22" customHeight="1">
      <x:c r="A250" s="643" t="str">
        <x:v>中心</x:v>
      </x:c>
      <x:c r="B250" s="648" t="n">
        <x:f>'114_降本系数'!B27</x:f>
        <x:v>0.5</x:v>
      </x:c>
      <x:c r="C250" s="643" t="str">
        <x:v>L1A</x:v>
      </x:c>
      <x:c r="D250" s="648" t="n">
        <x:f>'130_联合算法'!C17</x:f>
        <x:v>0.15</x:v>
      </x:c>
      <x:c r="E250" s="647" t="n">
        <x:f>'117_价格概率传导'!A6</x:f>
        <x:v>259900</x:v>
      </x:c>
      <x:c r="F250" s="648" t="n">
        <x:f>'117_价格概率传导'!D6</x:f>
        <x:v>0.03</x:v>
      </x:c>
      <x:c r="G250" s="648" t="n">
        <x:f>0</x:f>
        <x:v>0</x:v>
      </x:c>
      <x:c r="H250" s="648" t="n">
        <x:f>SUM('117_价格概率传导'!$D$6:$D$6)</x:f>
        <x:v>0.03</x:v>
      </x:c>
      <x:c r="I250" s="647" t="n">
        <x:f>'117_价格概率传导'!A19</x:f>
        <x:v>279900</x:v>
      </x:c>
      <x:c r="J250" s="648" t="n">
        <x:f>'117_价格概率传导'!D19</x:f>
        <x:v>0.44</x:v>
      </x:c>
      <x:c r="K250" s="648" t="n">
        <x:f>SUM('117_价格概率传导'!$D$16:$D$18)</x:f>
        <x:v>0.27</x:v>
      </x:c>
      <x:c r="L250" s="648" t="n">
        <x:f>SUM('117_价格概率传导'!$D$16:$D$19)</x:f>
        <x:v>0.71</x:v>
      </x:c>
      <x:c r="M250" s="648" t="n">
        <x:f>MAX(0,MIN(H250,L250)-MAX(G250,K250))</x:f>
        <x:v>0</x:v>
      </x:c>
      <x:c r="N250" s="648" t="n">
        <x:f>B250*D250*M250</x:f>
        <x:v>0</x:v>
      </x:c>
      <x:c r="O250" s="647" t="n">
        <x:f>MIN(299900,I250+20000)</x:f>
        <x:v>299900</x:v>
      </x:c>
      <x:c r="P250" s="647" t="n">
        <x:f>O250-30000</x:f>
        <x:v>269900</x:v>
      </x:c>
      <x:c r="Q250" s="647" t="str">
        <x:f>""</x:f>
      </x:c>
      <x:c r="R250" s="647" t="n">
        <x:f>O250-E250</x:f>
        <x:v>40000</x:v>
      </x:c>
      <x:c r="S250" s="647" t="n">
        <x:f>IF(P250&gt;0,P250-E250,"")</x:f>
        <x:v>10000</x:v>
      </x:c>
      <x:c r="T250" s="647" t="str">
        <x:f>IF(Q250&gt;0,Q250-E250,"")</x:f>
      </x:c>
      <x:c r="U250" s="648" t="n">
        <x:f>IF(R250&lt;30000,N250,0)</x:f>
        <x:v>0</x:v>
      </x:c>
      <x:c r="V250" s="648" t="n">
        <x:f>IF(P250&gt;0,N250,0)</x:f>
        <x:v>0</x:v>
      </x:c>
      <x:c r="W250" s="648" t="n">
        <x:f>IF(AND(P250&gt;0,S250&lt;0),N250,0)</x:f>
        <x:v>0</x:v>
      </x:c>
      <x:c r="X250" s="648" t="n">
        <x:f>IF(AND(P250&gt;0,S250=0),N250,0)</x:f>
        <x:v>0</x:v>
      </x:c>
      <x:c r="Y250" s="648" t="n">
        <x:f>IF(Q250&gt;0,N250,0)</x:f>
        <x:v>0</x:v>
      </x:c>
      <x:c r="Z250" s="647" t="n">
        <x:f>IF(P250&gt;0,N250*S250,0)</x:f>
        <x:v>0</x:v>
      </x:c>
      <x:c r="AA250" s="647" t="n">
        <x:f>IF(Q250&gt;0,N250*T250,0)</x:f>
        <x:v>0</x:v>
      </x:c>
      <x:c r="AB250" s="647" t="n">
        <x:f>N250*R250</x:f>
        <x:v>0</x:v>
      </x:c>
      <x:c r="AC250" s="647" t="n">
        <x:f>IF(N250&gt;0,R250,999999)</x:f>
        <x:v>999999</x:v>
      </x:c>
      <x:c r="AD250" s="647" t="n">
        <x:f>IF(AND(N250&gt;0,P250&gt;0),S250,999999)</x:f>
        <x:v>999999</x:v>
      </x:c>
      <x:c r="AE250" s="647" t="n">
        <x:f>IF(AND(N250&gt;0,Q250&gt;0),T250,999999)</x:f>
        <x:v>999999</x:v>
      </x:c>
      <x:c r="AF250" s="648" t="n">
        <x:f>B250*D250*F250*J250</x:f>
        <x:v>0.00099</x:v>
      </x:c>
      <x:c r="AG250" s="648" t="n">
        <x:f>IF(P250&gt;0,AF250,0)</x:f>
        <x:v>0.00099</x:v>
      </x:c>
      <x:c r="AH250" s="648" t="n">
        <x:f>IF(AND(P250&gt;0,S250&lt;0),AF250,0)</x:f>
        <x:v>0</x:v>
      </x:c>
      <x:c r="AI250" s="648" t="n">
        <x:f>IF(AND(P250&gt;0,S250=0),AF250,0)</x:f>
        <x:v>0</x:v>
      </x:c>
      <x:c r="AJ250" s="648" t="n">
        <x:f>IF(R250&lt;30000,AF250,0)</x:f>
        <x:v>0</x:v>
      </x:c>
      <x:c r="AK250" s="647" t="n">
        <x:f>IF(P250&gt;0,AF250*S250,0)</x:f>
        <x:v>9.9</x:v>
      </x:c>
    </x:row>
    <x:row r="251" ht="22" customHeight="1">
      <x:c r="A251" s="19" t="str">
        <x:v>中心</x:v>
      </x:c>
      <x:c r="B251" s="23" t="n">
        <x:f>'114_降本系数'!B27</x:f>
        <x:v>0.5</x:v>
      </x:c>
      <x:c r="C251" s="19" t="str">
        <x:v>L1A</x:v>
      </x:c>
      <x:c r="D251" s="23" t="n">
        <x:f>'130_联合算法'!C17</x:f>
        <x:v>0.15</x:v>
      </x:c>
      <x:c r="E251" s="460" t="n">
        <x:f>'117_价格概率传导'!A6</x:f>
        <x:v>259900</x:v>
      </x:c>
      <x:c r="F251" s="23" t="n">
        <x:f>'117_价格概率传导'!D6</x:f>
        <x:v>0.03</x:v>
      </x:c>
      <x:c r="G251" s="23" t="n">
        <x:f>0</x:f>
        <x:v>0</x:v>
      </x:c>
      <x:c r="H251" s="23" t="n">
        <x:f>SUM('117_价格概率传导'!$D$6:$D$6)</x:f>
        <x:v>0.03</x:v>
      </x:c>
      <x:c r="I251" s="460" t="n">
        <x:f>'117_价格概率传导'!A20</x:f>
        <x:v>269900</x:v>
      </x:c>
      <x:c r="J251" s="23" t="n">
        <x:f>'117_价格概率传导'!D20</x:f>
        <x:v>0.23</x:v>
      </x:c>
      <x:c r="K251" s="23" t="n">
        <x:f>SUM('117_价格概率传导'!$D$16:$D$19)</x:f>
        <x:v>0.71</x:v>
      </x:c>
      <x:c r="L251" s="23" t="n">
        <x:f>SUM('117_价格概率传导'!$D$16:$D$20)</x:f>
        <x:v>0.94</x:v>
      </x:c>
      <x:c r="M251" s="23" t="n">
        <x:f>MAX(0,MIN(H251,L251)-MAX(G251,K251))</x:f>
        <x:v>0</x:v>
      </x:c>
      <x:c r="N251" s="23" t="n">
        <x:f>B251*D251*M251</x:f>
        <x:v>0</x:v>
      </x:c>
      <x:c r="O251" s="460" t="n">
        <x:f>MIN(299900,I251+20000)</x:f>
        <x:v>289900</x:v>
      </x:c>
      <x:c r="P251" s="460" t="n">
        <x:f>O251-30000</x:f>
        <x:v>259900</x:v>
      </x:c>
      <x:c r="Q251" s="460" t="str">
        <x:f>""</x:f>
      </x:c>
      <x:c r="R251" s="460" t="n">
        <x:f>O251-E251</x:f>
        <x:v>30000</x:v>
      </x:c>
      <x:c r="S251" s="460" t="n">
        <x:f>IF(P251&gt;0,P251-E251,"")</x:f>
        <x:v>0</x:v>
      </x:c>
      <x:c r="T251" s="460" t="str">
        <x:f>IF(Q251&gt;0,Q251-E251,"")</x:f>
      </x:c>
      <x:c r="U251" s="23" t="n">
        <x:f>IF(R251&lt;30000,N251,0)</x:f>
        <x:v>0</x:v>
      </x:c>
      <x:c r="V251" s="23" t="n">
        <x:f>IF(P251&gt;0,N251,0)</x:f>
        <x:v>0</x:v>
      </x:c>
      <x:c r="W251" s="23" t="n">
        <x:f>IF(AND(P251&gt;0,S251&lt;0),N251,0)</x:f>
        <x:v>0</x:v>
      </x:c>
      <x:c r="X251" s="23" t="n">
        <x:f>IF(AND(P251&gt;0,S251=0),N251,0)</x:f>
        <x:v>0</x:v>
      </x:c>
      <x:c r="Y251" s="23" t="n">
        <x:f>IF(Q251&gt;0,N251,0)</x:f>
        <x:v>0</x:v>
      </x:c>
      <x:c r="Z251" s="460" t="n">
        <x:f>IF(P251&gt;0,N251*S251,0)</x:f>
        <x:v>0</x:v>
      </x:c>
      <x:c r="AA251" s="460" t="n">
        <x:f>IF(Q251&gt;0,N251*T251,0)</x:f>
        <x:v>0</x:v>
      </x:c>
      <x:c r="AB251" s="460" t="n">
        <x:f>N251*R251</x:f>
        <x:v>0</x:v>
      </x:c>
      <x:c r="AC251" s="460" t="n">
        <x:f>IF(N251&gt;0,R251,999999)</x:f>
        <x:v>999999</x:v>
      </x:c>
      <x:c r="AD251" s="460" t="n">
        <x:f>IF(AND(N251&gt;0,P251&gt;0),S251,999999)</x:f>
        <x:v>999999</x:v>
      </x:c>
      <x:c r="AE251" s="460" t="n">
        <x:f>IF(AND(N251&gt;0,Q251&gt;0),T251,999999)</x:f>
        <x:v>999999</x:v>
      </x:c>
      <x:c r="AF251" s="23" t="n">
        <x:f>B251*D251*F251*J251</x:f>
        <x:v>0.0005175</x:v>
      </x:c>
      <x:c r="AG251" s="23" t="n">
        <x:f>IF(P251&gt;0,AF251,0)</x:f>
        <x:v>0.0005175</x:v>
      </x:c>
      <x:c r="AH251" s="23" t="n">
        <x:f>IF(AND(P251&gt;0,S251&lt;0),AF251,0)</x:f>
        <x:v>0</x:v>
      </x:c>
      <x:c r="AI251" s="23" t="n">
        <x:f>IF(AND(P251&gt;0,S251=0),AF251,0)</x:f>
        <x:v>0.0005175</x:v>
      </x:c>
      <x:c r="AJ251" s="23" t="n">
        <x:f>IF(R251&lt;30000,AF251,0)</x:f>
        <x:v>0</x:v>
      </x:c>
      <x:c r="AK251" s="460" t="n">
        <x:f>IF(P251&gt;0,AF251*S251,0)</x:f>
        <x:v>0</x:v>
      </x:c>
    </x:row>
    <x:row r="252" ht="22" customHeight="1">
      <x:c r="A252" s="643" t="str">
        <x:v>中心</x:v>
      </x:c>
      <x:c r="B252" s="648" t="n">
        <x:f>'114_降本系数'!B27</x:f>
        <x:v>0.5</x:v>
      </x:c>
      <x:c r="C252" s="643" t="str">
        <x:v>L1A</x:v>
      </x:c>
      <x:c r="D252" s="648" t="n">
        <x:f>'130_联合算法'!C17</x:f>
        <x:v>0.15</x:v>
      </x:c>
      <x:c r="E252" s="647" t="n">
        <x:f>'117_价格概率传导'!A6</x:f>
        <x:v>259900</x:v>
      </x:c>
      <x:c r="F252" s="648" t="n">
        <x:f>'117_价格概率传导'!D6</x:f>
        <x:v>0.03</x:v>
      </x:c>
      <x:c r="G252" s="648" t="n">
        <x:f>0</x:f>
        <x:v>0</x:v>
      </x:c>
      <x:c r="H252" s="648" t="n">
        <x:f>SUM('117_价格概率传导'!$D$6:$D$6)</x:f>
        <x:v>0.03</x:v>
      </x:c>
      <x:c r="I252" s="647" t="n">
        <x:f>'117_价格概率传导'!A21</x:f>
        <x:v>259900</x:v>
      </x:c>
      <x:c r="J252" s="648" t="n">
        <x:f>'117_价格概率传导'!D21</x:f>
        <x:v>0.06</x:v>
      </x:c>
      <x:c r="K252" s="648" t="n">
        <x:f>SUM('117_价格概率传导'!$D$16:$D$20)</x:f>
        <x:v>0.94</x:v>
      </x:c>
      <x:c r="L252" s="648" t="n">
        <x:f>SUM('117_价格概率传导'!$D$16:$D$21)</x:f>
        <x:v>1</x:v>
      </x:c>
      <x:c r="M252" s="648" t="n">
        <x:f>MAX(0,MIN(H252,L252)-MAX(G252,K252))</x:f>
        <x:v>0</x:v>
      </x:c>
      <x:c r="N252" s="648" t="n">
        <x:f>B252*D252*M252</x:f>
        <x:v>0</x:v>
      </x:c>
      <x:c r="O252" s="647" t="n">
        <x:f>MIN(299900,I252+20000)</x:f>
        <x:v>279900</x:v>
      </x:c>
      <x:c r="P252" s="647" t="n">
        <x:f>O252-30000</x:f>
        <x:v>249900</x:v>
      </x:c>
      <x:c r="Q252" s="647" t="str">
        <x:f>""</x:f>
      </x:c>
      <x:c r="R252" s="647" t="n">
        <x:f>O252-E252</x:f>
        <x:v>20000</x:v>
      </x:c>
      <x:c r="S252" s="647" t="n">
        <x:f>IF(P252&gt;0,P252-E252,"")</x:f>
        <x:v>-10000</x:v>
      </x:c>
      <x:c r="T252" s="647" t="str">
        <x:f>IF(Q252&gt;0,Q252-E252,"")</x:f>
      </x:c>
      <x:c r="U252" s="648" t="n">
        <x:f>IF(R252&lt;30000,N252,0)</x:f>
        <x:v>0</x:v>
      </x:c>
      <x:c r="V252" s="648" t="n">
        <x:f>IF(P252&gt;0,N252,0)</x:f>
        <x:v>0</x:v>
      </x:c>
      <x:c r="W252" s="648" t="n">
        <x:f>IF(AND(P252&gt;0,S252&lt;0),N252,0)</x:f>
        <x:v>0</x:v>
      </x:c>
      <x:c r="X252" s="648" t="n">
        <x:f>IF(AND(P252&gt;0,S252=0),N252,0)</x:f>
        <x:v>0</x:v>
      </x:c>
      <x:c r="Y252" s="648" t="n">
        <x:f>IF(Q252&gt;0,N252,0)</x:f>
        <x:v>0</x:v>
      </x:c>
      <x:c r="Z252" s="647" t="n">
        <x:f>IF(P252&gt;0,N252*S252,0)</x:f>
        <x:v>0</x:v>
      </x:c>
      <x:c r="AA252" s="647" t="n">
        <x:f>IF(Q252&gt;0,N252*T252,0)</x:f>
        <x:v>0</x:v>
      </x:c>
      <x:c r="AB252" s="647" t="n">
        <x:f>N252*R252</x:f>
        <x:v>0</x:v>
      </x:c>
      <x:c r="AC252" s="647" t="n">
        <x:f>IF(N252&gt;0,R252,999999)</x:f>
        <x:v>999999</x:v>
      </x:c>
      <x:c r="AD252" s="647" t="n">
        <x:f>IF(AND(N252&gt;0,P252&gt;0),S252,999999)</x:f>
        <x:v>999999</x:v>
      </x:c>
      <x:c r="AE252" s="647" t="n">
        <x:f>IF(AND(N252&gt;0,Q252&gt;0),T252,999999)</x:f>
        <x:v>999999</x:v>
      </x:c>
      <x:c r="AF252" s="648" t="n">
        <x:f>B252*D252*F252*J252</x:f>
        <x:v>0.00013499999999999997</x:v>
      </x:c>
      <x:c r="AG252" s="648" t="n">
        <x:f>IF(P252&gt;0,AF252,0)</x:f>
        <x:v>0.00013499999999999997</x:v>
      </x:c>
      <x:c r="AH252" s="648" t="n">
        <x:f>IF(AND(P252&gt;0,S252&lt;0),AF252,0)</x:f>
        <x:v>0.00013499999999999997</x:v>
      </x:c>
      <x:c r="AI252" s="648" t="n">
        <x:f>IF(AND(P252&gt;0,S252=0),AF252,0)</x:f>
        <x:v>0</x:v>
      </x:c>
      <x:c r="AJ252" s="648" t="n">
        <x:f>IF(R252&lt;30000,AF252,0)</x:f>
        <x:v>0.00013499999999999997</x:v>
      </x:c>
      <x:c r="AK252" s="647" t="n">
        <x:f>IF(P252&gt;0,AF252*S252,0)</x:f>
        <x:v>-1.3499999999999996</x:v>
      </x:c>
    </x:row>
    <x:row r="253" ht="22" customHeight="1">
      <x:c r="A253" s="19" t="str">
        <x:v>中心</x:v>
      </x:c>
      <x:c r="B253" s="23" t="n">
        <x:f>'114_降本系数'!B27</x:f>
        <x:v>0.5</x:v>
      </x:c>
      <x:c r="C253" s="19" t="str">
        <x:v>L1A</x:v>
      </x:c>
      <x:c r="D253" s="23" t="n">
        <x:f>'130_联合算法'!C17</x:f>
        <x:v>0.15</x:v>
      </x:c>
      <x:c r="E253" s="460" t="n">
        <x:f>'117_价格概率传导'!A7</x:f>
        <x:v>253900</x:v>
      </x:c>
      <x:c r="F253" s="23" t="n">
        <x:f>'117_价格概率传导'!D7</x:f>
        <x:v>0.05</x:v>
      </x:c>
      <x:c r="G253" s="23" t="n">
        <x:f>SUM('117_价格概率传导'!$D$6:$D$6)</x:f>
        <x:v>0.03</x:v>
      </x:c>
      <x:c r="H253" s="23" t="n">
        <x:f>SUM('117_价格概率传导'!$D$6:$D$7)</x:f>
        <x:v>0.08</x:v>
      </x:c>
      <x:c r="I253" s="460" t="n">
        <x:f>'117_价格概率传导'!A16</x:f>
        <x:v>299900</x:v>
      </x:c>
      <x:c r="J253" s="23" t="n">
        <x:f>'117_价格概率传导'!D16</x:f>
        <x:v>0.02</x:v>
      </x:c>
      <x:c r="K253" s="23" t="n">
        <x:f>0</x:f>
        <x:v>0</x:v>
      </x:c>
      <x:c r="L253" s="23" t="n">
        <x:f>SUM('117_价格概率传导'!$D$16:$D$16)</x:f>
        <x:v>0.02</x:v>
      </x:c>
      <x:c r="M253" s="23" t="n">
        <x:f>MAX(0,MIN(H253,L253)-MAX(G253,K253))</x:f>
        <x:v>0</x:v>
      </x:c>
      <x:c r="N253" s="23" t="n">
        <x:f>B253*D253*M253</x:f>
        <x:v>0</x:v>
      </x:c>
      <x:c r="O253" s="460" t="n">
        <x:f>MIN(299900,I253+20000)</x:f>
        <x:v>299900</x:v>
      </x:c>
      <x:c r="P253" s="460" t="n">
        <x:f>O253-30000</x:f>
        <x:v>269900</x:v>
      </x:c>
      <x:c r="Q253" s="460" t="str">
        <x:f>""</x:f>
      </x:c>
      <x:c r="R253" s="460" t="n">
        <x:f>O253-E253</x:f>
        <x:v>46000</x:v>
      </x:c>
      <x:c r="S253" s="460" t="n">
        <x:f>IF(P253&gt;0,P253-E253,"")</x:f>
        <x:v>16000</x:v>
      </x:c>
      <x:c r="T253" s="460" t="str">
        <x:f>IF(Q253&gt;0,Q253-E253,"")</x:f>
      </x:c>
      <x:c r="U253" s="23" t="n">
        <x:f>IF(R253&lt;30000,N253,0)</x:f>
        <x:v>0</x:v>
      </x:c>
      <x:c r="V253" s="23" t="n">
        <x:f>IF(P253&gt;0,N253,0)</x:f>
        <x:v>0</x:v>
      </x:c>
      <x:c r="W253" s="23" t="n">
        <x:f>IF(AND(P253&gt;0,S253&lt;0),N253,0)</x:f>
        <x:v>0</x:v>
      </x:c>
      <x:c r="X253" s="23" t="n">
        <x:f>IF(AND(P253&gt;0,S253=0),N253,0)</x:f>
        <x:v>0</x:v>
      </x:c>
      <x:c r="Y253" s="23" t="n">
        <x:f>IF(Q253&gt;0,N253,0)</x:f>
        <x:v>0</x:v>
      </x:c>
      <x:c r="Z253" s="460" t="n">
        <x:f>IF(P253&gt;0,N253*S253,0)</x:f>
        <x:v>0</x:v>
      </x:c>
      <x:c r="AA253" s="460" t="n">
        <x:f>IF(Q253&gt;0,N253*T253,0)</x:f>
        <x:v>0</x:v>
      </x:c>
      <x:c r="AB253" s="460" t="n">
        <x:f>N253*R253</x:f>
        <x:v>0</x:v>
      </x:c>
      <x:c r="AC253" s="460" t="n">
        <x:f>IF(N253&gt;0,R253,999999)</x:f>
        <x:v>999999</x:v>
      </x:c>
      <x:c r="AD253" s="460" t="n">
        <x:f>IF(AND(N253&gt;0,P253&gt;0),S253,999999)</x:f>
        <x:v>999999</x:v>
      </x:c>
      <x:c r="AE253" s="460" t="n">
        <x:f>IF(AND(N253&gt;0,Q253&gt;0),T253,999999)</x:f>
        <x:v>999999</x:v>
      </x:c>
      <x:c r="AF253" s="23" t="n">
        <x:f>B253*D253*F253*J253</x:f>
        <x:v>0.000075</x:v>
      </x:c>
      <x:c r="AG253" s="23" t="n">
        <x:f>IF(P253&gt;0,AF253,0)</x:f>
        <x:v>0.000075</x:v>
      </x:c>
      <x:c r="AH253" s="23" t="n">
        <x:f>IF(AND(P253&gt;0,S253&lt;0),AF253,0)</x:f>
        <x:v>0</x:v>
      </x:c>
      <x:c r="AI253" s="23" t="n">
        <x:f>IF(AND(P253&gt;0,S253=0),AF253,0)</x:f>
        <x:v>0</x:v>
      </x:c>
      <x:c r="AJ253" s="23" t="n">
        <x:f>IF(R253&lt;30000,AF253,0)</x:f>
        <x:v>0</x:v>
      </x:c>
      <x:c r="AK253" s="460" t="n">
        <x:f>IF(P253&gt;0,AF253*S253,0)</x:f>
        <x:v>1.2</x:v>
      </x:c>
    </x:row>
    <x:row r="254" ht="22" customHeight="1">
      <x:c r="A254" s="643" t="str">
        <x:v>中心</x:v>
      </x:c>
      <x:c r="B254" s="648" t="n">
        <x:f>'114_降本系数'!B27</x:f>
        <x:v>0.5</x:v>
      </x:c>
      <x:c r="C254" s="643" t="str">
        <x:v>L1A</x:v>
      </x:c>
      <x:c r="D254" s="648" t="n">
        <x:f>'130_联合算法'!C17</x:f>
        <x:v>0.15</x:v>
      </x:c>
      <x:c r="E254" s="647" t="n">
        <x:f>'117_价格概率传导'!A7</x:f>
        <x:v>253900</x:v>
      </x:c>
      <x:c r="F254" s="648" t="n">
        <x:f>'117_价格概率传导'!D7</x:f>
        <x:v>0.05</x:v>
      </x:c>
      <x:c r="G254" s="648" t="n">
        <x:f>SUM('117_价格概率传导'!$D$6:$D$6)</x:f>
        <x:v>0.03</x:v>
      </x:c>
      <x:c r="H254" s="648" t="n">
        <x:f>SUM('117_价格概率传导'!$D$6:$D$7)</x:f>
        <x:v>0.08</x:v>
      </x:c>
      <x:c r="I254" s="647" t="n">
        <x:f>'117_价格概率传导'!A17</x:f>
        <x:v>293900</x:v>
      </x:c>
      <x:c r="J254" s="648" t="n">
        <x:f>'117_价格概率传导'!D17</x:f>
        <x:v>0.03</x:v>
      </x:c>
      <x:c r="K254" s="648" t="n">
        <x:f>SUM('117_价格概率传导'!$D$16:$D$16)</x:f>
        <x:v>0.02</x:v>
      </x:c>
      <x:c r="L254" s="648" t="n">
        <x:f>SUM('117_价格概率传导'!$D$16:$D$17)</x:f>
        <x:v>0.05</x:v>
      </x:c>
      <x:c r="M254" s="648" t="n">
        <x:f>MAX(0,MIN(H254,L254)-MAX(G254,K254))</x:f>
        <x:v>0.020000000000000004</x:v>
      </x:c>
      <x:c r="N254" s="648" t="n">
        <x:f>B254*D254*M254</x:f>
        <x:v>0.0015000000000000002</x:v>
      </x:c>
      <x:c r="O254" s="647" t="n">
        <x:f>MIN(299900,I254+20000)</x:f>
        <x:v>299900</x:v>
      </x:c>
      <x:c r="P254" s="647" t="n">
        <x:f>O254-30000</x:f>
        <x:v>269900</x:v>
      </x:c>
      <x:c r="Q254" s="647" t="str">
        <x:f>""</x:f>
      </x:c>
      <x:c r="R254" s="647" t="n">
        <x:f>O254-E254</x:f>
        <x:v>46000</x:v>
      </x:c>
      <x:c r="S254" s="647" t="n">
        <x:f>IF(P254&gt;0,P254-E254,"")</x:f>
        <x:v>16000</x:v>
      </x:c>
      <x:c r="T254" s="647" t="str">
        <x:f>IF(Q254&gt;0,Q254-E254,"")</x:f>
      </x:c>
      <x:c r="U254" s="648" t="n">
        <x:f>IF(R254&lt;30000,N254,0)</x:f>
        <x:v>0</x:v>
      </x:c>
      <x:c r="V254" s="648" t="n">
        <x:f>IF(P254&gt;0,N254,0)</x:f>
        <x:v>0.0015000000000000002</x:v>
      </x:c>
      <x:c r="W254" s="648" t="n">
        <x:f>IF(AND(P254&gt;0,S254&lt;0),N254,0)</x:f>
        <x:v>0</x:v>
      </x:c>
      <x:c r="X254" s="648" t="n">
        <x:f>IF(AND(P254&gt;0,S254=0),N254,0)</x:f>
        <x:v>0</x:v>
      </x:c>
      <x:c r="Y254" s="648" t="n">
        <x:f>IF(Q254&gt;0,N254,0)</x:f>
        <x:v>0</x:v>
      </x:c>
      <x:c r="Z254" s="647" t="n">
        <x:f>IF(P254&gt;0,N254*S254,0)</x:f>
        <x:v>24.000000000000004</x:v>
      </x:c>
      <x:c r="AA254" s="647" t="n">
        <x:f>IF(Q254&gt;0,N254*T254,0)</x:f>
        <x:v>0</x:v>
      </x:c>
      <x:c r="AB254" s="647" t="n">
        <x:f>N254*R254</x:f>
        <x:v>69.00000000000001</x:v>
      </x:c>
      <x:c r="AC254" s="647" t="n">
        <x:f>IF(N254&gt;0,R254,999999)</x:f>
        <x:v>46000</x:v>
      </x:c>
      <x:c r="AD254" s="647" t="n">
        <x:f>IF(AND(N254&gt;0,P254&gt;0),S254,999999)</x:f>
        <x:v>16000</x:v>
      </x:c>
      <x:c r="AE254" s="647" t="n">
        <x:f>IF(AND(N254&gt;0,Q254&gt;0),T254,999999)</x:f>
        <x:v>999999</x:v>
      </x:c>
      <x:c r="AF254" s="648" t="n">
        <x:f>B254*D254*F254*J254</x:f>
        <x:v>0.0001125</x:v>
      </x:c>
      <x:c r="AG254" s="648" t="n">
        <x:f>IF(P254&gt;0,AF254,0)</x:f>
        <x:v>0.0001125</x:v>
      </x:c>
      <x:c r="AH254" s="648" t="n">
        <x:f>IF(AND(P254&gt;0,S254&lt;0),AF254,0)</x:f>
        <x:v>0</x:v>
      </x:c>
      <x:c r="AI254" s="648" t="n">
        <x:f>IF(AND(P254&gt;0,S254=0),AF254,0)</x:f>
        <x:v>0</x:v>
      </x:c>
      <x:c r="AJ254" s="648" t="n">
        <x:f>IF(R254&lt;30000,AF254,0)</x:f>
        <x:v>0</x:v>
      </x:c>
      <x:c r="AK254" s="647" t="n">
        <x:f>IF(P254&gt;0,AF254*S254,0)</x:f>
        <x:v>1.8</x:v>
      </x:c>
    </x:row>
    <x:row r="255" ht="22" customHeight="1">
      <x:c r="A255" s="19" t="str">
        <x:v>中心</x:v>
      </x:c>
      <x:c r="B255" s="23" t="n">
        <x:f>'114_降本系数'!B27</x:f>
        <x:v>0.5</x:v>
      </x:c>
      <x:c r="C255" s="19" t="str">
        <x:v>L1A</x:v>
      </x:c>
      <x:c r="D255" s="23" t="n">
        <x:f>'130_联合算法'!C17</x:f>
        <x:v>0.15</x:v>
      </x:c>
      <x:c r="E255" s="460" t="n">
        <x:f>'117_价格概率传导'!A7</x:f>
        <x:v>253900</x:v>
      </x:c>
      <x:c r="F255" s="23" t="n">
        <x:f>'117_价格概率传导'!D7</x:f>
        <x:v>0.05</x:v>
      </x:c>
      <x:c r="G255" s="23" t="n">
        <x:f>SUM('117_价格概率传导'!$D$6:$D$6)</x:f>
        <x:v>0.03</x:v>
      </x:c>
      <x:c r="H255" s="23" t="n">
        <x:f>SUM('117_价格概率传导'!$D$6:$D$7)</x:f>
        <x:v>0.08</x:v>
      </x:c>
      <x:c r="I255" s="460" t="n">
        <x:f>'117_价格概率传导'!A18</x:f>
        <x:v>289900</x:v>
      </x:c>
      <x:c r="J255" s="23" t="n">
        <x:f>'117_价格概率传导'!D18</x:f>
        <x:v>0.22</x:v>
      </x:c>
      <x:c r="K255" s="23" t="n">
        <x:f>SUM('117_价格概率传导'!$D$16:$D$17)</x:f>
        <x:v>0.05</x:v>
      </x:c>
      <x:c r="L255" s="23" t="n">
        <x:f>SUM('117_价格概率传导'!$D$16:$D$18)</x:f>
        <x:v>0.27</x:v>
      </x:c>
      <x:c r="M255" s="23" t="n">
        <x:f>MAX(0,MIN(H255,L255)-MAX(G255,K255))</x:f>
        <x:v>0.03</x:v>
      </x:c>
      <x:c r="N255" s="23" t="n">
        <x:f>B255*D255*M255</x:f>
        <x:v>0.00225</x:v>
      </x:c>
      <x:c r="O255" s="460" t="n">
        <x:f>MIN(299900,I255+20000)</x:f>
        <x:v>299900</x:v>
      </x:c>
      <x:c r="P255" s="460" t="n">
        <x:f>O255-30000</x:f>
        <x:v>269900</x:v>
      </x:c>
      <x:c r="Q255" s="460" t="str">
        <x:f>""</x:f>
      </x:c>
      <x:c r="R255" s="460" t="n">
        <x:f>O255-E255</x:f>
        <x:v>46000</x:v>
      </x:c>
      <x:c r="S255" s="460" t="n">
        <x:f>IF(P255&gt;0,P255-E255,"")</x:f>
        <x:v>16000</x:v>
      </x:c>
      <x:c r="T255" s="460" t="str">
        <x:f>IF(Q255&gt;0,Q255-E255,"")</x:f>
      </x:c>
      <x:c r="U255" s="23" t="n">
        <x:f>IF(R255&lt;30000,N255,0)</x:f>
        <x:v>0</x:v>
      </x:c>
      <x:c r="V255" s="23" t="n">
        <x:f>IF(P255&gt;0,N255,0)</x:f>
        <x:v>0.00225</x:v>
      </x:c>
      <x:c r="W255" s="23" t="n">
        <x:f>IF(AND(P255&gt;0,S255&lt;0),N255,0)</x:f>
        <x:v>0</x:v>
      </x:c>
      <x:c r="X255" s="23" t="n">
        <x:f>IF(AND(P255&gt;0,S255=0),N255,0)</x:f>
        <x:v>0</x:v>
      </x:c>
      <x:c r="Y255" s="23" t="n">
        <x:f>IF(Q255&gt;0,N255,0)</x:f>
        <x:v>0</x:v>
      </x:c>
      <x:c r="Z255" s="460" t="n">
        <x:f>IF(P255&gt;0,N255*S255,0)</x:f>
        <x:v>36</x:v>
      </x:c>
      <x:c r="AA255" s="460" t="n">
        <x:f>IF(Q255&gt;0,N255*T255,0)</x:f>
        <x:v>0</x:v>
      </x:c>
      <x:c r="AB255" s="460" t="n">
        <x:f>N255*R255</x:f>
        <x:v>103.49999999999999</x:v>
      </x:c>
      <x:c r="AC255" s="460" t="n">
        <x:f>IF(N255&gt;0,R255,999999)</x:f>
        <x:v>46000</x:v>
      </x:c>
      <x:c r="AD255" s="460" t="n">
        <x:f>IF(AND(N255&gt;0,P255&gt;0),S255,999999)</x:f>
        <x:v>16000</x:v>
      </x:c>
      <x:c r="AE255" s="460" t="n">
        <x:f>IF(AND(N255&gt;0,Q255&gt;0),T255,999999)</x:f>
        <x:v>999999</x:v>
      </x:c>
      <x:c r="AF255" s="23" t="n">
        <x:f>B255*D255*F255*J255</x:f>
        <x:v>0.000825</x:v>
      </x:c>
      <x:c r="AG255" s="23" t="n">
        <x:f>IF(P255&gt;0,AF255,0)</x:f>
        <x:v>0.000825</x:v>
      </x:c>
      <x:c r="AH255" s="23" t="n">
        <x:f>IF(AND(P255&gt;0,S255&lt;0),AF255,0)</x:f>
        <x:v>0</x:v>
      </x:c>
      <x:c r="AI255" s="23" t="n">
        <x:f>IF(AND(P255&gt;0,S255=0),AF255,0)</x:f>
        <x:v>0</x:v>
      </x:c>
      <x:c r="AJ255" s="23" t="n">
        <x:f>IF(R255&lt;30000,AF255,0)</x:f>
        <x:v>0</x:v>
      </x:c>
      <x:c r="AK255" s="460" t="n">
        <x:f>IF(P255&gt;0,AF255*S255,0)</x:f>
        <x:v>13.2</x:v>
      </x:c>
    </x:row>
    <x:row r="256" ht="22" customHeight="1">
      <x:c r="A256" s="643" t="str">
        <x:v>中心</x:v>
      </x:c>
      <x:c r="B256" s="648" t="n">
        <x:f>'114_降本系数'!B27</x:f>
        <x:v>0.5</x:v>
      </x:c>
      <x:c r="C256" s="643" t="str">
        <x:v>L1A</x:v>
      </x:c>
      <x:c r="D256" s="648" t="n">
        <x:f>'130_联合算法'!C17</x:f>
        <x:v>0.15</x:v>
      </x:c>
      <x:c r="E256" s="647" t="n">
        <x:f>'117_价格概率传导'!A7</x:f>
        <x:v>253900</x:v>
      </x:c>
      <x:c r="F256" s="648" t="n">
        <x:f>'117_价格概率传导'!D7</x:f>
        <x:v>0.05</x:v>
      </x:c>
      <x:c r="G256" s="648" t="n">
        <x:f>SUM('117_价格概率传导'!$D$6:$D$6)</x:f>
        <x:v>0.03</x:v>
      </x:c>
      <x:c r="H256" s="648" t="n">
        <x:f>SUM('117_价格概率传导'!$D$6:$D$7)</x:f>
        <x:v>0.08</x:v>
      </x:c>
      <x:c r="I256" s="647" t="n">
        <x:f>'117_价格概率传导'!A19</x:f>
        <x:v>279900</x:v>
      </x:c>
      <x:c r="J256" s="648" t="n">
        <x:f>'117_价格概率传导'!D19</x:f>
        <x:v>0.44</x:v>
      </x:c>
      <x:c r="K256" s="648" t="n">
        <x:f>SUM('117_价格概率传导'!$D$16:$D$18)</x:f>
        <x:v>0.27</x:v>
      </x:c>
      <x:c r="L256" s="648" t="n">
        <x:f>SUM('117_价格概率传导'!$D$16:$D$19)</x:f>
        <x:v>0.71</x:v>
      </x:c>
      <x:c r="M256" s="648" t="n">
        <x:f>MAX(0,MIN(H256,L256)-MAX(G256,K256))</x:f>
        <x:v>0</x:v>
      </x:c>
      <x:c r="N256" s="648" t="n">
        <x:f>B256*D256*M256</x:f>
        <x:v>0</x:v>
      </x:c>
      <x:c r="O256" s="647" t="n">
        <x:f>MIN(299900,I256+20000)</x:f>
        <x:v>299900</x:v>
      </x:c>
      <x:c r="P256" s="647" t="n">
        <x:f>O256-30000</x:f>
        <x:v>269900</x:v>
      </x:c>
      <x:c r="Q256" s="647" t="str">
        <x:f>""</x:f>
      </x:c>
      <x:c r="R256" s="647" t="n">
        <x:f>O256-E256</x:f>
        <x:v>46000</x:v>
      </x:c>
      <x:c r="S256" s="647" t="n">
        <x:f>IF(P256&gt;0,P256-E256,"")</x:f>
        <x:v>16000</x:v>
      </x:c>
      <x:c r="T256" s="647" t="str">
        <x:f>IF(Q256&gt;0,Q256-E256,"")</x:f>
      </x:c>
      <x:c r="U256" s="648" t="n">
        <x:f>IF(R256&lt;30000,N256,0)</x:f>
        <x:v>0</x:v>
      </x:c>
      <x:c r="V256" s="648" t="n">
        <x:f>IF(P256&gt;0,N256,0)</x:f>
        <x:v>0</x:v>
      </x:c>
      <x:c r="W256" s="648" t="n">
        <x:f>IF(AND(P256&gt;0,S256&lt;0),N256,0)</x:f>
        <x:v>0</x:v>
      </x:c>
      <x:c r="X256" s="648" t="n">
        <x:f>IF(AND(P256&gt;0,S256=0),N256,0)</x:f>
        <x:v>0</x:v>
      </x:c>
      <x:c r="Y256" s="648" t="n">
        <x:f>IF(Q256&gt;0,N256,0)</x:f>
        <x:v>0</x:v>
      </x:c>
      <x:c r="Z256" s="647" t="n">
        <x:f>IF(P256&gt;0,N256*S256,0)</x:f>
        <x:v>0</x:v>
      </x:c>
      <x:c r="AA256" s="647" t="n">
        <x:f>IF(Q256&gt;0,N256*T256,0)</x:f>
        <x:v>0</x:v>
      </x:c>
      <x:c r="AB256" s="647" t="n">
        <x:f>N256*R256</x:f>
        <x:v>0</x:v>
      </x:c>
      <x:c r="AC256" s="647" t="n">
        <x:f>IF(N256&gt;0,R256,999999)</x:f>
        <x:v>999999</x:v>
      </x:c>
      <x:c r="AD256" s="647" t="n">
        <x:f>IF(AND(N256&gt;0,P256&gt;0),S256,999999)</x:f>
        <x:v>999999</x:v>
      </x:c>
      <x:c r="AE256" s="647" t="n">
        <x:f>IF(AND(N256&gt;0,Q256&gt;0),T256,999999)</x:f>
        <x:v>999999</x:v>
      </x:c>
      <x:c r="AF256" s="648" t="n">
        <x:f>B256*D256*F256*J256</x:f>
        <x:v>0.00165</x:v>
      </x:c>
      <x:c r="AG256" s="648" t="n">
        <x:f>IF(P256&gt;0,AF256,0)</x:f>
        <x:v>0.00165</x:v>
      </x:c>
      <x:c r="AH256" s="648" t="n">
        <x:f>IF(AND(P256&gt;0,S256&lt;0),AF256,0)</x:f>
        <x:v>0</x:v>
      </x:c>
      <x:c r="AI256" s="648" t="n">
        <x:f>IF(AND(P256&gt;0,S256=0),AF256,0)</x:f>
        <x:v>0</x:v>
      </x:c>
      <x:c r="AJ256" s="648" t="n">
        <x:f>IF(R256&lt;30000,AF256,0)</x:f>
        <x:v>0</x:v>
      </x:c>
      <x:c r="AK256" s="647" t="n">
        <x:f>IF(P256&gt;0,AF256*S256,0)</x:f>
        <x:v>26.4</x:v>
      </x:c>
    </x:row>
    <x:row r="257" ht="22" customHeight="1">
      <x:c r="A257" s="19" t="str">
        <x:v>中心</x:v>
      </x:c>
      <x:c r="B257" s="23" t="n">
        <x:f>'114_降本系数'!B27</x:f>
        <x:v>0.5</x:v>
      </x:c>
      <x:c r="C257" s="19" t="str">
        <x:v>L1A</x:v>
      </x:c>
      <x:c r="D257" s="23" t="n">
        <x:f>'130_联合算法'!C17</x:f>
        <x:v>0.15</x:v>
      </x:c>
      <x:c r="E257" s="460" t="n">
        <x:f>'117_价格概率传导'!A7</x:f>
        <x:v>253900</x:v>
      </x:c>
      <x:c r="F257" s="23" t="n">
        <x:f>'117_价格概率传导'!D7</x:f>
        <x:v>0.05</x:v>
      </x:c>
      <x:c r="G257" s="23" t="n">
        <x:f>SUM('117_价格概率传导'!$D$6:$D$6)</x:f>
        <x:v>0.03</x:v>
      </x:c>
      <x:c r="H257" s="23" t="n">
        <x:f>SUM('117_价格概率传导'!$D$6:$D$7)</x:f>
        <x:v>0.08</x:v>
      </x:c>
      <x:c r="I257" s="460" t="n">
        <x:f>'117_价格概率传导'!A20</x:f>
        <x:v>269900</x:v>
      </x:c>
      <x:c r="J257" s="23" t="n">
        <x:f>'117_价格概率传导'!D20</x:f>
        <x:v>0.23</x:v>
      </x:c>
      <x:c r="K257" s="23" t="n">
        <x:f>SUM('117_价格概率传导'!$D$16:$D$19)</x:f>
        <x:v>0.71</x:v>
      </x:c>
      <x:c r="L257" s="23" t="n">
        <x:f>SUM('117_价格概率传导'!$D$16:$D$20)</x:f>
        <x:v>0.94</x:v>
      </x:c>
      <x:c r="M257" s="23" t="n">
        <x:f>MAX(0,MIN(H257,L257)-MAX(G257,K257))</x:f>
        <x:v>0</x:v>
      </x:c>
      <x:c r="N257" s="23" t="n">
        <x:f>B257*D257*M257</x:f>
        <x:v>0</x:v>
      </x:c>
      <x:c r="O257" s="460" t="n">
        <x:f>MIN(299900,I257+20000)</x:f>
        <x:v>289900</x:v>
      </x:c>
      <x:c r="P257" s="460" t="n">
        <x:f>O257-30000</x:f>
        <x:v>259900</x:v>
      </x:c>
      <x:c r="Q257" s="460" t="str">
        <x:f>""</x:f>
      </x:c>
      <x:c r="R257" s="460" t="n">
        <x:f>O257-E257</x:f>
        <x:v>36000</x:v>
      </x:c>
      <x:c r="S257" s="460" t="n">
        <x:f>IF(P257&gt;0,P257-E257,"")</x:f>
        <x:v>6000</x:v>
      </x:c>
      <x:c r="T257" s="460" t="str">
        <x:f>IF(Q257&gt;0,Q257-E257,"")</x:f>
      </x:c>
      <x:c r="U257" s="23" t="n">
        <x:f>IF(R257&lt;30000,N257,0)</x:f>
        <x:v>0</x:v>
      </x:c>
      <x:c r="V257" s="23" t="n">
        <x:f>IF(P257&gt;0,N257,0)</x:f>
        <x:v>0</x:v>
      </x:c>
      <x:c r="W257" s="23" t="n">
        <x:f>IF(AND(P257&gt;0,S257&lt;0),N257,0)</x:f>
        <x:v>0</x:v>
      </x:c>
      <x:c r="X257" s="23" t="n">
        <x:f>IF(AND(P257&gt;0,S257=0),N257,0)</x:f>
        <x:v>0</x:v>
      </x:c>
      <x:c r="Y257" s="23" t="n">
        <x:f>IF(Q257&gt;0,N257,0)</x:f>
        <x:v>0</x:v>
      </x:c>
      <x:c r="Z257" s="460" t="n">
        <x:f>IF(P257&gt;0,N257*S257,0)</x:f>
        <x:v>0</x:v>
      </x:c>
      <x:c r="AA257" s="460" t="n">
        <x:f>IF(Q257&gt;0,N257*T257,0)</x:f>
        <x:v>0</x:v>
      </x:c>
      <x:c r="AB257" s="460" t="n">
        <x:f>N257*R257</x:f>
        <x:v>0</x:v>
      </x:c>
      <x:c r="AC257" s="460" t="n">
        <x:f>IF(N257&gt;0,R257,999999)</x:f>
        <x:v>999999</x:v>
      </x:c>
      <x:c r="AD257" s="460" t="n">
        <x:f>IF(AND(N257&gt;0,P257&gt;0),S257,999999)</x:f>
        <x:v>999999</x:v>
      </x:c>
      <x:c r="AE257" s="460" t="n">
        <x:f>IF(AND(N257&gt;0,Q257&gt;0),T257,999999)</x:f>
        <x:v>999999</x:v>
      </x:c>
      <x:c r="AF257" s="23" t="n">
        <x:f>B257*D257*F257*J257</x:f>
        <x:v>0.0008625</x:v>
      </x:c>
      <x:c r="AG257" s="23" t="n">
        <x:f>IF(P257&gt;0,AF257,0)</x:f>
        <x:v>0.0008625</x:v>
      </x:c>
      <x:c r="AH257" s="23" t="n">
        <x:f>IF(AND(P257&gt;0,S257&lt;0),AF257,0)</x:f>
        <x:v>0</x:v>
      </x:c>
      <x:c r="AI257" s="23" t="n">
        <x:f>IF(AND(P257&gt;0,S257=0),AF257,0)</x:f>
        <x:v>0</x:v>
      </x:c>
      <x:c r="AJ257" s="23" t="n">
        <x:f>IF(R257&lt;30000,AF257,0)</x:f>
        <x:v>0</x:v>
      </x:c>
      <x:c r="AK257" s="460" t="n">
        <x:f>IF(P257&gt;0,AF257*S257,0)</x:f>
        <x:v>5.175</x:v>
      </x:c>
    </x:row>
    <x:row r="258" ht="22" customHeight="1">
      <x:c r="A258" s="643" t="str">
        <x:v>中心</x:v>
      </x:c>
      <x:c r="B258" s="648" t="n">
        <x:f>'114_降本系数'!B27</x:f>
        <x:v>0.5</x:v>
      </x:c>
      <x:c r="C258" s="643" t="str">
        <x:v>L1A</x:v>
      </x:c>
      <x:c r="D258" s="648" t="n">
        <x:f>'130_联合算法'!C17</x:f>
        <x:v>0.15</x:v>
      </x:c>
      <x:c r="E258" s="647" t="n">
        <x:f>'117_价格概率传导'!A7</x:f>
        <x:v>253900</x:v>
      </x:c>
      <x:c r="F258" s="648" t="n">
        <x:f>'117_价格概率传导'!D7</x:f>
        <x:v>0.05</x:v>
      </x:c>
      <x:c r="G258" s="648" t="n">
        <x:f>SUM('117_价格概率传导'!$D$6:$D$6)</x:f>
        <x:v>0.03</x:v>
      </x:c>
      <x:c r="H258" s="648" t="n">
        <x:f>SUM('117_价格概率传导'!$D$6:$D$7)</x:f>
        <x:v>0.08</x:v>
      </x:c>
      <x:c r="I258" s="647" t="n">
        <x:f>'117_价格概率传导'!A21</x:f>
        <x:v>259900</x:v>
      </x:c>
      <x:c r="J258" s="648" t="n">
        <x:f>'117_价格概率传导'!D21</x:f>
        <x:v>0.06</x:v>
      </x:c>
      <x:c r="K258" s="648" t="n">
        <x:f>SUM('117_价格概率传导'!$D$16:$D$20)</x:f>
        <x:v>0.94</x:v>
      </x:c>
      <x:c r="L258" s="648" t="n">
        <x:f>SUM('117_价格概率传导'!$D$16:$D$21)</x:f>
        <x:v>1</x:v>
      </x:c>
      <x:c r="M258" s="648" t="n">
        <x:f>MAX(0,MIN(H258,L258)-MAX(G258,K258))</x:f>
        <x:v>0</x:v>
      </x:c>
      <x:c r="N258" s="648" t="n">
        <x:f>B258*D258*M258</x:f>
        <x:v>0</x:v>
      </x:c>
      <x:c r="O258" s="647" t="n">
        <x:f>MIN(299900,I258+20000)</x:f>
        <x:v>279900</x:v>
      </x:c>
      <x:c r="P258" s="647" t="n">
        <x:f>O258-30000</x:f>
        <x:v>249900</x:v>
      </x:c>
      <x:c r="Q258" s="647" t="str">
        <x:f>""</x:f>
      </x:c>
      <x:c r="R258" s="647" t="n">
        <x:f>O258-E258</x:f>
        <x:v>26000</x:v>
      </x:c>
      <x:c r="S258" s="647" t="n">
        <x:f>IF(P258&gt;0,P258-E258,"")</x:f>
        <x:v>-4000</x:v>
      </x:c>
      <x:c r="T258" s="647" t="str">
        <x:f>IF(Q258&gt;0,Q258-E258,"")</x:f>
      </x:c>
      <x:c r="U258" s="648" t="n">
        <x:f>IF(R258&lt;30000,N258,0)</x:f>
        <x:v>0</x:v>
      </x:c>
      <x:c r="V258" s="648" t="n">
        <x:f>IF(P258&gt;0,N258,0)</x:f>
        <x:v>0</x:v>
      </x:c>
      <x:c r="W258" s="648" t="n">
        <x:f>IF(AND(P258&gt;0,S258&lt;0),N258,0)</x:f>
        <x:v>0</x:v>
      </x:c>
      <x:c r="X258" s="648" t="n">
        <x:f>IF(AND(P258&gt;0,S258=0),N258,0)</x:f>
        <x:v>0</x:v>
      </x:c>
      <x:c r="Y258" s="648" t="n">
        <x:f>IF(Q258&gt;0,N258,0)</x:f>
        <x:v>0</x:v>
      </x:c>
      <x:c r="Z258" s="647" t="n">
        <x:f>IF(P258&gt;0,N258*S258,0)</x:f>
        <x:v>0</x:v>
      </x:c>
      <x:c r="AA258" s="647" t="n">
        <x:f>IF(Q258&gt;0,N258*T258,0)</x:f>
        <x:v>0</x:v>
      </x:c>
      <x:c r="AB258" s="647" t="n">
        <x:f>N258*R258</x:f>
        <x:v>0</x:v>
      </x:c>
      <x:c r="AC258" s="647" t="n">
        <x:f>IF(N258&gt;0,R258,999999)</x:f>
        <x:v>999999</x:v>
      </x:c>
      <x:c r="AD258" s="647" t="n">
        <x:f>IF(AND(N258&gt;0,P258&gt;0),S258,999999)</x:f>
        <x:v>999999</x:v>
      </x:c>
      <x:c r="AE258" s="647" t="n">
        <x:f>IF(AND(N258&gt;0,Q258&gt;0),T258,999999)</x:f>
        <x:v>999999</x:v>
      </x:c>
      <x:c r="AF258" s="648" t="n">
        <x:f>B258*D258*F258*J258</x:f>
        <x:v>0.000225</x:v>
      </x:c>
      <x:c r="AG258" s="648" t="n">
        <x:f>IF(P258&gt;0,AF258,0)</x:f>
        <x:v>0.000225</x:v>
      </x:c>
      <x:c r="AH258" s="648" t="n">
        <x:f>IF(AND(P258&gt;0,S258&lt;0),AF258,0)</x:f>
        <x:v>0.000225</x:v>
      </x:c>
      <x:c r="AI258" s="648" t="n">
        <x:f>IF(AND(P258&gt;0,S258=0),AF258,0)</x:f>
        <x:v>0</x:v>
      </x:c>
      <x:c r="AJ258" s="648" t="n">
        <x:f>IF(R258&lt;30000,AF258,0)</x:f>
        <x:v>0.000225</x:v>
      </x:c>
      <x:c r="AK258" s="647" t="n">
        <x:f>IF(P258&gt;0,AF258*S258,0)</x:f>
        <x:v>-0.9</x:v>
      </x:c>
    </x:row>
    <x:row r="259" ht="22" customHeight="1">
      <x:c r="A259" s="19" t="str">
        <x:v>中心</x:v>
      </x:c>
      <x:c r="B259" s="23" t="n">
        <x:f>'114_降本系数'!B27</x:f>
        <x:v>0.5</x:v>
      </x:c>
      <x:c r="C259" s="19" t="str">
        <x:v>L1A</x:v>
      </x:c>
      <x:c r="D259" s="23" t="n">
        <x:f>'130_联合算法'!C17</x:f>
        <x:v>0.15</x:v>
      </x:c>
      <x:c r="E259" s="460" t="n">
        <x:f>'117_价格概率传导'!A8</x:f>
        <x:v>249900</x:v>
      </x:c>
      <x:c r="F259" s="23" t="n">
        <x:f>'117_价格概率传导'!D8</x:f>
        <x:v>0.42</x:v>
      </x:c>
      <x:c r="G259" s="23" t="n">
        <x:f>SUM('117_价格概率传导'!$D$6:$D$7)</x:f>
        <x:v>0.08</x:v>
      </x:c>
      <x:c r="H259" s="23" t="n">
        <x:f>SUM('117_价格概率传导'!$D$6:$D$8)</x:f>
        <x:v>0.5</x:v>
      </x:c>
      <x:c r="I259" s="460" t="n">
        <x:f>'117_价格概率传导'!A16</x:f>
        <x:v>299900</x:v>
      </x:c>
      <x:c r="J259" s="23" t="n">
        <x:f>'117_价格概率传导'!D16</x:f>
        <x:v>0.02</x:v>
      </x:c>
      <x:c r="K259" s="23" t="n">
        <x:f>0</x:f>
        <x:v>0</x:v>
      </x:c>
      <x:c r="L259" s="23" t="n">
        <x:f>SUM('117_价格概率传导'!$D$16:$D$16)</x:f>
        <x:v>0.02</x:v>
      </x:c>
      <x:c r="M259" s="23" t="n">
        <x:f>MAX(0,MIN(H259,L259)-MAX(G259,K259))</x:f>
        <x:v>0</x:v>
      </x:c>
      <x:c r="N259" s="23" t="n">
        <x:f>B259*D259*M259</x:f>
        <x:v>0</x:v>
      </x:c>
      <x:c r="O259" s="460" t="n">
        <x:f>MIN(299900,I259+20000)</x:f>
        <x:v>299900</x:v>
      </x:c>
      <x:c r="P259" s="460" t="n">
        <x:f>O259-30000</x:f>
        <x:v>269900</x:v>
      </x:c>
      <x:c r="Q259" s="460" t="str">
        <x:f>""</x:f>
      </x:c>
      <x:c r="R259" s="460" t="n">
        <x:f>O259-E259</x:f>
        <x:v>50000</x:v>
      </x:c>
      <x:c r="S259" s="460" t="n">
        <x:f>IF(P259&gt;0,P259-E259,"")</x:f>
        <x:v>20000</x:v>
      </x:c>
      <x:c r="T259" s="460" t="str">
        <x:f>IF(Q259&gt;0,Q259-E259,"")</x:f>
      </x:c>
      <x:c r="U259" s="23" t="n">
        <x:f>IF(R259&lt;30000,N259,0)</x:f>
        <x:v>0</x:v>
      </x:c>
      <x:c r="V259" s="23" t="n">
        <x:f>IF(P259&gt;0,N259,0)</x:f>
        <x:v>0</x:v>
      </x:c>
      <x:c r="W259" s="23" t="n">
        <x:f>IF(AND(P259&gt;0,S259&lt;0),N259,0)</x:f>
        <x:v>0</x:v>
      </x:c>
      <x:c r="X259" s="23" t="n">
        <x:f>IF(AND(P259&gt;0,S259=0),N259,0)</x:f>
        <x:v>0</x:v>
      </x:c>
      <x:c r="Y259" s="23" t="n">
        <x:f>IF(Q259&gt;0,N259,0)</x:f>
        <x:v>0</x:v>
      </x:c>
      <x:c r="Z259" s="460" t="n">
        <x:f>IF(P259&gt;0,N259*S259,0)</x:f>
        <x:v>0</x:v>
      </x:c>
      <x:c r="AA259" s="460" t="n">
        <x:f>IF(Q259&gt;0,N259*T259,0)</x:f>
        <x:v>0</x:v>
      </x:c>
      <x:c r="AB259" s="460" t="n">
        <x:f>N259*R259</x:f>
        <x:v>0</x:v>
      </x:c>
      <x:c r="AC259" s="460" t="n">
        <x:f>IF(N259&gt;0,R259,999999)</x:f>
        <x:v>999999</x:v>
      </x:c>
      <x:c r="AD259" s="460" t="n">
        <x:f>IF(AND(N259&gt;0,P259&gt;0),S259,999999)</x:f>
        <x:v>999999</x:v>
      </x:c>
      <x:c r="AE259" s="460" t="n">
        <x:f>IF(AND(N259&gt;0,Q259&gt;0),T259,999999)</x:f>
        <x:v>999999</x:v>
      </x:c>
      <x:c r="AF259" s="23" t="n">
        <x:f>B259*D259*F259*J259</x:f>
        <x:v>0.00063</x:v>
      </x:c>
      <x:c r="AG259" s="23" t="n">
        <x:f>IF(P259&gt;0,AF259,0)</x:f>
        <x:v>0.00063</x:v>
      </x:c>
      <x:c r="AH259" s="23" t="n">
        <x:f>IF(AND(P259&gt;0,S259&lt;0),AF259,0)</x:f>
        <x:v>0</x:v>
      </x:c>
      <x:c r="AI259" s="23" t="n">
        <x:f>IF(AND(P259&gt;0,S259=0),AF259,0)</x:f>
        <x:v>0</x:v>
      </x:c>
      <x:c r="AJ259" s="23" t="n">
        <x:f>IF(R259&lt;30000,AF259,0)</x:f>
        <x:v>0</x:v>
      </x:c>
      <x:c r="AK259" s="460" t="n">
        <x:f>IF(P259&gt;0,AF259*S259,0)</x:f>
        <x:v>12.6</x:v>
      </x:c>
    </x:row>
    <x:row r="260" ht="22" customHeight="1">
      <x:c r="A260" s="643" t="str">
        <x:v>中心</x:v>
      </x:c>
      <x:c r="B260" s="648" t="n">
        <x:f>'114_降本系数'!B27</x:f>
        <x:v>0.5</x:v>
      </x:c>
      <x:c r="C260" s="643" t="str">
        <x:v>L1A</x:v>
      </x:c>
      <x:c r="D260" s="648" t="n">
        <x:f>'130_联合算法'!C17</x:f>
        <x:v>0.15</x:v>
      </x:c>
      <x:c r="E260" s="647" t="n">
        <x:f>'117_价格概率传导'!A8</x:f>
        <x:v>249900</x:v>
      </x:c>
      <x:c r="F260" s="648" t="n">
        <x:f>'117_价格概率传导'!D8</x:f>
        <x:v>0.42</x:v>
      </x:c>
      <x:c r="G260" s="648" t="n">
        <x:f>SUM('117_价格概率传导'!$D$6:$D$7)</x:f>
        <x:v>0.08</x:v>
      </x:c>
      <x:c r="H260" s="648" t="n">
        <x:f>SUM('117_价格概率传导'!$D$6:$D$8)</x:f>
        <x:v>0.5</x:v>
      </x:c>
      <x:c r="I260" s="647" t="n">
        <x:f>'117_价格概率传导'!A17</x:f>
        <x:v>293900</x:v>
      </x:c>
      <x:c r="J260" s="648" t="n">
        <x:f>'117_价格概率传导'!D17</x:f>
        <x:v>0.03</x:v>
      </x:c>
      <x:c r="K260" s="648" t="n">
        <x:f>SUM('117_价格概率传导'!$D$16:$D$16)</x:f>
        <x:v>0.02</x:v>
      </x:c>
      <x:c r="L260" s="648" t="n">
        <x:f>SUM('117_价格概率传导'!$D$16:$D$17)</x:f>
        <x:v>0.05</x:v>
      </x:c>
      <x:c r="M260" s="648" t="n">
        <x:f>MAX(0,MIN(H260,L260)-MAX(G260,K260))</x:f>
        <x:v>0</x:v>
      </x:c>
      <x:c r="N260" s="648" t="n">
        <x:f>B260*D260*M260</x:f>
        <x:v>0</x:v>
      </x:c>
      <x:c r="O260" s="647" t="n">
        <x:f>MIN(299900,I260+20000)</x:f>
        <x:v>299900</x:v>
      </x:c>
      <x:c r="P260" s="647" t="n">
        <x:f>O260-30000</x:f>
        <x:v>269900</x:v>
      </x:c>
      <x:c r="Q260" s="647" t="str">
        <x:f>""</x:f>
      </x:c>
      <x:c r="R260" s="647" t="n">
        <x:f>O260-E260</x:f>
        <x:v>50000</x:v>
      </x:c>
      <x:c r="S260" s="647" t="n">
        <x:f>IF(P260&gt;0,P260-E260,"")</x:f>
        <x:v>20000</x:v>
      </x:c>
      <x:c r="T260" s="647" t="str">
        <x:f>IF(Q260&gt;0,Q260-E260,"")</x:f>
      </x:c>
      <x:c r="U260" s="648" t="n">
        <x:f>IF(R260&lt;30000,N260,0)</x:f>
        <x:v>0</x:v>
      </x:c>
      <x:c r="V260" s="648" t="n">
        <x:f>IF(P260&gt;0,N260,0)</x:f>
        <x:v>0</x:v>
      </x:c>
      <x:c r="W260" s="648" t="n">
        <x:f>IF(AND(P260&gt;0,S260&lt;0),N260,0)</x:f>
        <x:v>0</x:v>
      </x:c>
      <x:c r="X260" s="648" t="n">
        <x:f>IF(AND(P260&gt;0,S260=0),N260,0)</x:f>
        <x:v>0</x:v>
      </x:c>
      <x:c r="Y260" s="648" t="n">
        <x:f>IF(Q260&gt;0,N260,0)</x:f>
        <x:v>0</x:v>
      </x:c>
      <x:c r="Z260" s="647" t="n">
        <x:f>IF(P260&gt;0,N260*S260,0)</x:f>
        <x:v>0</x:v>
      </x:c>
      <x:c r="AA260" s="647" t="n">
        <x:f>IF(Q260&gt;0,N260*T260,0)</x:f>
        <x:v>0</x:v>
      </x:c>
      <x:c r="AB260" s="647" t="n">
        <x:f>N260*R260</x:f>
        <x:v>0</x:v>
      </x:c>
      <x:c r="AC260" s="647" t="n">
        <x:f>IF(N260&gt;0,R260,999999)</x:f>
        <x:v>999999</x:v>
      </x:c>
      <x:c r="AD260" s="647" t="n">
        <x:f>IF(AND(N260&gt;0,P260&gt;0),S260,999999)</x:f>
        <x:v>999999</x:v>
      </x:c>
      <x:c r="AE260" s="647" t="n">
        <x:f>IF(AND(N260&gt;0,Q260&gt;0),T260,999999)</x:f>
        <x:v>999999</x:v>
      </x:c>
      <x:c r="AF260" s="648" t="n">
        <x:f>B260*D260*F260*J260</x:f>
        <x:v>0.000945</x:v>
      </x:c>
      <x:c r="AG260" s="648" t="n">
        <x:f>IF(P260&gt;0,AF260,0)</x:f>
        <x:v>0.000945</x:v>
      </x:c>
      <x:c r="AH260" s="648" t="n">
        <x:f>IF(AND(P260&gt;0,S260&lt;0),AF260,0)</x:f>
        <x:v>0</x:v>
      </x:c>
      <x:c r="AI260" s="648" t="n">
        <x:f>IF(AND(P260&gt;0,S260=0),AF260,0)</x:f>
        <x:v>0</x:v>
      </x:c>
      <x:c r="AJ260" s="648" t="n">
        <x:f>IF(R260&lt;30000,AF260,0)</x:f>
        <x:v>0</x:v>
      </x:c>
      <x:c r="AK260" s="647" t="n">
        <x:f>IF(P260&gt;0,AF260*S260,0)</x:f>
        <x:v>18.9</x:v>
      </x:c>
    </x:row>
    <x:row r="261" ht="22" customHeight="1">
      <x:c r="A261" s="19" t="str">
        <x:v>中心</x:v>
      </x:c>
      <x:c r="B261" s="23" t="n">
        <x:f>'114_降本系数'!B27</x:f>
        <x:v>0.5</x:v>
      </x:c>
      <x:c r="C261" s="19" t="str">
        <x:v>L1A</x:v>
      </x:c>
      <x:c r="D261" s="23" t="n">
        <x:f>'130_联合算法'!C17</x:f>
        <x:v>0.15</x:v>
      </x:c>
      <x:c r="E261" s="460" t="n">
        <x:f>'117_价格概率传导'!A8</x:f>
        <x:v>249900</x:v>
      </x:c>
      <x:c r="F261" s="23" t="n">
        <x:f>'117_价格概率传导'!D8</x:f>
        <x:v>0.42</x:v>
      </x:c>
      <x:c r="G261" s="23" t="n">
        <x:f>SUM('117_价格概率传导'!$D$6:$D$7)</x:f>
        <x:v>0.08</x:v>
      </x:c>
      <x:c r="H261" s="23" t="n">
        <x:f>SUM('117_价格概率传导'!$D$6:$D$8)</x:f>
        <x:v>0.5</x:v>
      </x:c>
      <x:c r="I261" s="460" t="n">
        <x:f>'117_价格概率传导'!A18</x:f>
        <x:v>289900</x:v>
      </x:c>
      <x:c r="J261" s="23" t="n">
        <x:f>'117_价格概率传导'!D18</x:f>
        <x:v>0.22</x:v>
      </x:c>
      <x:c r="K261" s="23" t="n">
        <x:f>SUM('117_价格概率传导'!$D$16:$D$17)</x:f>
        <x:v>0.05</x:v>
      </x:c>
      <x:c r="L261" s="23" t="n">
        <x:f>SUM('117_价格概率传导'!$D$16:$D$18)</x:f>
        <x:v>0.27</x:v>
      </x:c>
      <x:c r="M261" s="23" t="n">
        <x:f>MAX(0,MIN(H261,L261)-MAX(G261,K261))</x:f>
        <x:v>0.19</x:v>
      </x:c>
      <x:c r="N261" s="23" t="n">
        <x:f>B261*D261*M261</x:f>
        <x:v>0.014249999999999999</x:v>
      </x:c>
      <x:c r="O261" s="460" t="n">
        <x:f>MIN(299900,I261+20000)</x:f>
        <x:v>299900</x:v>
      </x:c>
      <x:c r="P261" s="460" t="n">
        <x:f>O261-30000</x:f>
        <x:v>269900</x:v>
      </x:c>
      <x:c r="Q261" s="460" t="str">
        <x:f>""</x:f>
      </x:c>
      <x:c r="R261" s="460" t="n">
        <x:f>O261-E261</x:f>
        <x:v>50000</x:v>
      </x:c>
      <x:c r="S261" s="460" t="n">
        <x:f>IF(P261&gt;0,P261-E261,"")</x:f>
        <x:v>20000</x:v>
      </x:c>
      <x:c r="T261" s="460" t="str">
        <x:f>IF(Q261&gt;0,Q261-E261,"")</x:f>
      </x:c>
      <x:c r="U261" s="23" t="n">
        <x:f>IF(R261&lt;30000,N261,0)</x:f>
        <x:v>0</x:v>
      </x:c>
      <x:c r="V261" s="23" t="n">
        <x:f>IF(P261&gt;0,N261,0)</x:f>
        <x:v>0.014249999999999999</x:v>
      </x:c>
      <x:c r="W261" s="23" t="n">
        <x:f>IF(AND(P261&gt;0,S261&lt;0),N261,0)</x:f>
        <x:v>0</x:v>
      </x:c>
      <x:c r="X261" s="23" t="n">
        <x:f>IF(AND(P261&gt;0,S261=0),N261,0)</x:f>
        <x:v>0</x:v>
      </x:c>
      <x:c r="Y261" s="23" t="n">
        <x:f>IF(Q261&gt;0,N261,0)</x:f>
        <x:v>0</x:v>
      </x:c>
      <x:c r="Z261" s="460" t="n">
        <x:f>IF(P261&gt;0,N261*S261,0)</x:f>
        <x:v>285</x:v>
      </x:c>
      <x:c r="AA261" s="460" t="n">
        <x:f>IF(Q261&gt;0,N261*T261,0)</x:f>
        <x:v>0</x:v>
      </x:c>
      <x:c r="AB261" s="460" t="n">
        <x:f>N261*R261</x:f>
        <x:v>712.4999999999999</x:v>
      </x:c>
      <x:c r="AC261" s="460" t="n">
        <x:f>IF(N261&gt;0,R261,999999)</x:f>
        <x:v>50000</x:v>
      </x:c>
      <x:c r="AD261" s="460" t="n">
        <x:f>IF(AND(N261&gt;0,P261&gt;0),S261,999999)</x:f>
        <x:v>20000</x:v>
      </x:c>
      <x:c r="AE261" s="460" t="n">
        <x:f>IF(AND(N261&gt;0,Q261&gt;0),T261,999999)</x:f>
        <x:v>999999</x:v>
      </x:c>
      <x:c r="AF261" s="23" t="n">
        <x:f>B261*D261*F261*J261</x:f>
        <x:v>0.00693</x:v>
      </x:c>
      <x:c r="AG261" s="23" t="n">
        <x:f>IF(P261&gt;0,AF261,0)</x:f>
        <x:v>0.00693</x:v>
      </x:c>
      <x:c r="AH261" s="23" t="n">
        <x:f>IF(AND(P261&gt;0,S261&lt;0),AF261,0)</x:f>
        <x:v>0</x:v>
      </x:c>
      <x:c r="AI261" s="23" t="n">
        <x:f>IF(AND(P261&gt;0,S261=0),AF261,0)</x:f>
        <x:v>0</x:v>
      </x:c>
      <x:c r="AJ261" s="23" t="n">
        <x:f>IF(R261&lt;30000,AF261,0)</x:f>
        <x:v>0</x:v>
      </x:c>
      <x:c r="AK261" s="460" t="n">
        <x:f>IF(P261&gt;0,AF261*S261,0)</x:f>
        <x:v>138.6</x:v>
      </x:c>
    </x:row>
    <x:row r="262" ht="22" customHeight="1">
      <x:c r="A262" s="643" t="str">
        <x:v>中心</x:v>
      </x:c>
      <x:c r="B262" s="648" t="n">
        <x:f>'114_降本系数'!B27</x:f>
        <x:v>0.5</x:v>
      </x:c>
      <x:c r="C262" s="643" t="str">
        <x:v>L1A</x:v>
      </x:c>
      <x:c r="D262" s="648" t="n">
        <x:f>'130_联合算法'!C17</x:f>
        <x:v>0.15</x:v>
      </x:c>
      <x:c r="E262" s="647" t="n">
        <x:f>'117_价格概率传导'!A8</x:f>
        <x:v>249900</x:v>
      </x:c>
      <x:c r="F262" s="648" t="n">
        <x:f>'117_价格概率传导'!D8</x:f>
        <x:v>0.42</x:v>
      </x:c>
      <x:c r="G262" s="648" t="n">
        <x:f>SUM('117_价格概率传导'!$D$6:$D$7)</x:f>
        <x:v>0.08</x:v>
      </x:c>
      <x:c r="H262" s="648" t="n">
        <x:f>SUM('117_价格概率传导'!$D$6:$D$8)</x:f>
        <x:v>0.5</x:v>
      </x:c>
      <x:c r="I262" s="647" t="n">
        <x:f>'117_价格概率传导'!A19</x:f>
        <x:v>279900</x:v>
      </x:c>
      <x:c r="J262" s="648" t="n">
        <x:f>'117_价格概率传导'!D19</x:f>
        <x:v>0.44</x:v>
      </x:c>
      <x:c r="K262" s="648" t="n">
        <x:f>SUM('117_价格概率传导'!$D$16:$D$18)</x:f>
        <x:v>0.27</x:v>
      </x:c>
      <x:c r="L262" s="648" t="n">
        <x:f>SUM('117_价格概率传导'!$D$16:$D$19)</x:f>
        <x:v>0.71</x:v>
      </x:c>
      <x:c r="M262" s="648" t="n">
        <x:f>MAX(0,MIN(H262,L262)-MAX(G262,K262))</x:f>
        <x:v>0.22999999999999998</x:v>
      </x:c>
      <x:c r="N262" s="648" t="n">
        <x:f>B262*D262*M262</x:f>
        <x:v>0.017249999999999998</x:v>
      </x:c>
      <x:c r="O262" s="647" t="n">
        <x:f>MIN(299900,I262+20000)</x:f>
        <x:v>299900</x:v>
      </x:c>
      <x:c r="P262" s="647" t="n">
        <x:f>O262-30000</x:f>
        <x:v>269900</x:v>
      </x:c>
      <x:c r="Q262" s="647" t="str">
        <x:f>""</x:f>
      </x:c>
      <x:c r="R262" s="647" t="n">
        <x:f>O262-E262</x:f>
        <x:v>50000</x:v>
      </x:c>
      <x:c r="S262" s="647" t="n">
        <x:f>IF(P262&gt;0,P262-E262,"")</x:f>
        <x:v>20000</x:v>
      </x:c>
      <x:c r="T262" s="647" t="str">
        <x:f>IF(Q262&gt;0,Q262-E262,"")</x:f>
      </x:c>
      <x:c r="U262" s="648" t="n">
        <x:f>IF(R262&lt;30000,N262,0)</x:f>
        <x:v>0</x:v>
      </x:c>
      <x:c r="V262" s="648" t="n">
        <x:f>IF(P262&gt;0,N262,0)</x:f>
        <x:v>0.017249999999999998</x:v>
      </x:c>
      <x:c r="W262" s="648" t="n">
        <x:f>IF(AND(P262&gt;0,S262&lt;0),N262,0)</x:f>
        <x:v>0</x:v>
      </x:c>
      <x:c r="X262" s="648" t="n">
        <x:f>IF(AND(P262&gt;0,S262=0),N262,0)</x:f>
        <x:v>0</x:v>
      </x:c>
      <x:c r="Y262" s="648" t="n">
        <x:f>IF(Q262&gt;0,N262,0)</x:f>
        <x:v>0</x:v>
      </x:c>
      <x:c r="Z262" s="647" t="n">
        <x:f>IF(P262&gt;0,N262*S262,0)</x:f>
        <x:v>344.99999999999994</x:v>
      </x:c>
      <x:c r="AA262" s="647" t="n">
        <x:f>IF(Q262&gt;0,N262*T262,0)</x:f>
        <x:v>0</x:v>
      </x:c>
      <x:c r="AB262" s="647" t="n">
        <x:f>N262*R262</x:f>
        <x:v>862.4999999999999</x:v>
      </x:c>
      <x:c r="AC262" s="647" t="n">
        <x:f>IF(N262&gt;0,R262,999999)</x:f>
        <x:v>50000</x:v>
      </x:c>
      <x:c r="AD262" s="647" t="n">
        <x:f>IF(AND(N262&gt;0,P262&gt;0),S262,999999)</x:f>
        <x:v>20000</x:v>
      </x:c>
      <x:c r="AE262" s="647" t="n">
        <x:f>IF(AND(N262&gt;0,Q262&gt;0),T262,999999)</x:f>
        <x:v>999999</x:v>
      </x:c>
      <x:c r="AF262" s="648" t="n">
        <x:f>B262*D262*F262*J262</x:f>
        <x:v>0.01386</x:v>
      </x:c>
      <x:c r="AG262" s="648" t="n">
        <x:f>IF(P262&gt;0,AF262,0)</x:f>
        <x:v>0.01386</x:v>
      </x:c>
      <x:c r="AH262" s="648" t="n">
        <x:f>IF(AND(P262&gt;0,S262&lt;0),AF262,0)</x:f>
        <x:v>0</x:v>
      </x:c>
      <x:c r="AI262" s="648" t="n">
        <x:f>IF(AND(P262&gt;0,S262=0),AF262,0)</x:f>
        <x:v>0</x:v>
      </x:c>
      <x:c r="AJ262" s="648" t="n">
        <x:f>IF(R262&lt;30000,AF262,0)</x:f>
        <x:v>0</x:v>
      </x:c>
      <x:c r="AK262" s="647" t="n">
        <x:f>IF(P262&gt;0,AF262*S262,0)</x:f>
        <x:v>277.2</x:v>
      </x:c>
    </x:row>
    <x:row r="263" ht="22" customHeight="1">
      <x:c r="A263" s="19" t="str">
        <x:v>中心</x:v>
      </x:c>
      <x:c r="B263" s="23" t="n">
        <x:f>'114_降本系数'!B27</x:f>
        <x:v>0.5</x:v>
      </x:c>
      <x:c r="C263" s="19" t="str">
        <x:v>L1A</x:v>
      </x:c>
      <x:c r="D263" s="23" t="n">
        <x:f>'130_联合算法'!C17</x:f>
        <x:v>0.15</x:v>
      </x:c>
      <x:c r="E263" s="460" t="n">
        <x:f>'117_价格概率传导'!A8</x:f>
        <x:v>249900</x:v>
      </x:c>
      <x:c r="F263" s="23" t="n">
        <x:f>'117_价格概率传导'!D8</x:f>
        <x:v>0.42</x:v>
      </x:c>
      <x:c r="G263" s="23" t="n">
        <x:f>SUM('117_价格概率传导'!$D$6:$D$7)</x:f>
        <x:v>0.08</x:v>
      </x:c>
      <x:c r="H263" s="23" t="n">
        <x:f>SUM('117_价格概率传导'!$D$6:$D$8)</x:f>
        <x:v>0.5</x:v>
      </x:c>
      <x:c r="I263" s="460" t="n">
        <x:f>'117_价格概率传导'!A20</x:f>
        <x:v>269900</x:v>
      </x:c>
      <x:c r="J263" s="23" t="n">
        <x:f>'117_价格概率传导'!D20</x:f>
        <x:v>0.23</x:v>
      </x:c>
      <x:c r="K263" s="23" t="n">
        <x:f>SUM('117_价格概率传导'!$D$16:$D$19)</x:f>
        <x:v>0.71</x:v>
      </x:c>
      <x:c r="L263" s="23" t="n">
        <x:f>SUM('117_价格概率传导'!$D$16:$D$20)</x:f>
        <x:v>0.94</x:v>
      </x:c>
      <x:c r="M263" s="23" t="n">
        <x:f>MAX(0,MIN(H263,L263)-MAX(G263,K263))</x:f>
        <x:v>0</x:v>
      </x:c>
      <x:c r="N263" s="23" t="n">
        <x:f>B263*D263*M263</x:f>
        <x:v>0</x:v>
      </x:c>
      <x:c r="O263" s="460" t="n">
        <x:f>MIN(299900,I263+20000)</x:f>
        <x:v>289900</x:v>
      </x:c>
      <x:c r="P263" s="460" t="n">
        <x:f>O263-30000</x:f>
        <x:v>259900</x:v>
      </x:c>
      <x:c r="Q263" s="460" t="str">
        <x:f>""</x:f>
      </x:c>
      <x:c r="R263" s="460" t="n">
        <x:f>O263-E263</x:f>
        <x:v>40000</x:v>
      </x:c>
      <x:c r="S263" s="460" t="n">
        <x:f>IF(P263&gt;0,P263-E263,"")</x:f>
        <x:v>10000</x:v>
      </x:c>
      <x:c r="T263" s="460" t="str">
        <x:f>IF(Q263&gt;0,Q263-E263,"")</x:f>
      </x:c>
      <x:c r="U263" s="23" t="n">
        <x:f>IF(R263&lt;30000,N263,0)</x:f>
        <x:v>0</x:v>
      </x:c>
      <x:c r="V263" s="23" t="n">
        <x:f>IF(P263&gt;0,N263,0)</x:f>
        <x:v>0</x:v>
      </x:c>
      <x:c r="W263" s="23" t="n">
        <x:f>IF(AND(P263&gt;0,S263&lt;0),N263,0)</x:f>
        <x:v>0</x:v>
      </x:c>
      <x:c r="X263" s="23" t="n">
        <x:f>IF(AND(P263&gt;0,S263=0),N263,0)</x:f>
        <x:v>0</x:v>
      </x:c>
      <x:c r="Y263" s="23" t="n">
        <x:f>IF(Q263&gt;0,N263,0)</x:f>
        <x:v>0</x:v>
      </x:c>
      <x:c r="Z263" s="460" t="n">
        <x:f>IF(P263&gt;0,N263*S263,0)</x:f>
        <x:v>0</x:v>
      </x:c>
      <x:c r="AA263" s="460" t="n">
        <x:f>IF(Q263&gt;0,N263*T263,0)</x:f>
        <x:v>0</x:v>
      </x:c>
      <x:c r="AB263" s="460" t="n">
        <x:f>N263*R263</x:f>
        <x:v>0</x:v>
      </x:c>
      <x:c r="AC263" s="460" t="n">
        <x:f>IF(N263&gt;0,R263,999999)</x:f>
        <x:v>999999</x:v>
      </x:c>
      <x:c r="AD263" s="460" t="n">
        <x:f>IF(AND(N263&gt;0,P263&gt;0),S263,999999)</x:f>
        <x:v>999999</x:v>
      </x:c>
      <x:c r="AE263" s="460" t="n">
        <x:f>IF(AND(N263&gt;0,Q263&gt;0),T263,999999)</x:f>
        <x:v>999999</x:v>
      </x:c>
      <x:c r="AF263" s="23" t="n">
        <x:f>B263*D263*F263*J263</x:f>
        <x:v>0.007245000000000001</x:v>
      </x:c>
      <x:c r="AG263" s="23" t="n">
        <x:f>IF(P263&gt;0,AF263,0)</x:f>
        <x:v>0.007245000000000001</x:v>
      </x:c>
      <x:c r="AH263" s="23" t="n">
        <x:f>IF(AND(P263&gt;0,S263&lt;0),AF263,0)</x:f>
        <x:v>0</x:v>
      </x:c>
      <x:c r="AI263" s="23" t="n">
        <x:f>IF(AND(P263&gt;0,S263=0),AF263,0)</x:f>
        <x:v>0</x:v>
      </x:c>
      <x:c r="AJ263" s="23" t="n">
        <x:f>IF(R263&lt;30000,AF263,0)</x:f>
        <x:v>0</x:v>
      </x:c>
      <x:c r="AK263" s="460" t="n">
        <x:f>IF(P263&gt;0,AF263*S263,0)</x:f>
        <x:v>72.45</x:v>
      </x:c>
    </x:row>
    <x:row r="264" ht="22" customHeight="1">
      <x:c r="A264" s="643" t="str">
        <x:v>中心</x:v>
      </x:c>
      <x:c r="B264" s="648" t="n">
        <x:f>'114_降本系数'!B27</x:f>
        <x:v>0.5</x:v>
      </x:c>
      <x:c r="C264" s="643" t="str">
        <x:v>L1A</x:v>
      </x:c>
      <x:c r="D264" s="648" t="n">
        <x:f>'130_联合算法'!C17</x:f>
        <x:v>0.15</x:v>
      </x:c>
      <x:c r="E264" s="647" t="n">
        <x:f>'117_价格概率传导'!A8</x:f>
        <x:v>249900</x:v>
      </x:c>
      <x:c r="F264" s="648" t="n">
        <x:f>'117_价格概率传导'!D8</x:f>
        <x:v>0.42</x:v>
      </x:c>
      <x:c r="G264" s="648" t="n">
        <x:f>SUM('117_价格概率传导'!$D$6:$D$7)</x:f>
        <x:v>0.08</x:v>
      </x:c>
      <x:c r="H264" s="648" t="n">
        <x:f>SUM('117_价格概率传导'!$D$6:$D$8)</x:f>
        <x:v>0.5</x:v>
      </x:c>
      <x:c r="I264" s="647" t="n">
        <x:f>'117_价格概率传导'!A21</x:f>
        <x:v>259900</x:v>
      </x:c>
      <x:c r="J264" s="648" t="n">
        <x:f>'117_价格概率传导'!D21</x:f>
        <x:v>0.06</x:v>
      </x:c>
      <x:c r="K264" s="648" t="n">
        <x:f>SUM('117_价格概率传导'!$D$16:$D$20)</x:f>
        <x:v>0.94</x:v>
      </x:c>
      <x:c r="L264" s="648" t="n">
        <x:f>SUM('117_价格概率传导'!$D$16:$D$21)</x:f>
        <x:v>1</x:v>
      </x:c>
      <x:c r="M264" s="648" t="n">
        <x:f>MAX(0,MIN(H264,L264)-MAX(G264,K264))</x:f>
        <x:v>0</x:v>
      </x:c>
      <x:c r="N264" s="648" t="n">
        <x:f>B264*D264*M264</x:f>
        <x:v>0</x:v>
      </x:c>
      <x:c r="O264" s="647" t="n">
        <x:f>MIN(299900,I264+20000)</x:f>
        <x:v>279900</x:v>
      </x:c>
      <x:c r="P264" s="647" t="n">
        <x:f>O264-30000</x:f>
        <x:v>249900</x:v>
      </x:c>
      <x:c r="Q264" s="647" t="str">
        <x:f>""</x:f>
      </x:c>
      <x:c r="R264" s="647" t="n">
        <x:f>O264-E264</x:f>
        <x:v>30000</x:v>
      </x:c>
      <x:c r="S264" s="647" t="n">
        <x:f>IF(P264&gt;0,P264-E264,"")</x:f>
        <x:v>0</x:v>
      </x:c>
      <x:c r="T264" s="647" t="str">
        <x:f>IF(Q264&gt;0,Q264-E264,"")</x:f>
      </x:c>
      <x:c r="U264" s="648" t="n">
        <x:f>IF(R264&lt;30000,N264,0)</x:f>
        <x:v>0</x:v>
      </x:c>
      <x:c r="V264" s="648" t="n">
        <x:f>IF(P264&gt;0,N264,0)</x:f>
        <x:v>0</x:v>
      </x:c>
      <x:c r="W264" s="648" t="n">
        <x:f>IF(AND(P264&gt;0,S264&lt;0),N264,0)</x:f>
        <x:v>0</x:v>
      </x:c>
      <x:c r="X264" s="648" t="n">
        <x:f>IF(AND(P264&gt;0,S264=0),N264,0)</x:f>
        <x:v>0</x:v>
      </x:c>
      <x:c r="Y264" s="648" t="n">
        <x:f>IF(Q264&gt;0,N264,0)</x:f>
        <x:v>0</x:v>
      </x:c>
      <x:c r="Z264" s="647" t="n">
        <x:f>IF(P264&gt;0,N264*S264,0)</x:f>
        <x:v>0</x:v>
      </x:c>
      <x:c r="AA264" s="647" t="n">
        <x:f>IF(Q264&gt;0,N264*T264,0)</x:f>
        <x:v>0</x:v>
      </x:c>
      <x:c r="AB264" s="647" t="n">
        <x:f>N264*R264</x:f>
        <x:v>0</x:v>
      </x:c>
      <x:c r="AC264" s="647" t="n">
        <x:f>IF(N264&gt;0,R264,999999)</x:f>
        <x:v>999999</x:v>
      </x:c>
      <x:c r="AD264" s="647" t="n">
        <x:f>IF(AND(N264&gt;0,P264&gt;0),S264,999999)</x:f>
        <x:v>999999</x:v>
      </x:c>
      <x:c r="AE264" s="647" t="n">
        <x:f>IF(AND(N264&gt;0,Q264&gt;0),T264,999999)</x:f>
        <x:v>999999</x:v>
      </x:c>
      <x:c r="AF264" s="648" t="n">
        <x:f>B264*D264*F264*J264</x:f>
        <x:v>0.00189</x:v>
      </x:c>
      <x:c r="AG264" s="648" t="n">
        <x:f>IF(P264&gt;0,AF264,0)</x:f>
        <x:v>0.00189</x:v>
      </x:c>
      <x:c r="AH264" s="648" t="n">
        <x:f>IF(AND(P264&gt;0,S264&lt;0),AF264,0)</x:f>
        <x:v>0</x:v>
      </x:c>
      <x:c r="AI264" s="648" t="n">
        <x:f>IF(AND(P264&gt;0,S264=0),AF264,0)</x:f>
        <x:v>0.00189</x:v>
      </x:c>
      <x:c r="AJ264" s="648" t="n">
        <x:f>IF(R264&lt;30000,AF264,0)</x:f>
        <x:v>0</x:v>
      </x:c>
      <x:c r="AK264" s="647" t="n">
        <x:f>IF(P264&gt;0,AF264*S264,0)</x:f>
        <x:v>0</x:v>
      </x:c>
    </x:row>
    <x:row r="265" ht="22" customHeight="1">
      <x:c r="A265" s="19" t="str">
        <x:v>中心</x:v>
      </x:c>
      <x:c r="B265" s="23" t="n">
        <x:f>'114_降本系数'!B27</x:f>
        <x:v>0.5</x:v>
      </x:c>
      <x:c r="C265" s="19" t="str">
        <x:v>L1A</x:v>
      </x:c>
      <x:c r="D265" s="23" t="n">
        <x:f>'130_联合算法'!C17</x:f>
        <x:v>0.15</x:v>
      </x:c>
      <x:c r="E265" s="460" t="n">
        <x:f>'117_价格概率传导'!A9</x:f>
        <x:v>239900</x:v>
      </x:c>
      <x:c r="F265" s="23" t="n">
        <x:f>'117_价格概率传导'!D9</x:f>
        <x:v>0.34</x:v>
      </x:c>
      <x:c r="G265" s="23" t="n">
        <x:f>SUM('117_价格概率传导'!$D$6:$D$8)</x:f>
        <x:v>0.5</x:v>
      </x:c>
      <x:c r="H265" s="23" t="n">
        <x:f>SUM('117_价格概率传导'!$D$6:$D$9)</x:f>
        <x:v>0.8400000000000001</x:v>
      </x:c>
      <x:c r="I265" s="460" t="n">
        <x:f>'117_价格概率传导'!A16</x:f>
        <x:v>299900</x:v>
      </x:c>
      <x:c r="J265" s="23" t="n">
        <x:f>'117_价格概率传导'!D16</x:f>
        <x:v>0.02</x:v>
      </x:c>
      <x:c r="K265" s="23" t="n">
        <x:f>0</x:f>
        <x:v>0</x:v>
      </x:c>
      <x:c r="L265" s="23" t="n">
        <x:f>SUM('117_价格概率传导'!$D$16:$D$16)</x:f>
        <x:v>0.02</x:v>
      </x:c>
      <x:c r="M265" s="23" t="n">
        <x:f>MAX(0,MIN(H265,L265)-MAX(G265,K265))</x:f>
        <x:v>0</x:v>
      </x:c>
      <x:c r="N265" s="23" t="n">
        <x:f>B265*D265*M265</x:f>
        <x:v>0</x:v>
      </x:c>
      <x:c r="O265" s="460" t="n">
        <x:f>MIN(299900,I265+20000)</x:f>
        <x:v>299900</x:v>
      </x:c>
      <x:c r="P265" s="460" t="n">
        <x:f>O265-30000</x:f>
        <x:v>269900</x:v>
      </x:c>
      <x:c r="Q265" s="460" t="str">
        <x:f>""</x:f>
      </x:c>
      <x:c r="R265" s="460" t="n">
        <x:f>O265-E265</x:f>
        <x:v>60000</x:v>
      </x:c>
      <x:c r="S265" s="460" t="n">
        <x:f>IF(P265&gt;0,P265-E265,"")</x:f>
        <x:v>30000</x:v>
      </x:c>
      <x:c r="T265" s="460" t="str">
        <x:f>IF(Q265&gt;0,Q265-E265,"")</x:f>
      </x:c>
      <x:c r="U265" s="23" t="n">
        <x:f>IF(R265&lt;30000,N265,0)</x:f>
        <x:v>0</x:v>
      </x:c>
      <x:c r="V265" s="23" t="n">
        <x:f>IF(P265&gt;0,N265,0)</x:f>
        <x:v>0</x:v>
      </x:c>
      <x:c r="W265" s="23" t="n">
        <x:f>IF(AND(P265&gt;0,S265&lt;0),N265,0)</x:f>
        <x:v>0</x:v>
      </x:c>
      <x:c r="X265" s="23" t="n">
        <x:f>IF(AND(P265&gt;0,S265=0),N265,0)</x:f>
        <x:v>0</x:v>
      </x:c>
      <x:c r="Y265" s="23" t="n">
        <x:f>IF(Q265&gt;0,N265,0)</x:f>
        <x:v>0</x:v>
      </x:c>
      <x:c r="Z265" s="460" t="n">
        <x:f>IF(P265&gt;0,N265*S265,0)</x:f>
        <x:v>0</x:v>
      </x:c>
      <x:c r="AA265" s="460" t="n">
        <x:f>IF(Q265&gt;0,N265*T265,0)</x:f>
        <x:v>0</x:v>
      </x:c>
      <x:c r="AB265" s="460" t="n">
        <x:f>N265*R265</x:f>
        <x:v>0</x:v>
      </x:c>
      <x:c r="AC265" s="460" t="n">
        <x:f>IF(N265&gt;0,R265,999999)</x:f>
        <x:v>999999</x:v>
      </x:c>
      <x:c r="AD265" s="460" t="n">
        <x:f>IF(AND(N265&gt;0,P265&gt;0),S265,999999)</x:f>
        <x:v>999999</x:v>
      </x:c>
      <x:c r="AE265" s="460" t="n">
        <x:f>IF(AND(N265&gt;0,Q265&gt;0),T265,999999)</x:f>
        <x:v>999999</x:v>
      </x:c>
      <x:c r="AF265" s="23" t="n">
        <x:f>B265*D265*F265*J265</x:f>
        <x:v>0.00051</x:v>
      </x:c>
      <x:c r="AG265" s="23" t="n">
        <x:f>IF(P265&gt;0,AF265,0)</x:f>
        <x:v>0.00051</x:v>
      </x:c>
      <x:c r="AH265" s="23" t="n">
        <x:f>IF(AND(P265&gt;0,S265&lt;0),AF265,0)</x:f>
        <x:v>0</x:v>
      </x:c>
      <x:c r="AI265" s="23" t="n">
        <x:f>IF(AND(P265&gt;0,S265=0),AF265,0)</x:f>
        <x:v>0</x:v>
      </x:c>
      <x:c r="AJ265" s="23" t="n">
        <x:f>IF(R265&lt;30000,AF265,0)</x:f>
        <x:v>0</x:v>
      </x:c>
      <x:c r="AK265" s="460" t="n">
        <x:f>IF(P265&gt;0,AF265*S265,0)</x:f>
        <x:v>15.3</x:v>
      </x:c>
    </x:row>
    <x:row r="266" ht="22" customHeight="1">
      <x:c r="A266" s="643" t="str">
        <x:v>中心</x:v>
      </x:c>
      <x:c r="B266" s="648" t="n">
        <x:f>'114_降本系数'!B27</x:f>
        <x:v>0.5</x:v>
      </x:c>
      <x:c r="C266" s="643" t="str">
        <x:v>L1A</x:v>
      </x:c>
      <x:c r="D266" s="648" t="n">
        <x:f>'130_联合算法'!C17</x:f>
        <x:v>0.15</x:v>
      </x:c>
      <x:c r="E266" s="647" t="n">
        <x:f>'117_价格概率传导'!A9</x:f>
        <x:v>239900</x:v>
      </x:c>
      <x:c r="F266" s="648" t="n">
        <x:f>'117_价格概率传导'!D9</x:f>
        <x:v>0.34</x:v>
      </x:c>
      <x:c r="G266" s="648" t="n">
        <x:f>SUM('117_价格概率传导'!$D$6:$D$8)</x:f>
        <x:v>0.5</x:v>
      </x:c>
      <x:c r="H266" s="648" t="n">
        <x:f>SUM('117_价格概率传导'!$D$6:$D$9)</x:f>
        <x:v>0.8400000000000001</x:v>
      </x:c>
      <x:c r="I266" s="647" t="n">
        <x:f>'117_价格概率传导'!A17</x:f>
        <x:v>293900</x:v>
      </x:c>
      <x:c r="J266" s="648" t="n">
        <x:f>'117_价格概率传导'!D17</x:f>
        <x:v>0.03</x:v>
      </x:c>
      <x:c r="K266" s="648" t="n">
        <x:f>SUM('117_价格概率传导'!$D$16:$D$16)</x:f>
        <x:v>0.02</x:v>
      </x:c>
      <x:c r="L266" s="648" t="n">
        <x:f>SUM('117_价格概率传导'!$D$16:$D$17)</x:f>
        <x:v>0.05</x:v>
      </x:c>
      <x:c r="M266" s="648" t="n">
        <x:f>MAX(0,MIN(H266,L266)-MAX(G266,K266))</x:f>
        <x:v>0</x:v>
      </x:c>
      <x:c r="N266" s="648" t="n">
        <x:f>B266*D266*M266</x:f>
        <x:v>0</x:v>
      </x:c>
      <x:c r="O266" s="647" t="n">
        <x:f>MIN(299900,I266+20000)</x:f>
        <x:v>299900</x:v>
      </x:c>
      <x:c r="P266" s="647" t="n">
        <x:f>O266-30000</x:f>
        <x:v>269900</x:v>
      </x:c>
      <x:c r="Q266" s="647" t="str">
        <x:f>""</x:f>
      </x:c>
      <x:c r="R266" s="647" t="n">
        <x:f>O266-E266</x:f>
        <x:v>60000</x:v>
      </x:c>
      <x:c r="S266" s="647" t="n">
        <x:f>IF(P266&gt;0,P266-E266,"")</x:f>
        <x:v>30000</x:v>
      </x:c>
      <x:c r="T266" s="647" t="str">
        <x:f>IF(Q266&gt;0,Q266-E266,"")</x:f>
      </x:c>
      <x:c r="U266" s="648" t="n">
        <x:f>IF(R266&lt;30000,N266,0)</x:f>
        <x:v>0</x:v>
      </x:c>
      <x:c r="V266" s="648" t="n">
        <x:f>IF(P266&gt;0,N266,0)</x:f>
        <x:v>0</x:v>
      </x:c>
      <x:c r="W266" s="648" t="n">
        <x:f>IF(AND(P266&gt;0,S266&lt;0),N266,0)</x:f>
        <x:v>0</x:v>
      </x:c>
      <x:c r="X266" s="648" t="n">
        <x:f>IF(AND(P266&gt;0,S266=0),N266,0)</x:f>
        <x:v>0</x:v>
      </x:c>
      <x:c r="Y266" s="648" t="n">
        <x:f>IF(Q266&gt;0,N266,0)</x:f>
        <x:v>0</x:v>
      </x:c>
      <x:c r="Z266" s="647" t="n">
        <x:f>IF(P266&gt;0,N266*S266,0)</x:f>
        <x:v>0</x:v>
      </x:c>
      <x:c r="AA266" s="647" t="n">
        <x:f>IF(Q266&gt;0,N266*T266,0)</x:f>
        <x:v>0</x:v>
      </x:c>
      <x:c r="AB266" s="647" t="n">
        <x:f>N266*R266</x:f>
        <x:v>0</x:v>
      </x:c>
      <x:c r="AC266" s="647" t="n">
        <x:f>IF(N266&gt;0,R266,999999)</x:f>
        <x:v>999999</x:v>
      </x:c>
      <x:c r="AD266" s="647" t="n">
        <x:f>IF(AND(N266&gt;0,P266&gt;0),S266,999999)</x:f>
        <x:v>999999</x:v>
      </x:c>
      <x:c r="AE266" s="647" t="n">
        <x:f>IF(AND(N266&gt;0,Q266&gt;0),T266,999999)</x:f>
        <x:v>999999</x:v>
      </x:c>
      <x:c r="AF266" s="648" t="n">
        <x:f>B266*D266*F266*J266</x:f>
        <x:v>0.0007650000000000001</x:v>
      </x:c>
      <x:c r="AG266" s="648" t="n">
        <x:f>IF(P266&gt;0,AF266,0)</x:f>
        <x:v>0.0007650000000000001</x:v>
      </x:c>
      <x:c r="AH266" s="648" t="n">
        <x:f>IF(AND(P266&gt;0,S266&lt;0),AF266,0)</x:f>
        <x:v>0</x:v>
      </x:c>
      <x:c r="AI266" s="648" t="n">
        <x:f>IF(AND(P266&gt;0,S266=0),AF266,0)</x:f>
        <x:v>0</x:v>
      </x:c>
      <x:c r="AJ266" s="648" t="n">
        <x:f>IF(R266&lt;30000,AF266,0)</x:f>
        <x:v>0</x:v>
      </x:c>
      <x:c r="AK266" s="647" t="n">
        <x:f>IF(P266&gt;0,AF266*S266,0)</x:f>
        <x:v>22.950000000000003</x:v>
      </x:c>
    </x:row>
    <x:row r="267" ht="22" customHeight="1">
      <x:c r="A267" s="19" t="str">
        <x:v>中心</x:v>
      </x:c>
      <x:c r="B267" s="23" t="n">
        <x:f>'114_降本系数'!B27</x:f>
        <x:v>0.5</x:v>
      </x:c>
      <x:c r="C267" s="19" t="str">
        <x:v>L1A</x:v>
      </x:c>
      <x:c r="D267" s="23" t="n">
        <x:f>'130_联合算法'!C17</x:f>
        <x:v>0.15</x:v>
      </x:c>
      <x:c r="E267" s="460" t="n">
        <x:f>'117_价格概率传导'!A9</x:f>
        <x:v>239900</x:v>
      </x:c>
      <x:c r="F267" s="23" t="n">
        <x:f>'117_价格概率传导'!D9</x:f>
        <x:v>0.34</x:v>
      </x:c>
      <x:c r="G267" s="23" t="n">
        <x:f>SUM('117_价格概率传导'!$D$6:$D$8)</x:f>
        <x:v>0.5</x:v>
      </x:c>
      <x:c r="H267" s="23" t="n">
        <x:f>SUM('117_价格概率传导'!$D$6:$D$9)</x:f>
        <x:v>0.8400000000000001</x:v>
      </x:c>
      <x:c r="I267" s="460" t="n">
        <x:f>'117_价格概率传导'!A18</x:f>
        <x:v>289900</x:v>
      </x:c>
      <x:c r="J267" s="23" t="n">
        <x:f>'117_价格概率传导'!D18</x:f>
        <x:v>0.22</x:v>
      </x:c>
      <x:c r="K267" s="23" t="n">
        <x:f>SUM('117_价格概率传导'!$D$16:$D$17)</x:f>
        <x:v>0.05</x:v>
      </x:c>
      <x:c r="L267" s="23" t="n">
        <x:f>SUM('117_价格概率传导'!$D$16:$D$18)</x:f>
        <x:v>0.27</x:v>
      </x:c>
      <x:c r="M267" s="23" t="n">
        <x:f>MAX(0,MIN(H267,L267)-MAX(G267,K267))</x:f>
        <x:v>0</x:v>
      </x:c>
      <x:c r="N267" s="23" t="n">
        <x:f>B267*D267*M267</x:f>
        <x:v>0</x:v>
      </x:c>
      <x:c r="O267" s="460" t="n">
        <x:f>MIN(299900,I267+20000)</x:f>
        <x:v>299900</x:v>
      </x:c>
      <x:c r="P267" s="460" t="n">
        <x:f>O267-30000</x:f>
        <x:v>269900</x:v>
      </x:c>
      <x:c r="Q267" s="460" t="str">
        <x:f>""</x:f>
      </x:c>
      <x:c r="R267" s="460" t="n">
        <x:f>O267-E267</x:f>
        <x:v>60000</x:v>
      </x:c>
      <x:c r="S267" s="460" t="n">
        <x:f>IF(P267&gt;0,P267-E267,"")</x:f>
        <x:v>30000</x:v>
      </x:c>
      <x:c r="T267" s="460" t="str">
        <x:f>IF(Q267&gt;0,Q267-E267,"")</x:f>
      </x:c>
      <x:c r="U267" s="23" t="n">
        <x:f>IF(R267&lt;30000,N267,0)</x:f>
        <x:v>0</x:v>
      </x:c>
      <x:c r="V267" s="23" t="n">
        <x:f>IF(P267&gt;0,N267,0)</x:f>
        <x:v>0</x:v>
      </x:c>
      <x:c r="W267" s="23" t="n">
        <x:f>IF(AND(P267&gt;0,S267&lt;0),N267,0)</x:f>
        <x:v>0</x:v>
      </x:c>
      <x:c r="X267" s="23" t="n">
        <x:f>IF(AND(P267&gt;0,S267=0),N267,0)</x:f>
        <x:v>0</x:v>
      </x:c>
      <x:c r="Y267" s="23" t="n">
        <x:f>IF(Q267&gt;0,N267,0)</x:f>
        <x:v>0</x:v>
      </x:c>
      <x:c r="Z267" s="460" t="n">
        <x:f>IF(P267&gt;0,N267*S267,0)</x:f>
        <x:v>0</x:v>
      </x:c>
      <x:c r="AA267" s="460" t="n">
        <x:f>IF(Q267&gt;0,N267*T267,0)</x:f>
        <x:v>0</x:v>
      </x:c>
      <x:c r="AB267" s="460" t="n">
        <x:f>N267*R267</x:f>
        <x:v>0</x:v>
      </x:c>
      <x:c r="AC267" s="460" t="n">
        <x:f>IF(N267&gt;0,R267,999999)</x:f>
        <x:v>999999</x:v>
      </x:c>
      <x:c r="AD267" s="460" t="n">
        <x:f>IF(AND(N267&gt;0,P267&gt;0),S267,999999)</x:f>
        <x:v>999999</x:v>
      </x:c>
      <x:c r="AE267" s="460" t="n">
        <x:f>IF(AND(N267&gt;0,Q267&gt;0),T267,999999)</x:f>
        <x:v>999999</x:v>
      </x:c>
      <x:c r="AF267" s="23" t="n">
        <x:f>B267*D267*F267*J267</x:f>
        <x:v>0.00561</x:v>
      </x:c>
      <x:c r="AG267" s="23" t="n">
        <x:f>IF(P267&gt;0,AF267,0)</x:f>
        <x:v>0.00561</x:v>
      </x:c>
      <x:c r="AH267" s="23" t="n">
        <x:f>IF(AND(P267&gt;0,S267&lt;0),AF267,0)</x:f>
        <x:v>0</x:v>
      </x:c>
      <x:c r="AI267" s="23" t="n">
        <x:f>IF(AND(P267&gt;0,S267=0),AF267,0)</x:f>
        <x:v>0</x:v>
      </x:c>
      <x:c r="AJ267" s="23" t="n">
        <x:f>IF(R267&lt;30000,AF267,0)</x:f>
        <x:v>0</x:v>
      </x:c>
      <x:c r="AK267" s="460" t="n">
        <x:f>IF(P267&gt;0,AF267*S267,0)</x:f>
        <x:v>168.3</x:v>
      </x:c>
    </x:row>
    <x:row r="268" ht="22" customHeight="1">
      <x:c r="A268" s="643" t="str">
        <x:v>中心</x:v>
      </x:c>
      <x:c r="B268" s="648" t="n">
        <x:f>'114_降本系数'!B27</x:f>
        <x:v>0.5</x:v>
      </x:c>
      <x:c r="C268" s="643" t="str">
        <x:v>L1A</x:v>
      </x:c>
      <x:c r="D268" s="648" t="n">
        <x:f>'130_联合算法'!C17</x:f>
        <x:v>0.15</x:v>
      </x:c>
      <x:c r="E268" s="647" t="n">
        <x:f>'117_价格概率传导'!A9</x:f>
        <x:v>239900</x:v>
      </x:c>
      <x:c r="F268" s="648" t="n">
        <x:f>'117_价格概率传导'!D9</x:f>
        <x:v>0.34</x:v>
      </x:c>
      <x:c r="G268" s="648" t="n">
        <x:f>SUM('117_价格概率传导'!$D$6:$D$8)</x:f>
        <x:v>0.5</x:v>
      </x:c>
      <x:c r="H268" s="648" t="n">
        <x:f>SUM('117_价格概率传导'!$D$6:$D$9)</x:f>
        <x:v>0.8400000000000001</x:v>
      </x:c>
      <x:c r="I268" s="647" t="n">
        <x:f>'117_价格概率传导'!A19</x:f>
        <x:v>279900</x:v>
      </x:c>
      <x:c r="J268" s="648" t="n">
        <x:f>'117_价格概率传导'!D19</x:f>
        <x:v>0.44</x:v>
      </x:c>
      <x:c r="K268" s="648" t="n">
        <x:f>SUM('117_价格概率传导'!$D$16:$D$18)</x:f>
        <x:v>0.27</x:v>
      </x:c>
      <x:c r="L268" s="648" t="n">
        <x:f>SUM('117_价格概率传导'!$D$16:$D$19)</x:f>
        <x:v>0.71</x:v>
      </x:c>
      <x:c r="M268" s="648" t="n">
        <x:f>MAX(0,MIN(H268,L268)-MAX(G268,K268))</x:f>
        <x:v>0.20999999999999996</x:v>
      </x:c>
      <x:c r="N268" s="648" t="n">
        <x:f>B268*D268*M268</x:f>
        <x:v>0.015749999999999997</x:v>
      </x:c>
      <x:c r="O268" s="647" t="n">
        <x:f>MIN(299900,I268+20000)</x:f>
        <x:v>299900</x:v>
      </x:c>
      <x:c r="P268" s="647" t="n">
        <x:f>O268-30000</x:f>
        <x:v>269900</x:v>
      </x:c>
      <x:c r="Q268" s="647" t="str">
        <x:f>""</x:f>
      </x:c>
      <x:c r="R268" s="647" t="n">
        <x:f>O268-E268</x:f>
        <x:v>60000</x:v>
      </x:c>
      <x:c r="S268" s="647" t="n">
        <x:f>IF(P268&gt;0,P268-E268,"")</x:f>
        <x:v>30000</x:v>
      </x:c>
      <x:c r="T268" s="647" t="str">
        <x:f>IF(Q268&gt;0,Q268-E268,"")</x:f>
      </x:c>
      <x:c r="U268" s="648" t="n">
        <x:f>IF(R268&lt;30000,N268,0)</x:f>
        <x:v>0</x:v>
      </x:c>
      <x:c r="V268" s="648" t="n">
        <x:f>IF(P268&gt;0,N268,0)</x:f>
        <x:v>0.015749999999999997</x:v>
      </x:c>
      <x:c r="W268" s="648" t="n">
        <x:f>IF(AND(P268&gt;0,S268&lt;0),N268,0)</x:f>
        <x:v>0</x:v>
      </x:c>
      <x:c r="X268" s="648" t="n">
        <x:f>IF(AND(P268&gt;0,S268=0),N268,0)</x:f>
        <x:v>0</x:v>
      </x:c>
      <x:c r="Y268" s="648" t="n">
        <x:f>IF(Q268&gt;0,N268,0)</x:f>
        <x:v>0</x:v>
      </x:c>
      <x:c r="Z268" s="647" t="n">
        <x:f>IF(P268&gt;0,N268*S268,0)</x:f>
        <x:v>472.4999999999999</x:v>
      </x:c>
      <x:c r="AA268" s="647" t="n">
        <x:f>IF(Q268&gt;0,N268*T268,0)</x:f>
        <x:v>0</x:v>
      </x:c>
      <x:c r="AB268" s="647" t="n">
        <x:f>N268*R268</x:f>
        <x:v>944.9999999999998</x:v>
      </x:c>
      <x:c r="AC268" s="647" t="n">
        <x:f>IF(N268&gt;0,R268,999999)</x:f>
        <x:v>60000</x:v>
      </x:c>
      <x:c r="AD268" s="647" t="n">
        <x:f>IF(AND(N268&gt;0,P268&gt;0),S268,999999)</x:f>
        <x:v>30000</x:v>
      </x:c>
      <x:c r="AE268" s="647" t="n">
        <x:f>IF(AND(N268&gt;0,Q268&gt;0),T268,999999)</x:f>
        <x:v>999999</x:v>
      </x:c>
      <x:c r="AF268" s="648" t="n">
        <x:f>B268*D268*F268*J268</x:f>
        <x:v>0.01122</x:v>
      </x:c>
      <x:c r="AG268" s="648" t="n">
        <x:f>IF(P268&gt;0,AF268,0)</x:f>
        <x:v>0.01122</x:v>
      </x:c>
      <x:c r="AH268" s="648" t="n">
        <x:f>IF(AND(P268&gt;0,S268&lt;0),AF268,0)</x:f>
        <x:v>0</x:v>
      </x:c>
      <x:c r="AI268" s="648" t="n">
        <x:f>IF(AND(P268&gt;0,S268=0),AF268,0)</x:f>
        <x:v>0</x:v>
      </x:c>
      <x:c r="AJ268" s="648" t="n">
        <x:f>IF(R268&lt;30000,AF268,0)</x:f>
        <x:v>0</x:v>
      </x:c>
      <x:c r="AK268" s="647" t="n">
        <x:f>IF(P268&gt;0,AF268*S268,0)</x:f>
        <x:v>336.6</x:v>
      </x:c>
    </x:row>
    <x:row r="269" ht="22" customHeight="1">
      <x:c r="A269" s="19" t="str">
        <x:v>中心</x:v>
      </x:c>
      <x:c r="B269" s="23" t="n">
        <x:f>'114_降本系数'!B27</x:f>
        <x:v>0.5</x:v>
      </x:c>
      <x:c r="C269" s="19" t="str">
        <x:v>L1A</x:v>
      </x:c>
      <x:c r="D269" s="23" t="n">
        <x:f>'130_联合算法'!C17</x:f>
        <x:v>0.15</x:v>
      </x:c>
      <x:c r="E269" s="460" t="n">
        <x:f>'117_价格概率传导'!A9</x:f>
        <x:v>239900</x:v>
      </x:c>
      <x:c r="F269" s="23" t="n">
        <x:f>'117_价格概率传导'!D9</x:f>
        <x:v>0.34</x:v>
      </x:c>
      <x:c r="G269" s="23" t="n">
        <x:f>SUM('117_价格概率传导'!$D$6:$D$8)</x:f>
        <x:v>0.5</x:v>
      </x:c>
      <x:c r="H269" s="23" t="n">
        <x:f>SUM('117_价格概率传导'!$D$6:$D$9)</x:f>
        <x:v>0.8400000000000001</x:v>
      </x:c>
      <x:c r="I269" s="460" t="n">
        <x:f>'117_价格概率传导'!A20</x:f>
        <x:v>269900</x:v>
      </x:c>
      <x:c r="J269" s="23" t="n">
        <x:f>'117_价格概率传导'!D20</x:f>
        <x:v>0.23</x:v>
      </x:c>
      <x:c r="K269" s="23" t="n">
        <x:f>SUM('117_价格概率传导'!$D$16:$D$19)</x:f>
        <x:v>0.71</x:v>
      </x:c>
      <x:c r="L269" s="23" t="n">
        <x:f>SUM('117_价格概率传导'!$D$16:$D$20)</x:f>
        <x:v>0.94</x:v>
      </x:c>
      <x:c r="M269" s="23" t="n">
        <x:f>MAX(0,MIN(H269,L269)-MAX(G269,K269))</x:f>
        <x:v>0.13000000000000012</x:v>
      </x:c>
      <x:c r="N269" s="23" t="n">
        <x:f>B269*D269*M269</x:f>
        <x:v>0.009750000000000009</x:v>
      </x:c>
      <x:c r="O269" s="460" t="n">
        <x:f>MIN(299900,I269+20000)</x:f>
        <x:v>289900</x:v>
      </x:c>
      <x:c r="P269" s="460" t="n">
        <x:f>O269-30000</x:f>
        <x:v>259900</x:v>
      </x:c>
      <x:c r="Q269" s="460" t="str">
        <x:f>""</x:f>
      </x:c>
      <x:c r="R269" s="460" t="n">
        <x:f>O269-E269</x:f>
        <x:v>50000</x:v>
      </x:c>
      <x:c r="S269" s="460" t="n">
        <x:f>IF(P269&gt;0,P269-E269,"")</x:f>
        <x:v>20000</x:v>
      </x:c>
      <x:c r="T269" s="460" t="str">
        <x:f>IF(Q269&gt;0,Q269-E269,"")</x:f>
      </x:c>
      <x:c r="U269" s="23" t="n">
        <x:f>IF(R269&lt;30000,N269,0)</x:f>
        <x:v>0</x:v>
      </x:c>
      <x:c r="V269" s="23" t="n">
        <x:f>IF(P269&gt;0,N269,0)</x:f>
        <x:v>0.009750000000000009</x:v>
      </x:c>
      <x:c r="W269" s="23" t="n">
        <x:f>IF(AND(P269&gt;0,S269&lt;0),N269,0)</x:f>
        <x:v>0</x:v>
      </x:c>
      <x:c r="X269" s="23" t="n">
        <x:f>IF(AND(P269&gt;0,S269=0),N269,0)</x:f>
        <x:v>0</x:v>
      </x:c>
      <x:c r="Y269" s="23" t="n">
        <x:f>IF(Q269&gt;0,N269,0)</x:f>
        <x:v>0</x:v>
      </x:c>
      <x:c r="Z269" s="460" t="n">
        <x:f>IF(P269&gt;0,N269*S269,0)</x:f>
        <x:v>195.00000000000017</x:v>
      </x:c>
      <x:c r="AA269" s="460" t="n">
        <x:f>IF(Q269&gt;0,N269*T269,0)</x:f>
        <x:v>0</x:v>
      </x:c>
      <x:c r="AB269" s="460" t="n">
        <x:f>N269*R269</x:f>
        <x:v>487.50000000000045</x:v>
      </x:c>
      <x:c r="AC269" s="460" t="n">
        <x:f>IF(N269&gt;0,R269,999999)</x:f>
        <x:v>50000</x:v>
      </x:c>
      <x:c r="AD269" s="460" t="n">
        <x:f>IF(AND(N269&gt;0,P269&gt;0),S269,999999)</x:f>
        <x:v>20000</x:v>
      </x:c>
      <x:c r="AE269" s="460" t="n">
        <x:f>IF(AND(N269&gt;0,Q269&gt;0),T269,999999)</x:f>
        <x:v>999999</x:v>
      </x:c>
      <x:c r="AF269" s="23" t="n">
        <x:f>B269*D269*F269*J269</x:f>
        <x:v>0.005865</x:v>
      </x:c>
      <x:c r="AG269" s="23" t="n">
        <x:f>IF(P269&gt;0,AF269,0)</x:f>
        <x:v>0.005865</x:v>
      </x:c>
      <x:c r="AH269" s="23" t="n">
        <x:f>IF(AND(P269&gt;0,S269&lt;0),AF269,0)</x:f>
        <x:v>0</x:v>
      </x:c>
      <x:c r="AI269" s="23" t="n">
        <x:f>IF(AND(P269&gt;0,S269=0),AF269,0)</x:f>
        <x:v>0</x:v>
      </x:c>
      <x:c r="AJ269" s="23" t="n">
        <x:f>IF(R269&lt;30000,AF269,0)</x:f>
        <x:v>0</x:v>
      </x:c>
      <x:c r="AK269" s="460" t="n">
        <x:f>IF(P269&gt;0,AF269*S269,0)</x:f>
        <x:v>117.30000000000001</x:v>
      </x:c>
    </x:row>
    <x:row r="270" ht="22" customHeight="1">
      <x:c r="A270" s="643" t="str">
        <x:v>中心</x:v>
      </x:c>
      <x:c r="B270" s="648" t="n">
        <x:f>'114_降本系数'!B27</x:f>
        <x:v>0.5</x:v>
      </x:c>
      <x:c r="C270" s="643" t="str">
        <x:v>L1A</x:v>
      </x:c>
      <x:c r="D270" s="648" t="n">
        <x:f>'130_联合算法'!C17</x:f>
        <x:v>0.15</x:v>
      </x:c>
      <x:c r="E270" s="647" t="n">
        <x:f>'117_价格概率传导'!A9</x:f>
        <x:v>239900</x:v>
      </x:c>
      <x:c r="F270" s="648" t="n">
        <x:f>'117_价格概率传导'!D9</x:f>
        <x:v>0.34</x:v>
      </x:c>
      <x:c r="G270" s="648" t="n">
        <x:f>SUM('117_价格概率传导'!$D$6:$D$8)</x:f>
        <x:v>0.5</x:v>
      </x:c>
      <x:c r="H270" s="648" t="n">
        <x:f>SUM('117_价格概率传导'!$D$6:$D$9)</x:f>
        <x:v>0.8400000000000001</x:v>
      </x:c>
      <x:c r="I270" s="647" t="n">
        <x:f>'117_价格概率传导'!A21</x:f>
        <x:v>259900</x:v>
      </x:c>
      <x:c r="J270" s="648" t="n">
        <x:f>'117_价格概率传导'!D21</x:f>
        <x:v>0.06</x:v>
      </x:c>
      <x:c r="K270" s="648" t="n">
        <x:f>SUM('117_价格概率传导'!$D$16:$D$20)</x:f>
        <x:v>0.94</x:v>
      </x:c>
      <x:c r="L270" s="648" t="n">
        <x:f>SUM('117_价格概率传导'!$D$16:$D$21)</x:f>
        <x:v>1</x:v>
      </x:c>
      <x:c r="M270" s="648" t="n">
        <x:f>MAX(0,MIN(H270,L270)-MAX(G270,K270))</x:f>
        <x:v>0</x:v>
      </x:c>
      <x:c r="N270" s="648" t="n">
        <x:f>B270*D270*M270</x:f>
        <x:v>0</x:v>
      </x:c>
      <x:c r="O270" s="647" t="n">
        <x:f>MIN(299900,I270+20000)</x:f>
        <x:v>279900</x:v>
      </x:c>
      <x:c r="P270" s="647" t="n">
        <x:f>O270-30000</x:f>
        <x:v>249900</x:v>
      </x:c>
      <x:c r="Q270" s="647" t="str">
        <x:f>""</x:f>
      </x:c>
      <x:c r="R270" s="647" t="n">
        <x:f>O270-E270</x:f>
        <x:v>40000</x:v>
      </x:c>
      <x:c r="S270" s="647" t="n">
        <x:f>IF(P270&gt;0,P270-E270,"")</x:f>
        <x:v>10000</x:v>
      </x:c>
      <x:c r="T270" s="647" t="str">
        <x:f>IF(Q270&gt;0,Q270-E270,"")</x:f>
      </x:c>
      <x:c r="U270" s="648" t="n">
        <x:f>IF(R270&lt;30000,N270,0)</x:f>
        <x:v>0</x:v>
      </x:c>
      <x:c r="V270" s="648" t="n">
        <x:f>IF(P270&gt;0,N270,0)</x:f>
        <x:v>0</x:v>
      </x:c>
      <x:c r="W270" s="648" t="n">
        <x:f>IF(AND(P270&gt;0,S270&lt;0),N270,0)</x:f>
        <x:v>0</x:v>
      </x:c>
      <x:c r="X270" s="648" t="n">
        <x:f>IF(AND(P270&gt;0,S270=0),N270,0)</x:f>
        <x:v>0</x:v>
      </x:c>
      <x:c r="Y270" s="648" t="n">
        <x:f>IF(Q270&gt;0,N270,0)</x:f>
        <x:v>0</x:v>
      </x:c>
      <x:c r="Z270" s="647" t="n">
        <x:f>IF(P270&gt;0,N270*S270,0)</x:f>
        <x:v>0</x:v>
      </x:c>
      <x:c r="AA270" s="647" t="n">
        <x:f>IF(Q270&gt;0,N270*T270,0)</x:f>
        <x:v>0</x:v>
      </x:c>
      <x:c r="AB270" s="647" t="n">
        <x:f>N270*R270</x:f>
        <x:v>0</x:v>
      </x:c>
      <x:c r="AC270" s="647" t="n">
        <x:f>IF(N270&gt;0,R270,999999)</x:f>
        <x:v>999999</x:v>
      </x:c>
      <x:c r="AD270" s="647" t="n">
        <x:f>IF(AND(N270&gt;0,P270&gt;0),S270,999999)</x:f>
        <x:v>999999</x:v>
      </x:c>
      <x:c r="AE270" s="647" t="n">
        <x:f>IF(AND(N270&gt;0,Q270&gt;0),T270,999999)</x:f>
        <x:v>999999</x:v>
      </x:c>
      <x:c r="AF270" s="648" t="n">
        <x:f>B270*D270*F270*J270</x:f>
        <x:v>0.0015300000000000001</x:v>
      </x:c>
      <x:c r="AG270" s="648" t="n">
        <x:f>IF(P270&gt;0,AF270,0)</x:f>
        <x:v>0.0015300000000000001</x:v>
      </x:c>
      <x:c r="AH270" s="648" t="n">
        <x:f>IF(AND(P270&gt;0,S270&lt;0),AF270,0)</x:f>
        <x:v>0</x:v>
      </x:c>
      <x:c r="AI270" s="648" t="n">
        <x:f>IF(AND(P270&gt;0,S270=0),AF270,0)</x:f>
        <x:v>0</x:v>
      </x:c>
      <x:c r="AJ270" s="648" t="n">
        <x:f>IF(R270&lt;30000,AF270,0)</x:f>
        <x:v>0</x:v>
      </x:c>
      <x:c r="AK270" s="647" t="n">
        <x:f>IF(P270&gt;0,AF270*S270,0)</x:f>
        <x:v>15.3</x:v>
      </x:c>
    </x:row>
    <x:row r="271" ht="22" customHeight="1">
      <x:c r="A271" s="19" t="str">
        <x:v>中心</x:v>
      </x:c>
      <x:c r="B271" s="23" t="n">
        <x:f>'114_降本系数'!B27</x:f>
        <x:v>0.5</x:v>
      </x:c>
      <x:c r="C271" s="19" t="str">
        <x:v>L1A</x:v>
      </x:c>
      <x:c r="D271" s="23" t="n">
        <x:f>'130_联合算法'!C17</x:f>
        <x:v>0.15</x:v>
      </x:c>
      <x:c r="E271" s="460" t="n">
        <x:f>'117_价格概率传导'!A10</x:f>
        <x:v>229900</x:v>
      </x:c>
      <x:c r="F271" s="23" t="n">
        <x:f>'117_价格概率传导'!D10</x:f>
        <x:v>0.13</x:v>
      </x:c>
      <x:c r="G271" s="23" t="n">
        <x:f>SUM('117_价格概率传导'!$D$6:$D$9)</x:f>
        <x:v>0.8400000000000001</x:v>
      </x:c>
      <x:c r="H271" s="23" t="n">
        <x:f>SUM('117_价格概率传导'!$D$6:$D$10)</x:f>
        <x:v>0.9700000000000001</x:v>
      </x:c>
      <x:c r="I271" s="460" t="n">
        <x:f>'117_价格概率传导'!A16</x:f>
        <x:v>299900</x:v>
      </x:c>
      <x:c r="J271" s="23" t="n">
        <x:f>'117_价格概率传导'!D16</x:f>
        <x:v>0.02</x:v>
      </x:c>
      <x:c r="K271" s="23" t="n">
        <x:f>0</x:f>
        <x:v>0</x:v>
      </x:c>
      <x:c r="L271" s="23" t="n">
        <x:f>SUM('117_价格概率传导'!$D$16:$D$16)</x:f>
        <x:v>0.02</x:v>
      </x:c>
      <x:c r="M271" s="23" t="n">
        <x:f>MAX(0,MIN(H271,L271)-MAX(G271,K271))</x:f>
        <x:v>0</x:v>
      </x:c>
      <x:c r="N271" s="23" t="n">
        <x:f>B271*D271*M271</x:f>
        <x:v>0</x:v>
      </x:c>
      <x:c r="O271" s="460" t="n">
        <x:f>MIN(299900,I271+20000)</x:f>
        <x:v>299900</x:v>
      </x:c>
      <x:c r="P271" s="460" t="n">
        <x:f>O271-30000</x:f>
        <x:v>269900</x:v>
      </x:c>
      <x:c r="Q271" s="460" t="str">
        <x:f>""</x:f>
      </x:c>
      <x:c r="R271" s="460" t="n">
        <x:f>O271-E271</x:f>
        <x:v>70000</x:v>
      </x:c>
      <x:c r="S271" s="460" t="n">
        <x:f>IF(P271&gt;0,P271-E271,"")</x:f>
        <x:v>40000</x:v>
      </x:c>
      <x:c r="T271" s="460" t="str">
        <x:f>IF(Q271&gt;0,Q271-E271,"")</x:f>
      </x:c>
      <x:c r="U271" s="23" t="n">
        <x:f>IF(R271&lt;30000,N271,0)</x:f>
        <x:v>0</x:v>
      </x:c>
      <x:c r="V271" s="23" t="n">
        <x:f>IF(P271&gt;0,N271,0)</x:f>
        <x:v>0</x:v>
      </x:c>
      <x:c r="W271" s="23" t="n">
        <x:f>IF(AND(P271&gt;0,S271&lt;0),N271,0)</x:f>
        <x:v>0</x:v>
      </x:c>
      <x:c r="X271" s="23" t="n">
        <x:f>IF(AND(P271&gt;0,S271=0),N271,0)</x:f>
        <x:v>0</x:v>
      </x:c>
      <x:c r="Y271" s="23" t="n">
        <x:f>IF(Q271&gt;0,N271,0)</x:f>
        <x:v>0</x:v>
      </x:c>
      <x:c r="Z271" s="460" t="n">
        <x:f>IF(P271&gt;0,N271*S271,0)</x:f>
        <x:v>0</x:v>
      </x:c>
      <x:c r="AA271" s="460" t="n">
        <x:f>IF(Q271&gt;0,N271*T271,0)</x:f>
        <x:v>0</x:v>
      </x:c>
      <x:c r="AB271" s="460" t="n">
        <x:f>N271*R271</x:f>
        <x:v>0</x:v>
      </x:c>
      <x:c r="AC271" s="460" t="n">
        <x:f>IF(N271&gt;0,R271,999999)</x:f>
        <x:v>999999</x:v>
      </x:c>
      <x:c r="AD271" s="460" t="n">
        <x:f>IF(AND(N271&gt;0,P271&gt;0),S271,999999)</x:f>
        <x:v>999999</x:v>
      </x:c>
      <x:c r="AE271" s="460" t="n">
        <x:f>IF(AND(N271&gt;0,Q271&gt;0),T271,999999)</x:f>
        <x:v>999999</x:v>
      </x:c>
      <x:c r="AF271" s="23" t="n">
        <x:f>B271*D271*F271*J271</x:f>
        <x:v>0.000195</x:v>
      </x:c>
      <x:c r="AG271" s="23" t="n">
        <x:f>IF(P271&gt;0,AF271,0)</x:f>
        <x:v>0.000195</x:v>
      </x:c>
      <x:c r="AH271" s="23" t="n">
        <x:f>IF(AND(P271&gt;0,S271&lt;0),AF271,0)</x:f>
        <x:v>0</x:v>
      </x:c>
      <x:c r="AI271" s="23" t="n">
        <x:f>IF(AND(P271&gt;0,S271=0),AF271,0)</x:f>
        <x:v>0</x:v>
      </x:c>
      <x:c r="AJ271" s="23" t="n">
        <x:f>IF(R271&lt;30000,AF271,0)</x:f>
        <x:v>0</x:v>
      </x:c>
      <x:c r="AK271" s="460" t="n">
        <x:f>IF(P271&gt;0,AF271*S271,0)</x:f>
        <x:v>7.8</x:v>
      </x:c>
    </x:row>
    <x:row r="272" ht="22" customHeight="1">
      <x:c r="A272" s="643" t="str">
        <x:v>中心</x:v>
      </x:c>
      <x:c r="B272" s="648" t="n">
        <x:f>'114_降本系数'!B27</x:f>
        <x:v>0.5</x:v>
      </x:c>
      <x:c r="C272" s="643" t="str">
        <x:v>L1A</x:v>
      </x:c>
      <x:c r="D272" s="648" t="n">
        <x:f>'130_联合算法'!C17</x:f>
        <x:v>0.15</x:v>
      </x:c>
      <x:c r="E272" s="647" t="n">
        <x:f>'117_价格概率传导'!A10</x:f>
        <x:v>229900</x:v>
      </x:c>
      <x:c r="F272" s="648" t="n">
        <x:f>'117_价格概率传导'!D10</x:f>
        <x:v>0.13</x:v>
      </x:c>
      <x:c r="G272" s="648" t="n">
        <x:f>SUM('117_价格概率传导'!$D$6:$D$9)</x:f>
        <x:v>0.8400000000000001</x:v>
      </x:c>
      <x:c r="H272" s="648" t="n">
        <x:f>SUM('117_价格概率传导'!$D$6:$D$10)</x:f>
        <x:v>0.9700000000000001</x:v>
      </x:c>
      <x:c r="I272" s="647" t="n">
        <x:f>'117_价格概率传导'!A17</x:f>
        <x:v>293900</x:v>
      </x:c>
      <x:c r="J272" s="648" t="n">
        <x:f>'117_价格概率传导'!D17</x:f>
        <x:v>0.03</x:v>
      </x:c>
      <x:c r="K272" s="648" t="n">
        <x:f>SUM('117_价格概率传导'!$D$16:$D$16)</x:f>
        <x:v>0.02</x:v>
      </x:c>
      <x:c r="L272" s="648" t="n">
        <x:f>SUM('117_价格概率传导'!$D$16:$D$17)</x:f>
        <x:v>0.05</x:v>
      </x:c>
      <x:c r="M272" s="648" t="n">
        <x:f>MAX(0,MIN(H272,L272)-MAX(G272,K272))</x:f>
        <x:v>0</x:v>
      </x:c>
      <x:c r="N272" s="648" t="n">
        <x:f>B272*D272*M272</x:f>
        <x:v>0</x:v>
      </x:c>
      <x:c r="O272" s="647" t="n">
        <x:f>MIN(299900,I272+20000)</x:f>
        <x:v>299900</x:v>
      </x:c>
      <x:c r="P272" s="647" t="n">
        <x:f>O272-30000</x:f>
        <x:v>269900</x:v>
      </x:c>
      <x:c r="Q272" s="647" t="str">
        <x:f>""</x:f>
      </x:c>
      <x:c r="R272" s="647" t="n">
        <x:f>O272-E272</x:f>
        <x:v>70000</x:v>
      </x:c>
      <x:c r="S272" s="647" t="n">
        <x:f>IF(P272&gt;0,P272-E272,"")</x:f>
        <x:v>40000</x:v>
      </x:c>
      <x:c r="T272" s="647" t="str">
        <x:f>IF(Q272&gt;0,Q272-E272,"")</x:f>
      </x:c>
      <x:c r="U272" s="648" t="n">
        <x:f>IF(R272&lt;30000,N272,0)</x:f>
        <x:v>0</x:v>
      </x:c>
      <x:c r="V272" s="648" t="n">
        <x:f>IF(P272&gt;0,N272,0)</x:f>
        <x:v>0</x:v>
      </x:c>
      <x:c r="W272" s="648" t="n">
        <x:f>IF(AND(P272&gt;0,S272&lt;0),N272,0)</x:f>
        <x:v>0</x:v>
      </x:c>
      <x:c r="X272" s="648" t="n">
        <x:f>IF(AND(P272&gt;0,S272=0),N272,0)</x:f>
        <x:v>0</x:v>
      </x:c>
      <x:c r="Y272" s="648" t="n">
        <x:f>IF(Q272&gt;0,N272,0)</x:f>
        <x:v>0</x:v>
      </x:c>
      <x:c r="Z272" s="647" t="n">
        <x:f>IF(P272&gt;0,N272*S272,0)</x:f>
        <x:v>0</x:v>
      </x:c>
      <x:c r="AA272" s="647" t="n">
        <x:f>IF(Q272&gt;0,N272*T272,0)</x:f>
        <x:v>0</x:v>
      </x:c>
      <x:c r="AB272" s="647" t="n">
        <x:f>N272*R272</x:f>
        <x:v>0</x:v>
      </x:c>
      <x:c r="AC272" s="647" t="n">
        <x:f>IF(N272&gt;0,R272,999999)</x:f>
        <x:v>999999</x:v>
      </x:c>
      <x:c r="AD272" s="647" t="n">
        <x:f>IF(AND(N272&gt;0,P272&gt;0),S272,999999)</x:f>
        <x:v>999999</x:v>
      </x:c>
      <x:c r="AE272" s="647" t="n">
        <x:f>IF(AND(N272&gt;0,Q272&gt;0),T272,999999)</x:f>
        <x:v>999999</x:v>
      </x:c>
      <x:c r="AF272" s="648" t="n">
        <x:f>B272*D272*F272*J272</x:f>
        <x:v>0.0002925</x:v>
      </x:c>
      <x:c r="AG272" s="648" t="n">
        <x:f>IF(P272&gt;0,AF272,0)</x:f>
        <x:v>0.0002925</x:v>
      </x:c>
      <x:c r="AH272" s="648" t="n">
        <x:f>IF(AND(P272&gt;0,S272&lt;0),AF272,0)</x:f>
        <x:v>0</x:v>
      </x:c>
      <x:c r="AI272" s="648" t="n">
        <x:f>IF(AND(P272&gt;0,S272=0),AF272,0)</x:f>
        <x:v>0</x:v>
      </x:c>
      <x:c r="AJ272" s="648" t="n">
        <x:f>IF(R272&lt;30000,AF272,0)</x:f>
        <x:v>0</x:v>
      </x:c>
      <x:c r="AK272" s="647" t="n">
        <x:f>IF(P272&gt;0,AF272*S272,0)</x:f>
        <x:v>11.700000000000001</x:v>
      </x:c>
    </x:row>
    <x:row r="273" ht="22" customHeight="1">
      <x:c r="A273" s="19" t="str">
        <x:v>中心</x:v>
      </x:c>
      <x:c r="B273" s="23" t="n">
        <x:f>'114_降本系数'!B27</x:f>
        <x:v>0.5</x:v>
      </x:c>
      <x:c r="C273" s="19" t="str">
        <x:v>L1A</x:v>
      </x:c>
      <x:c r="D273" s="23" t="n">
        <x:f>'130_联合算法'!C17</x:f>
        <x:v>0.15</x:v>
      </x:c>
      <x:c r="E273" s="460" t="n">
        <x:f>'117_价格概率传导'!A10</x:f>
        <x:v>229900</x:v>
      </x:c>
      <x:c r="F273" s="23" t="n">
        <x:f>'117_价格概率传导'!D10</x:f>
        <x:v>0.13</x:v>
      </x:c>
      <x:c r="G273" s="23" t="n">
        <x:f>SUM('117_价格概率传导'!$D$6:$D$9)</x:f>
        <x:v>0.8400000000000001</x:v>
      </x:c>
      <x:c r="H273" s="23" t="n">
        <x:f>SUM('117_价格概率传导'!$D$6:$D$10)</x:f>
        <x:v>0.9700000000000001</x:v>
      </x:c>
      <x:c r="I273" s="460" t="n">
        <x:f>'117_价格概率传导'!A18</x:f>
        <x:v>289900</x:v>
      </x:c>
      <x:c r="J273" s="23" t="n">
        <x:f>'117_价格概率传导'!D18</x:f>
        <x:v>0.22</x:v>
      </x:c>
      <x:c r="K273" s="23" t="n">
        <x:f>SUM('117_价格概率传导'!$D$16:$D$17)</x:f>
        <x:v>0.05</x:v>
      </x:c>
      <x:c r="L273" s="23" t="n">
        <x:f>SUM('117_价格概率传导'!$D$16:$D$18)</x:f>
        <x:v>0.27</x:v>
      </x:c>
      <x:c r="M273" s="23" t="n">
        <x:f>MAX(0,MIN(H273,L273)-MAX(G273,K273))</x:f>
        <x:v>0</x:v>
      </x:c>
      <x:c r="N273" s="23" t="n">
        <x:f>B273*D273*M273</x:f>
        <x:v>0</x:v>
      </x:c>
      <x:c r="O273" s="460" t="n">
        <x:f>MIN(299900,I273+20000)</x:f>
        <x:v>299900</x:v>
      </x:c>
      <x:c r="P273" s="460" t="n">
        <x:f>O273-30000</x:f>
        <x:v>269900</x:v>
      </x:c>
      <x:c r="Q273" s="460" t="str">
        <x:f>""</x:f>
      </x:c>
      <x:c r="R273" s="460" t="n">
        <x:f>O273-E273</x:f>
        <x:v>70000</x:v>
      </x:c>
      <x:c r="S273" s="460" t="n">
        <x:f>IF(P273&gt;0,P273-E273,"")</x:f>
        <x:v>40000</x:v>
      </x:c>
      <x:c r="T273" s="460" t="str">
        <x:f>IF(Q273&gt;0,Q273-E273,"")</x:f>
      </x:c>
      <x:c r="U273" s="23" t="n">
        <x:f>IF(R273&lt;30000,N273,0)</x:f>
        <x:v>0</x:v>
      </x:c>
      <x:c r="V273" s="23" t="n">
        <x:f>IF(P273&gt;0,N273,0)</x:f>
        <x:v>0</x:v>
      </x:c>
      <x:c r="W273" s="23" t="n">
        <x:f>IF(AND(P273&gt;0,S273&lt;0),N273,0)</x:f>
        <x:v>0</x:v>
      </x:c>
      <x:c r="X273" s="23" t="n">
        <x:f>IF(AND(P273&gt;0,S273=0),N273,0)</x:f>
        <x:v>0</x:v>
      </x:c>
      <x:c r="Y273" s="23" t="n">
        <x:f>IF(Q273&gt;0,N273,0)</x:f>
        <x:v>0</x:v>
      </x:c>
      <x:c r="Z273" s="460" t="n">
        <x:f>IF(P273&gt;0,N273*S273,0)</x:f>
        <x:v>0</x:v>
      </x:c>
      <x:c r="AA273" s="460" t="n">
        <x:f>IF(Q273&gt;0,N273*T273,0)</x:f>
        <x:v>0</x:v>
      </x:c>
      <x:c r="AB273" s="460" t="n">
        <x:f>N273*R273</x:f>
        <x:v>0</x:v>
      </x:c>
      <x:c r="AC273" s="460" t="n">
        <x:f>IF(N273&gt;0,R273,999999)</x:f>
        <x:v>999999</x:v>
      </x:c>
      <x:c r="AD273" s="460" t="n">
        <x:f>IF(AND(N273&gt;0,P273&gt;0),S273,999999)</x:f>
        <x:v>999999</x:v>
      </x:c>
      <x:c r="AE273" s="460" t="n">
        <x:f>IF(AND(N273&gt;0,Q273&gt;0),T273,999999)</x:f>
        <x:v>999999</x:v>
      </x:c>
      <x:c r="AF273" s="23" t="n">
        <x:f>B273*D273*F273*J273</x:f>
        <x:v>0.002145</x:v>
      </x:c>
      <x:c r="AG273" s="23" t="n">
        <x:f>IF(P273&gt;0,AF273,0)</x:f>
        <x:v>0.002145</x:v>
      </x:c>
      <x:c r="AH273" s="23" t="n">
        <x:f>IF(AND(P273&gt;0,S273&lt;0),AF273,0)</x:f>
        <x:v>0</x:v>
      </x:c>
      <x:c r="AI273" s="23" t="n">
        <x:f>IF(AND(P273&gt;0,S273=0),AF273,0)</x:f>
        <x:v>0</x:v>
      </x:c>
      <x:c r="AJ273" s="23" t="n">
        <x:f>IF(R273&lt;30000,AF273,0)</x:f>
        <x:v>0</x:v>
      </x:c>
      <x:c r="AK273" s="460" t="n">
        <x:f>IF(P273&gt;0,AF273*S273,0)</x:f>
        <x:v>85.80000000000001</x:v>
      </x:c>
    </x:row>
    <x:row r="274" ht="22" customHeight="1">
      <x:c r="A274" s="643" t="str">
        <x:v>中心</x:v>
      </x:c>
      <x:c r="B274" s="648" t="n">
        <x:f>'114_降本系数'!B27</x:f>
        <x:v>0.5</x:v>
      </x:c>
      <x:c r="C274" s="643" t="str">
        <x:v>L1A</x:v>
      </x:c>
      <x:c r="D274" s="648" t="n">
        <x:f>'130_联合算法'!C17</x:f>
        <x:v>0.15</x:v>
      </x:c>
      <x:c r="E274" s="647" t="n">
        <x:f>'117_价格概率传导'!A10</x:f>
        <x:v>229900</x:v>
      </x:c>
      <x:c r="F274" s="648" t="n">
        <x:f>'117_价格概率传导'!D10</x:f>
        <x:v>0.13</x:v>
      </x:c>
      <x:c r="G274" s="648" t="n">
        <x:f>SUM('117_价格概率传导'!$D$6:$D$9)</x:f>
        <x:v>0.8400000000000001</x:v>
      </x:c>
      <x:c r="H274" s="648" t="n">
        <x:f>SUM('117_价格概率传导'!$D$6:$D$10)</x:f>
        <x:v>0.9700000000000001</x:v>
      </x:c>
      <x:c r="I274" s="647" t="n">
        <x:f>'117_价格概率传导'!A19</x:f>
        <x:v>279900</x:v>
      </x:c>
      <x:c r="J274" s="648" t="n">
        <x:f>'117_价格概率传导'!D19</x:f>
        <x:v>0.44</x:v>
      </x:c>
      <x:c r="K274" s="648" t="n">
        <x:f>SUM('117_价格概率传导'!$D$16:$D$18)</x:f>
        <x:v>0.27</x:v>
      </x:c>
      <x:c r="L274" s="648" t="n">
        <x:f>SUM('117_价格概率传导'!$D$16:$D$19)</x:f>
        <x:v>0.71</x:v>
      </x:c>
      <x:c r="M274" s="648" t="n">
        <x:f>MAX(0,MIN(H274,L274)-MAX(G274,K274))</x:f>
        <x:v>0</x:v>
      </x:c>
      <x:c r="N274" s="648" t="n">
        <x:f>B274*D274*M274</x:f>
        <x:v>0</x:v>
      </x:c>
      <x:c r="O274" s="647" t="n">
        <x:f>MIN(299900,I274+20000)</x:f>
        <x:v>299900</x:v>
      </x:c>
      <x:c r="P274" s="647" t="n">
        <x:f>O274-30000</x:f>
        <x:v>269900</x:v>
      </x:c>
      <x:c r="Q274" s="647" t="str">
        <x:f>""</x:f>
      </x:c>
      <x:c r="R274" s="647" t="n">
        <x:f>O274-E274</x:f>
        <x:v>70000</x:v>
      </x:c>
      <x:c r="S274" s="647" t="n">
        <x:f>IF(P274&gt;0,P274-E274,"")</x:f>
        <x:v>40000</x:v>
      </x:c>
      <x:c r="T274" s="647" t="str">
        <x:f>IF(Q274&gt;0,Q274-E274,"")</x:f>
      </x:c>
      <x:c r="U274" s="648" t="n">
        <x:f>IF(R274&lt;30000,N274,0)</x:f>
        <x:v>0</x:v>
      </x:c>
      <x:c r="V274" s="648" t="n">
        <x:f>IF(P274&gt;0,N274,0)</x:f>
        <x:v>0</x:v>
      </x:c>
      <x:c r="W274" s="648" t="n">
        <x:f>IF(AND(P274&gt;0,S274&lt;0),N274,0)</x:f>
        <x:v>0</x:v>
      </x:c>
      <x:c r="X274" s="648" t="n">
        <x:f>IF(AND(P274&gt;0,S274=0),N274,0)</x:f>
        <x:v>0</x:v>
      </x:c>
      <x:c r="Y274" s="648" t="n">
        <x:f>IF(Q274&gt;0,N274,0)</x:f>
        <x:v>0</x:v>
      </x:c>
      <x:c r="Z274" s="647" t="n">
        <x:f>IF(P274&gt;0,N274*S274,0)</x:f>
        <x:v>0</x:v>
      </x:c>
      <x:c r="AA274" s="647" t="n">
        <x:f>IF(Q274&gt;0,N274*T274,0)</x:f>
        <x:v>0</x:v>
      </x:c>
      <x:c r="AB274" s="647" t="n">
        <x:f>N274*R274</x:f>
        <x:v>0</x:v>
      </x:c>
      <x:c r="AC274" s="647" t="n">
        <x:f>IF(N274&gt;0,R274,999999)</x:f>
        <x:v>999999</x:v>
      </x:c>
      <x:c r="AD274" s="647" t="n">
        <x:f>IF(AND(N274&gt;0,P274&gt;0),S274,999999)</x:f>
        <x:v>999999</x:v>
      </x:c>
      <x:c r="AE274" s="647" t="n">
        <x:f>IF(AND(N274&gt;0,Q274&gt;0),T274,999999)</x:f>
        <x:v>999999</x:v>
      </x:c>
      <x:c r="AF274" s="648" t="n">
        <x:f>B274*D274*F274*J274</x:f>
        <x:v>0.00429</x:v>
      </x:c>
      <x:c r="AG274" s="648" t="n">
        <x:f>IF(P274&gt;0,AF274,0)</x:f>
        <x:v>0.00429</x:v>
      </x:c>
      <x:c r="AH274" s="648" t="n">
        <x:f>IF(AND(P274&gt;0,S274&lt;0),AF274,0)</x:f>
        <x:v>0</x:v>
      </x:c>
      <x:c r="AI274" s="648" t="n">
        <x:f>IF(AND(P274&gt;0,S274=0),AF274,0)</x:f>
        <x:v>0</x:v>
      </x:c>
      <x:c r="AJ274" s="648" t="n">
        <x:f>IF(R274&lt;30000,AF274,0)</x:f>
        <x:v>0</x:v>
      </x:c>
      <x:c r="AK274" s="647" t="n">
        <x:f>IF(P274&gt;0,AF274*S274,0)</x:f>
        <x:v>171.60000000000002</x:v>
      </x:c>
    </x:row>
    <x:row r="275" ht="22" customHeight="1">
      <x:c r="A275" s="19" t="str">
        <x:v>中心</x:v>
      </x:c>
      <x:c r="B275" s="23" t="n">
        <x:f>'114_降本系数'!B27</x:f>
        <x:v>0.5</x:v>
      </x:c>
      <x:c r="C275" s="19" t="str">
        <x:v>L1A</x:v>
      </x:c>
      <x:c r="D275" s="23" t="n">
        <x:f>'130_联合算法'!C17</x:f>
        <x:v>0.15</x:v>
      </x:c>
      <x:c r="E275" s="460" t="n">
        <x:f>'117_价格概率传导'!A10</x:f>
        <x:v>229900</x:v>
      </x:c>
      <x:c r="F275" s="23" t="n">
        <x:f>'117_价格概率传导'!D10</x:f>
        <x:v>0.13</x:v>
      </x:c>
      <x:c r="G275" s="23" t="n">
        <x:f>SUM('117_价格概率传导'!$D$6:$D$9)</x:f>
        <x:v>0.8400000000000001</x:v>
      </x:c>
      <x:c r="H275" s="23" t="n">
        <x:f>SUM('117_价格概率传导'!$D$6:$D$10)</x:f>
        <x:v>0.9700000000000001</x:v>
      </x:c>
      <x:c r="I275" s="460" t="n">
        <x:f>'117_价格概率传导'!A20</x:f>
        <x:v>269900</x:v>
      </x:c>
      <x:c r="J275" s="23" t="n">
        <x:f>'117_价格概率传导'!D20</x:f>
        <x:v>0.23</x:v>
      </x:c>
      <x:c r="K275" s="23" t="n">
        <x:f>SUM('117_价格概率传导'!$D$16:$D$19)</x:f>
        <x:v>0.71</x:v>
      </x:c>
      <x:c r="L275" s="23" t="n">
        <x:f>SUM('117_价格概率传导'!$D$16:$D$20)</x:f>
        <x:v>0.94</x:v>
      </x:c>
      <x:c r="M275" s="23" t="n">
        <x:f>MAX(0,MIN(H275,L275)-MAX(G275,K275))</x:f>
        <x:v>0.09999999999999987</x:v>
      </x:c>
      <x:c r="N275" s="23" t="n">
        <x:f>B275*D275*M275</x:f>
        <x:v>0.007499999999999989</x:v>
      </x:c>
      <x:c r="O275" s="460" t="n">
        <x:f>MIN(299900,I275+20000)</x:f>
        <x:v>289900</x:v>
      </x:c>
      <x:c r="P275" s="460" t="n">
        <x:f>O275-30000</x:f>
        <x:v>259900</x:v>
      </x:c>
      <x:c r="Q275" s="460" t="str">
        <x:f>""</x:f>
      </x:c>
      <x:c r="R275" s="460" t="n">
        <x:f>O275-E275</x:f>
        <x:v>60000</x:v>
      </x:c>
      <x:c r="S275" s="460" t="n">
        <x:f>IF(P275&gt;0,P275-E275,"")</x:f>
        <x:v>30000</x:v>
      </x:c>
      <x:c r="T275" s="460" t="str">
        <x:f>IF(Q275&gt;0,Q275-E275,"")</x:f>
      </x:c>
      <x:c r="U275" s="23" t="n">
        <x:f>IF(R275&lt;30000,N275,0)</x:f>
        <x:v>0</x:v>
      </x:c>
      <x:c r="V275" s="23" t="n">
        <x:f>IF(P275&gt;0,N275,0)</x:f>
        <x:v>0.007499999999999989</x:v>
      </x:c>
      <x:c r="W275" s="23" t="n">
        <x:f>IF(AND(P275&gt;0,S275&lt;0),N275,0)</x:f>
        <x:v>0</x:v>
      </x:c>
      <x:c r="X275" s="23" t="n">
        <x:f>IF(AND(P275&gt;0,S275=0),N275,0)</x:f>
        <x:v>0</x:v>
      </x:c>
      <x:c r="Y275" s="23" t="n">
        <x:f>IF(Q275&gt;0,N275,0)</x:f>
        <x:v>0</x:v>
      </x:c>
      <x:c r="Z275" s="460" t="n">
        <x:f>IF(P275&gt;0,N275*S275,0)</x:f>
        <x:v>224.9999999999997</x:v>
      </x:c>
      <x:c r="AA275" s="460" t="n">
        <x:f>IF(Q275&gt;0,N275*T275,0)</x:f>
        <x:v>0</x:v>
      </x:c>
      <x:c r="AB275" s="460" t="n">
        <x:f>N275*R275</x:f>
        <x:v>449.9999999999994</x:v>
      </x:c>
      <x:c r="AC275" s="460" t="n">
        <x:f>IF(N275&gt;0,R275,999999)</x:f>
        <x:v>60000</x:v>
      </x:c>
      <x:c r="AD275" s="460" t="n">
        <x:f>IF(AND(N275&gt;0,P275&gt;0),S275,999999)</x:f>
        <x:v>30000</x:v>
      </x:c>
      <x:c r="AE275" s="460" t="n">
        <x:f>IF(AND(N275&gt;0,Q275&gt;0),T275,999999)</x:f>
        <x:v>999999</x:v>
      </x:c>
      <x:c r="AF275" s="23" t="n">
        <x:f>B275*D275*F275*J275</x:f>
        <x:v>0.0022425</x:v>
      </x:c>
      <x:c r="AG275" s="23" t="n">
        <x:f>IF(P275&gt;0,AF275,0)</x:f>
        <x:v>0.0022425</x:v>
      </x:c>
      <x:c r="AH275" s="23" t="n">
        <x:f>IF(AND(P275&gt;0,S275&lt;0),AF275,0)</x:f>
        <x:v>0</x:v>
      </x:c>
      <x:c r="AI275" s="23" t="n">
        <x:f>IF(AND(P275&gt;0,S275=0),AF275,0)</x:f>
        <x:v>0</x:v>
      </x:c>
      <x:c r="AJ275" s="23" t="n">
        <x:f>IF(R275&lt;30000,AF275,0)</x:f>
        <x:v>0</x:v>
      </x:c>
      <x:c r="AK275" s="460" t="n">
        <x:f>IF(P275&gt;0,AF275*S275,0)</x:f>
        <x:v>67.275</x:v>
      </x:c>
    </x:row>
    <x:row r="276" ht="22" customHeight="1">
      <x:c r="A276" s="643" t="str">
        <x:v>中心</x:v>
      </x:c>
      <x:c r="B276" s="648" t="n">
        <x:f>'114_降本系数'!B27</x:f>
        <x:v>0.5</x:v>
      </x:c>
      <x:c r="C276" s="643" t="str">
        <x:v>L1A</x:v>
      </x:c>
      <x:c r="D276" s="648" t="n">
        <x:f>'130_联合算法'!C17</x:f>
        <x:v>0.15</x:v>
      </x:c>
      <x:c r="E276" s="647" t="n">
        <x:f>'117_价格概率传导'!A10</x:f>
        <x:v>229900</x:v>
      </x:c>
      <x:c r="F276" s="648" t="n">
        <x:f>'117_价格概率传导'!D10</x:f>
        <x:v>0.13</x:v>
      </x:c>
      <x:c r="G276" s="648" t="n">
        <x:f>SUM('117_价格概率传导'!$D$6:$D$9)</x:f>
        <x:v>0.8400000000000001</x:v>
      </x:c>
      <x:c r="H276" s="648" t="n">
        <x:f>SUM('117_价格概率传导'!$D$6:$D$10)</x:f>
        <x:v>0.9700000000000001</x:v>
      </x:c>
      <x:c r="I276" s="647" t="n">
        <x:f>'117_价格概率传导'!A21</x:f>
        <x:v>259900</x:v>
      </x:c>
      <x:c r="J276" s="648" t="n">
        <x:f>'117_价格概率传导'!D21</x:f>
        <x:v>0.06</x:v>
      </x:c>
      <x:c r="K276" s="648" t="n">
        <x:f>SUM('117_价格概率传导'!$D$16:$D$20)</x:f>
        <x:v>0.94</x:v>
      </x:c>
      <x:c r="L276" s="648" t="n">
        <x:f>SUM('117_价格概率传导'!$D$16:$D$21)</x:f>
        <x:v>1</x:v>
      </x:c>
      <x:c r="M276" s="648" t="n">
        <x:f>MAX(0,MIN(H276,L276)-MAX(G276,K276))</x:f>
        <x:v>0.030000000000000138</x:v>
      </x:c>
      <x:c r="N276" s="648" t="n">
        <x:f>B276*D276*M276</x:f>
        <x:v>0.0022500000000000102</x:v>
      </x:c>
      <x:c r="O276" s="647" t="n">
        <x:f>MIN(299900,I276+20000)</x:f>
        <x:v>279900</x:v>
      </x:c>
      <x:c r="P276" s="647" t="n">
        <x:f>O276-30000</x:f>
        <x:v>249900</x:v>
      </x:c>
      <x:c r="Q276" s="647" t="str">
        <x:f>""</x:f>
      </x:c>
      <x:c r="R276" s="647" t="n">
        <x:f>O276-E276</x:f>
        <x:v>50000</x:v>
      </x:c>
      <x:c r="S276" s="647" t="n">
        <x:f>IF(P276&gt;0,P276-E276,"")</x:f>
        <x:v>20000</x:v>
      </x:c>
      <x:c r="T276" s="647" t="str">
        <x:f>IF(Q276&gt;0,Q276-E276,"")</x:f>
      </x:c>
      <x:c r="U276" s="648" t="n">
        <x:f>IF(R276&lt;30000,N276,0)</x:f>
        <x:v>0</x:v>
      </x:c>
      <x:c r="V276" s="648" t="n">
        <x:f>IF(P276&gt;0,N276,0)</x:f>
        <x:v>0.0022500000000000102</x:v>
      </x:c>
      <x:c r="W276" s="648" t="n">
        <x:f>IF(AND(P276&gt;0,S276&lt;0),N276,0)</x:f>
        <x:v>0</x:v>
      </x:c>
      <x:c r="X276" s="648" t="n">
        <x:f>IF(AND(P276&gt;0,S276=0),N276,0)</x:f>
        <x:v>0</x:v>
      </x:c>
      <x:c r="Y276" s="648" t="n">
        <x:f>IF(Q276&gt;0,N276,0)</x:f>
        <x:v>0</x:v>
      </x:c>
      <x:c r="Z276" s="647" t="n">
        <x:f>IF(P276&gt;0,N276*S276,0)</x:f>
        <x:v>45.000000000000206</x:v>
      </x:c>
      <x:c r="AA276" s="647" t="n">
        <x:f>IF(Q276&gt;0,N276*T276,0)</x:f>
        <x:v>0</x:v>
      </x:c>
      <x:c r="AB276" s="647" t="n">
        <x:f>N276*R276</x:f>
        <x:v>112.50000000000051</x:v>
      </x:c>
      <x:c r="AC276" s="647" t="n">
        <x:f>IF(N276&gt;0,R276,999999)</x:f>
        <x:v>50000</x:v>
      </x:c>
      <x:c r="AD276" s="647" t="n">
        <x:f>IF(AND(N276&gt;0,P276&gt;0),S276,999999)</x:f>
        <x:v>20000</x:v>
      </x:c>
      <x:c r="AE276" s="647" t="n">
        <x:f>IF(AND(N276&gt;0,Q276&gt;0),T276,999999)</x:f>
        <x:v>999999</x:v>
      </x:c>
      <x:c r="AF276" s="648" t="n">
        <x:f>B276*D276*F276*J276</x:f>
        <x:v>0.000585</x:v>
      </x:c>
      <x:c r="AG276" s="648" t="n">
        <x:f>IF(P276&gt;0,AF276,0)</x:f>
        <x:v>0.000585</x:v>
      </x:c>
      <x:c r="AH276" s="648" t="n">
        <x:f>IF(AND(P276&gt;0,S276&lt;0),AF276,0)</x:f>
        <x:v>0</x:v>
      </x:c>
      <x:c r="AI276" s="648" t="n">
        <x:f>IF(AND(P276&gt;0,S276=0),AF276,0)</x:f>
        <x:v>0</x:v>
      </x:c>
      <x:c r="AJ276" s="648" t="n">
        <x:f>IF(R276&lt;30000,AF276,0)</x:f>
        <x:v>0</x:v>
      </x:c>
      <x:c r="AK276" s="647" t="n">
        <x:f>IF(P276&gt;0,AF276*S276,0)</x:f>
        <x:v>11.700000000000001</x:v>
      </x:c>
    </x:row>
    <x:row r="277" ht="22" customHeight="1">
      <x:c r="A277" s="19" t="str">
        <x:v>中心</x:v>
      </x:c>
      <x:c r="B277" s="23" t="n">
        <x:f>'114_降本系数'!B27</x:f>
        <x:v>0.5</x:v>
      </x:c>
      <x:c r="C277" s="19" t="str">
        <x:v>L1A</x:v>
      </x:c>
      <x:c r="D277" s="23" t="n">
        <x:f>'130_联合算法'!C17</x:f>
        <x:v>0.15</x:v>
      </x:c>
      <x:c r="E277" s="460" t="n">
        <x:f>'117_价格概率传导'!A11</x:f>
        <x:v>219900</x:v>
      </x:c>
      <x:c r="F277" s="23" t="n">
        <x:f>'117_价格概率传导'!D11</x:f>
        <x:v>0.03</x:v>
      </x:c>
      <x:c r="G277" s="23" t="n">
        <x:f>SUM('117_价格概率传导'!$D$6:$D$10)</x:f>
        <x:v>0.9700000000000001</x:v>
      </x:c>
      <x:c r="H277" s="23" t="n">
        <x:f>SUM('117_价格概率传导'!$D$6:$D$11)</x:f>
        <x:v>1</x:v>
      </x:c>
      <x:c r="I277" s="460" t="n">
        <x:f>'117_价格概率传导'!A16</x:f>
        <x:v>299900</x:v>
      </x:c>
      <x:c r="J277" s="23" t="n">
        <x:f>'117_价格概率传导'!D16</x:f>
        <x:v>0.02</x:v>
      </x:c>
      <x:c r="K277" s="23" t="n">
        <x:f>0</x:f>
        <x:v>0</x:v>
      </x:c>
      <x:c r="L277" s="23" t="n">
        <x:f>SUM('117_价格概率传导'!$D$16:$D$16)</x:f>
        <x:v>0.02</x:v>
      </x:c>
      <x:c r="M277" s="23" t="n">
        <x:f>MAX(0,MIN(H277,L277)-MAX(G277,K277))</x:f>
        <x:v>0</x:v>
      </x:c>
      <x:c r="N277" s="23" t="n">
        <x:f>B277*D277*M277</x:f>
        <x:v>0</x:v>
      </x:c>
      <x:c r="O277" s="460" t="n">
        <x:f>MIN(299900,I277+20000)</x:f>
        <x:v>299900</x:v>
      </x:c>
      <x:c r="P277" s="460" t="n">
        <x:f>O277-30000</x:f>
        <x:v>269900</x:v>
      </x:c>
      <x:c r="Q277" s="460" t="str">
        <x:f>""</x:f>
      </x:c>
      <x:c r="R277" s="460" t="n">
        <x:f>O277-E277</x:f>
        <x:v>80000</x:v>
      </x:c>
      <x:c r="S277" s="460" t="n">
        <x:f>IF(P277&gt;0,P277-E277,"")</x:f>
        <x:v>50000</x:v>
      </x:c>
      <x:c r="T277" s="460" t="str">
        <x:f>IF(Q277&gt;0,Q277-E277,"")</x:f>
      </x:c>
      <x:c r="U277" s="23" t="n">
        <x:f>IF(R277&lt;30000,N277,0)</x:f>
        <x:v>0</x:v>
      </x:c>
      <x:c r="V277" s="23" t="n">
        <x:f>IF(P277&gt;0,N277,0)</x:f>
        <x:v>0</x:v>
      </x:c>
      <x:c r="W277" s="23" t="n">
        <x:f>IF(AND(P277&gt;0,S277&lt;0),N277,0)</x:f>
        <x:v>0</x:v>
      </x:c>
      <x:c r="X277" s="23" t="n">
        <x:f>IF(AND(P277&gt;0,S277=0),N277,0)</x:f>
        <x:v>0</x:v>
      </x:c>
      <x:c r="Y277" s="23" t="n">
        <x:f>IF(Q277&gt;0,N277,0)</x:f>
        <x:v>0</x:v>
      </x:c>
      <x:c r="Z277" s="460" t="n">
        <x:f>IF(P277&gt;0,N277*S277,0)</x:f>
        <x:v>0</x:v>
      </x:c>
      <x:c r="AA277" s="460" t="n">
        <x:f>IF(Q277&gt;0,N277*T277,0)</x:f>
        <x:v>0</x:v>
      </x:c>
      <x:c r="AB277" s="460" t="n">
        <x:f>N277*R277</x:f>
        <x:v>0</x:v>
      </x:c>
      <x:c r="AC277" s="460" t="n">
        <x:f>IF(N277&gt;0,R277,999999)</x:f>
        <x:v>999999</x:v>
      </x:c>
      <x:c r="AD277" s="460" t="n">
        <x:f>IF(AND(N277&gt;0,P277&gt;0),S277,999999)</x:f>
        <x:v>999999</x:v>
      </x:c>
      <x:c r="AE277" s="460" t="n">
        <x:f>IF(AND(N277&gt;0,Q277&gt;0),T277,999999)</x:f>
        <x:v>999999</x:v>
      </x:c>
      <x:c r="AF277" s="23" t="n">
        <x:f>B277*D277*F277*J277</x:f>
        <x:v>0.000044999999999999996</x:v>
      </x:c>
      <x:c r="AG277" s="23" t="n">
        <x:f>IF(P277&gt;0,AF277,0)</x:f>
        <x:v>0.000044999999999999996</x:v>
      </x:c>
      <x:c r="AH277" s="23" t="n">
        <x:f>IF(AND(P277&gt;0,S277&lt;0),AF277,0)</x:f>
        <x:v>0</x:v>
      </x:c>
      <x:c r="AI277" s="23" t="n">
        <x:f>IF(AND(P277&gt;0,S277=0),AF277,0)</x:f>
        <x:v>0</x:v>
      </x:c>
      <x:c r="AJ277" s="23" t="n">
        <x:f>IF(R277&lt;30000,AF277,0)</x:f>
        <x:v>0</x:v>
      </x:c>
      <x:c r="AK277" s="460" t="n">
        <x:f>IF(P277&gt;0,AF277*S277,0)</x:f>
        <x:v>2.25</x:v>
      </x:c>
    </x:row>
    <x:row r="278" ht="22" customHeight="1">
      <x:c r="A278" s="643" t="str">
        <x:v>中心</x:v>
      </x:c>
      <x:c r="B278" s="648" t="n">
        <x:f>'114_降本系数'!B27</x:f>
        <x:v>0.5</x:v>
      </x:c>
      <x:c r="C278" s="643" t="str">
        <x:v>L1A</x:v>
      </x:c>
      <x:c r="D278" s="648" t="n">
        <x:f>'130_联合算法'!C17</x:f>
        <x:v>0.15</x:v>
      </x:c>
      <x:c r="E278" s="647" t="n">
        <x:f>'117_价格概率传导'!A11</x:f>
        <x:v>219900</x:v>
      </x:c>
      <x:c r="F278" s="648" t="n">
        <x:f>'117_价格概率传导'!D11</x:f>
        <x:v>0.03</x:v>
      </x:c>
      <x:c r="G278" s="648" t="n">
        <x:f>SUM('117_价格概率传导'!$D$6:$D$10)</x:f>
        <x:v>0.9700000000000001</x:v>
      </x:c>
      <x:c r="H278" s="648" t="n">
        <x:f>SUM('117_价格概率传导'!$D$6:$D$11)</x:f>
        <x:v>1</x:v>
      </x:c>
      <x:c r="I278" s="647" t="n">
        <x:f>'117_价格概率传导'!A17</x:f>
        <x:v>293900</x:v>
      </x:c>
      <x:c r="J278" s="648" t="n">
        <x:f>'117_价格概率传导'!D17</x:f>
        <x:v>0.03</x:v>
      </x:c>
      <x:c r="K278" s="648" t="n">
        <x:f>SUM('117_价格概率传导'!$D$16:$D$16)</x:f>
        <x:v>0.02</x:v>
      </x:c>
      <x:c r="L278" s="648" t="n">
        <x:f>SUM('117_价格概率传导'!$D$16:$D$17)</x:f>
        <x:v>0.05</x:v>
      </x:c>
      <x:c r="M278" s="648" t="n">
        <x:f>MAX(0,MIN(H278,L278)-MAX(G278,K278))</x:f>
        <x:v>0</x:v>
      </x:c>
      <x:c r="N278" s="648" t="n">
        <x:f>B278*D278*M278</x:f>
        <x:v>0</x:v>
      </x:c>
      <x:c r="O278" s="647" t="n">
        <x:f>MIN(299900,I278+20000)</x:f>
        <x:v>299900</x:v>
      </x:c>
      <x:c r="P278" s="647" t="n">
        <x:f>O278-30000</x:f>
        <x:v>269900</x:v>
      </x:c>
      <x:c r="Q278" s="647" t="str">
        <x:f>""</x:f>
      </x:c>
      <x:c r="R278" s="647" t="n">
        <x:f>O278-E278</x:f>
        <x:v>80000</x:v>
      </x:c>
      <x:c r="S278" s="647" t="n">
        <x:f>IF(P278&gt;0,P278-E278,"")</x:f>
        <x:v>50000</x:v>
      </x:c>
      <x:c r="T278" s="647" t="str">
        <x:f>IF(Q278&gt;0,Q278-E278,"")</x:f>
      </x:c>
      <x:c r="U278" s="648" t="n">
        <x:f>IF(R278&lt;30000,N278,0)</x:f>
        <x:v>0</x:v>
      </x:c>
      <x:c r="V278" s="648" t="n">
        <x:f>IF(P278&gt;0,N278,0)</x:f>
        <x:v>0</x:v>
      </x:c>
      <x:c r="W278" s="648" t="n">
        <x:f>IF(AND(P278&gt;0,S278&lt;0),N278,0)</x:f>
        <x:v>0</x:v>
      </x:c>
      <x:c r="X278" s="648" t="n">
        <x:f>IF(AND(P278&gt;0,S278=0),N278,0)</x:f>
        <x:v>0</x:v>
      </x:c>
      <x:c r="Y278" s="648" t="n">
        <x:f>IF(Q278&gt;0,N278,0)</x:f>
        <x:v>0</x:v>
      </x:c>
      <x:c r="Z278" s="647" t="n">
        <x:f>IF(P278&gt;0,N278*S278,0)</x:f>
        <x:v>0</x:v>
      </x:c>
      <x:c r="AA278" s="647" t="n">
        <x:f>IF(Q278&gt;0,N278*T278,0)</x:f>
        <x:v>0</x:v>
      </x:c>
      <x:c r="AB278" s="647" t="n">
        <x:f>N278*R278</x:f>
        <x:v>0</x:v>
      </x:c>
      <x:c r="AC278" s="647" t="n">
        <x:f>IF(N278&gt;0,R278,999999)</x:f>
        <x:v>999999</x:v>
      </x:c>
      <x:c r="AD278" s="647" t="n">
        <x:f>IF(AND(N278&gt;0,P278&gt;0),S278,999999)</x:f>
        <x:v>999999</x:v>
      </x:c>
      <x:c r="AE278" s="647" t="n">
        <x:f>IF(AND(N278&gt;0,Q278&gt;0),T278,999999)</x:f>
        <x:v>999999</x:v>
      </x:c>
      <x:c r="AF278" s="648" t="n">
        <x:f>B278*D278*F278*J278</x:f>
        <x:v>0.00006749999999999999</x:v>
      </x:c>
      <x:c r="AG278" s="648" t="n">
        <x:f>IF(P278&gt;0,AF278,0)</x:f>
        <x:v>0.00006749999999999999</x:v>
      </x:c>
      <x:c r="AH278" s="648" t="n">
        <x:f>IF(AND(P278&gt;0,S278&lt;0),AF278,0)</x:f>
        <x:v>0</x:v>
      </x:c>
      <x:c r="AI278" s="648" t="n">
        <x:f>IF(AND(P278&gt;0,S278=0),AF278,0)</x:f>
        <x:v>0</x:v>
      </x:c>
      <x:c r="AJ278" s="648" t="n">
        <x:f>IF(R278&lt;30000,AF278,0)</x:f>
        <x:v>0</x:v>
      </x:c>
      <x:c r="AK278" s="647" t="n">
        <x:f>IF(P278&gt;0,AF278*S278,0)</x:f>
        <x:v>3.3749999999999996</x:v>
      </x:c>
    </x:row>
    <x:row r="279" ht="22" customHeight="1">
      <x:c r="A279" s="19" t="str">
        <x:v>中心</x:v>
      </x:c>
      <x:c r="B279" s="23" t="n">
        <x:f>'114_降本系数'!B27</x:f>
        <x:v>0.5</x:v>
      </x:c>
      <x:c r="C279" s="19" t="str">
        <x:v>L1A</x:v>
      </x:c>
      <x:c r="D279" s="23" t="n">
        <x:f>'130_联合算法'!C17</x:f>
        <x:v>0.15</x:v>
      </x:c>
      <x:c r="E279" s="460" t="n">
        <x:f>'117_价格概率传导'!A11</x:f>
        <x:v>219900</x:v>
      </x:c>
      <x:c r="F279" s="23" t="n">
        <x:f>'117_价格概率传导'!D11</x:f>
        <x:v>0.03</x:v>
      </x:c>
      <x:c r="G279" s="23" t="n">
        <x:f>SUM('117_价格概率传导'!$D$6:$D$10)</x:f>
        <x:v>0.9700000000000001</x:v>
      </x:c>
      <x:c r="H279" s="23" t="n">
        <x:f>SUM('117_价格概率传导'!$D$6:$D$11)</x:f>
        <x:v>1</x:v>
      </x:c>
      <x:c r="I279" s="460" t="n">
        <x:f>'117_价格概率传导'!A18</x:f>
        <x:v>289900</x:v>
      </x:c>
      <x:c r="J279" s="23" t="n">
        <x:f>'117_价格概率传导'!D18</x:f>
        <x:v>0.22</x:v>
      </x:c>
      <x:c r="K279" s="23" t="n">
        <x:f>SUM('117_价格概率传导'!$D$16:$D$17)</x:f>
        <x:v>0.05</x:v>
      </x:c>
      <x:c r="L279" s="23" t="n">
        <x:f>SUM('117_价格概率传导'!$D$16:$D$18)</x:f>
        <x:v>0.27</x:v>
      </x:c>
      <x:c r="M279" s="23" t="n">
        <x:f>MAX(0,MIN(H279,L279)-MAX(G279,K279))</x:f>
        <x:v>0</x:v>
      </x:c>
      <x:c r="N279" s="23" t="n">
        <x:f>B279*D279*M279</x:f>
        <x:v>0</x:v>
      </x:c>
      <x:c r="O279" s="460" t="n">
        <x:f>MIN(299900,I279+20000)</x:f>
        <x:v>299900</x:v>
      </x:c>
      <x:c r="P279" s="460" t="n">
        <x:f>O279-30000</x:f>
        <x:v>269900</x:v>
      </x:c>
      <x:c r="Q279" s="460" t="str">
        <x:f>""</x:f>
      </x:c>
      <x:c r="R279" s="460" t="n">
        <x:f>O279-E279</x:f>
        <x:v>80000</x:v>
      </x:c>
      <x:c r="S279" s="460" t="n">
        <x:f>IF(P279&gt;0,P279-E279,"")</x:f>
        <x:v>50000</x:v>
      </x:c>
      <x:c r="T279" s="460" t="str">
        <x:f>IF(Q279&gt;0,Q279-E279,"")</x:f>
      </x:c>
      <x:c r="U279" s="23" t="n">
        <x:f>IF(R279&lt;30000,N279,0)</x:f>
        <x:v>0</x:v>
      </x:c>
      <x:c r="V279" s="23" t="n">
        <x:f>IF(P279&gt;0,N279,0)</x:f>
        <x:v>0</x:v>
      </x:c>
      <x:c r="W279" s="23" t="n">
        <x:f>IF(AND(P279&gt;0,S279&lt;0),N279,0)</x:f>
        <x:v>0</x:v>
      </x:c>
      <x:c r="X279" s="23" t="n">
        <x:f>IF(AND(P279&gt;0,S279=0),N279,0)</x:f>
        <x:v>0</x:v>
      </x:c>
      <x:c r="Y279" s="23" t="n">
        <x:f>IF(Q279&gt;0,N279,0)</x:f>
        <x:v>0</x:v>
      </x:c>
      <x:c r="Z279" s="460" t="n">
        <x:f>IF(P279&gt;0,N279*S279,0)</x:f>
        <x:v>0</x:v>
      </x:c>
      <x:c r="AA279" s="460" t="n">
        <x:f>IF(Q279&gt;0,N279*T279,0)</x:f>
        <x:v>0</x:v>
      </x:c>
      <x:c r="AB279" s="460" t="n">
        <x:f>N279*R279</x:f>
        <x:v>0</x:v>
      </x:c>
      <x:c r="AC279" s="460" t="n">
        <x:f>IF(N279&gt;0,R279,999999)</x:f>
        <x:v>999999</x:v>
      </x:c>
      <x:c r="AD279" s="460" t="n">
        <x:f>IF(AND(N279&gt;0,P279&gt;0),S279,999999)</x:f>
        <x:v>999999</x:v>
      </x:c>
      <x:c r="AE279" s="460" t="n">
        <x:f>IF(AND(N279&gt;0,Q279&gt;0),T279,999999)</x:f>
        <x:v>999999</x:v>
      </x:c>
      <x:c r="AF279" s="23" t="n">
        <x:f>B279*D279*F279*J279</x:f>
        <x:v>0.000495</x:v>
      </x:c>
      <x:c r="AG279" s="23" t="n">
        <x:f>IF(P279&gt;0,AF279,0)</x:f>
        <x:v>0.000495</x:v>
      </x:c>
      <x:c r="AH279" s="23" t="n">
        <x:f>IF(AND(P279&gt;0,S279&lt;0),AF279,0)</x:f>
        <x:v>0</x:v>
      </x:c>
      <x:c r="AI279" s="23" t="n">
        <x:f>IF(AND(P279&gt;0,S279=0),AF279,0)</x:f>
        <x:v>0</x:v>
      </x:c>
      <x:c r="AJ279" s="23" t="n">
        <x:f>IF(R279&lt;30000,AF279,0)</x:f>
        <x:v>0</x:v>
      </x:c>
      <x:c r="AK279" s="460" t="n">
        <x:f>IF(P279&gt;0,AF279*S279,0)</x:f>
        <x:v>24.75</x:v>
      </x:c>
    </x:row>
    <x:row r="280" ht="22" customHeight="1">
      <x:c r="A280" s="643" t="str">
        <x:v>中心</x:v>
      </x:c>
      <x:c r="B280" s="648" t="n">
        <x:f>'114_降本系数'!B27</x:f>
        <x:v>0.5</x:v>
      </x:c>
      <x:c r="C280" s="643" t="str">
        <x:v>L1A</x:v>
      </x:c>
      <x:c r="D280" s="648" t="n">
        <x:f>'130_联合算法'!C17</x:f>
        <x:v>0.15</x:v>
      </x:c>
      <x:c r="E280" s="647" t="n">
        <x:f>'117_价格概率传导'!A11</x:f>
        <x:v>219900</x:v>
      </x:c>
      <x:c r="F280" s="648" t="n">
        <x:f>'117_价格概率传导'!D11</x:f>
        <x:v>0.03</x:v>
      </x:c>
      <x:c r="G280" s="648" t="n">
        <x:f>SUM('117_价格概率传导'!$D$6:$D$10)</x:f>
        <x:v>0.9700000000000001</x:v>
      </x:c>
      <x:c r="H280" s="648" t="n">
        <x:f>SUM('117_价格概率传导'!$D$6:$D$11)</x:f>
        <x:v>1</x:v>
      </x:c>
      <x:c r="I280" s="647" t="n">
        <x:f>'117_价格概率传导'!A19</x:f>
        <x:v>279900</x:v>
      </x:c>
      <x:c r="J280" s="648" t="n">
        <x:f>'117_价格概率传导'!D19</x:f>
        <x:v>0.44</x:v>
      </x:c>
      <x:c r="K280" s="648" t="n">
        <x:f>SUM('117_价格概率传导'!$D$16:$D$18)</x:f>
        <x:v>0.27</x:v>
      </x:c>
      <x:c r="L280" s="648" t="n">
        <x:f>SUM('117_价格概率传导'!$D$16:$D$19)</x:f>
        <x:v>0.71</x:v>
      </x:c>
      <x:c r="M280" s="648" t="n">
        <x:f>MAX(0,MIN(H280,L280)-MAX(G280,K280))</x:f>
        <x:v>0</x:v>
      </x:c>
      <x:c r="N280" s="648" t="n">
        <x:f>B280*D280*M280</x:f>
        <x:v>0</x:v>
      </x:c>
      <x:c r="O280" s="647" t="n">
        <x:f>MIN(299900,I280+20000)</x:f>
        <x:v>299900</x:v>
      </x:c>
      <x:c r="P280" s="647" t="n">
        <x:f>O280-30000</x:f>
        <x:v>269900</x:v>
      </x:c>
      <x:c r="Q280" s="647" t="str">
        <x:f>""</x:f>
      </x:c>
      <x:c r="R280" s="647" t="n">
        <x:f>O280-E280</x:f>
        <x:v>80000</x:v>
      </x:c>
      <x:c r="S280" s="647" t="n">
        <x:f>IF(P280&gt;0,P280-E280,"")</x:f>
        <x:v>50000</x:v>
      </x:c>
      <x:c r="T280" s="647" t="str">
        <x:f>IF(Q280&gt;0,Q280-E280,"")</x:f>
      </x:c>
      <x:c r="U280" s="648" t="n">
        <x:f>IF(R280&lt;30000,N280,0)</x:f>
        <x:v>0</x:v>
      </x:c>
      <x:c r="V280" s="648" t="n">
        <x:f>IF(P280&gt;0,N280,0)</x:f>
        <x:v>0</x:v>
      </x:c>
      <x:c r="W280" s="648" t="n">
        <x:f>IF(AND(P280&gt;0,S280&lt;0),N280,0)</x:f>
        <x:v>0</x:v>
      </x:c>
      <x:c r="X280" s="648" t="n">
        <x:f>IF(AND(P280&gt;0,S280=0),N280,0)</x:f>
        <x:v>0</x:v>
      </x:c>
      <x:c r="Y280" s="648" t="n">
        <x:f>IF(Q280&gt;0,N280,0)</x:f>
        <x:v>0</x:v>
      </x:c>
      <x:c r="Z280" s="647" t="n">
        <x:f>IF(P280&gt;0,N280*S280,0)</x:f>
        <x:v>0</x:v>
      </x:c>
      <x:c r="AA280" s="647" t="n">
        <x:f>IF(Q280&gt;0,N280*T280,0)</x:f>
        <x:v>0</x:v>
      </x:c>
      <x:c r="AB280" s="647" t="n">
        <x:f>N280*R280</x:f>
        <x:v>0</x:v>
      </x:c>
      <x:c r="AC280" s="647" t="n">
        <x:f>IF(N280&gt;0,R280,999999)</x:f>
        <x:v>999999</x:v>
      </x:c>
      <x:c r="AD280" s="647" t="n">
        <x:f>IF(AND(N280&gt;0,P280&gt;0),S280,999999)</x:f>
        <x:v>999999</x:v>
      </x:c>
      <x:c r="AE280" s="647" t="n">
        <x:f>IF(AND(N280&gt;0,Q280&gt;0),T280,999999)</x:f>
        <x:v>999999</x:v>
      </x:c>
      <x:c r="AF280" s="648" t="n">
        <x:f>B280*D280*F280*J280</x:f>
        <x:v>0.00099</x:v>
      </x:c>
      <x:c r="AG280" s="648" t="n">
        <x:f>IF(P280&gt;0,AF280,0)</x:f>
        <x:v>0.00099</x:v>
      </x:c>
      <x:c r="AH280" s="648" t="n">
        <x:f>IF(AND(P280&gt;0,S280&lt;0),AF280,0)</x:f>
        <x:v>0</x:v>
      </x:c>
      <x:c r="AI280" s="648" t="n">
        <x:f>IF(AND(P280&gt;0,S280=0),AF280,0)</x:f>
        <x:v>0</x:v>
      </x:c>
      <x:c r="AJ280" s="648" t="n">
        <x:f>IF(R280&lt;30000,AF280,0)</x:f>
        <x:v>0</x:v>
      </x:c>
      <x:c r="AK280" s="647" t="n">
        <x:f>IF(P280&gt;0,AF280*S280,0)</x:f>
        <x:v>49.5</x:v>
      </x:c>
    </x:row>
    <x:row r="281" ht="22" customHeight="1">
      <x:c r="A281" s="19" t="str">
        <x:v>中心</x:v>
      </x:c>
      <x:c r="B281" s="23" t="n">
        <x:f>'114_降本系数'!B27</x:f>
        <x:v>0.5</x:v>
      </x:c>
      <x:c r="C281" s="19" t="str">
        <x:v>L1A</x:v>
      </x:c>
      <x:c r="D281" s="23" t="n">
        <x:f>'130_联合算法'!C17</x:f>
        <x:v>0.15</x:v>
      </x:c>
      <x:c r="E281" s="460" t="n">
        <x:f>'117_价格概率传导'!A11</x:f>
        <x:v>219900</x:v>
      </x:c>
      <x:c r="F281" s="23" t="n">
        <x:f>'117_价格概率传导'!D11</x:f>
        <x:v>0.03</x:v>
      </x:c>
      <x:c r="G281" s="23" t="n">
        <x:f>SUM('117_价格概率传导'!$D$6:$D$10)</x:f>
        <x:v>0.9700000000000001</x:v>
      </x:c>
      <x:c r="H281" s="23" t="n">
        <x:f>SUM('117_价格概率传导'!$D$6:$D$11)</x:f>
        <x:v>1</x:v>
      </x:c>
      <x:c r="I281" s="460" t="n">
        <x:f>'117_价格概率传导'!A20</x:f>
        <x:v>269900</x:v>
      </x:c>
      <x:c r="J281" s="23" t="n">
        <x:f>'117_价格概率传导'!D20</x:f>
        <x:v>0.23</x:v>
      </x:c>
      <x:c r="K281" s="23" t="n">
        <x:f>SUM('117_价格概率传导'!$D$16:$D$19)</x:f>
        <x:v>0.71</x:v>
      </x:c>
      <x:c r="L281" s="23" t="n">
        <x:f>SUM('117_价格概率传导'!$D$16:$D$20)</x:f>
        <x:v>0.94</x:v>
      </x:c>
      <x:c r="M281" s="23" t="n">
        <x:f>MAX(0,MIN(H281,L281)-MAX(G281,K281))</x:f>
        <x:v>0</x:v>
      </x:c>
      <x:c r="N281" s="23" t="n">
        <x:f>B281*D281*M281</x:f>
        <x:v>0</x:v>
      </x:c>
      <x:c r="O281" s="460" t="n">
        <x:f>MIN(299900,I281+20000)</x:f>
        <x:v>289900</x:v>
      </x:c>
      <x:c r="P281" s="460" t="n">
        <x:f>O281-30000</x:f>
        <x:v>259900</x:v>
      </x:c>
      <x:c r="Q281" s="460" t="str">
        <x:f>""</x:f>
      </x:c>
      <x:c r="R281" s="460" t="n">
        <x:f>O281-E281</x:f>
        <x:v>70000</x:v>
      </x:c>
      <x:c r="S281" s="460" t="n">
        <x:f>IF(P281&gt;0,P281-E281,"")</x:f>
        <x:v>40000</x:v>
      </x:c>
      <x:c r="T281" s="460" t="str">
        <x:f>IF(Q281&gt;0,Q281-E281,"")</x:f>
      </x:c>
      <x:c r="U281" s="23" t="n">
        <x:f>IF(R281&lt;30000,N281,0)</x:f>
        <x:v>0</x:v>
      </x:c>
      <x:c r="V281" s="23" t="n">
        <x:f>IF(P281&gt;0,N281,0)</x:f>
        <x:v>0</x:v>
      </x:c>
      <x:c r="W281" s="23" t="n">
        <x:f>IF(AND(P281&gt;0,S281&lt;0),N281,0)</x:f>
        <x:v>0</x:v>
      </x:c>
      <x:c r="X281" s="23" t="n">
        <x:f>IF(AND(P281&gt;0,S281=0),N281,0)</x:f>
        <x:v>0</x:v>
      </x:c>
      <x:c r="Y281" s="23" t="n">
        <x:f>IF(Q281&gt;0,N281,0)</x:f>
        <x:v>0</x:v>
      </x:c>
      <x:c r="Z281" s="460" t="n">
        <x:f>IF(P281&gt;0,N281*S281,0)</x:f>
        <x:v>0</x:v>
      </x:c>
      <x:c r="AA281" s="460" t="n">
        <x:f>IF(Q281&gt;0,N281*T281,0)</x:f>
        <x:v>0</x:v>
      </x:c>
      <x:c r="AB281" s="460" t="n">
        <x:f>N281*R281</x:f>
        <x:v>0</x:v>
      </x:c>
      <x:c r="AC281" s="460" t="n">
        <x:f>IF(N281&gt;0,R281,999999)</x:f>
        <x:v>999999</x:v>
      </x:c>
      <x:c r="AD281" s="460" t="n">
        <x:f>IF(AND(N281&gt;0,P281&gt;0),S281,999999)</x:f>
        <x:v>999999</x:v>
      </x:c>
      <x:c r="AE281" s="460" t="n">
        <x:f>IF(AND(N281&gt;0,Q281&gt;0),T281,999999)</x:f>
        <x:v>999999</x:v>
      </x:c>
      <x:c r="AF281" s="23" t="n">
        <x:f>B281*D281*F281*J281</x:f>
        <x:v>0.0005175</x:v>
      </x:c>
      <x:c r="AG281" s="23" t="n">
        <x:f>IF(P281&gt;0,AF281,0)</x:f>
        <x:v>0.0005175</x:v>
      </x:c>
      <x:c r="AH281" s="23" t="n">
        <x:f>IF(AND(P281&gt;0,S281&lt;0),AF281,0)</x:f>
        <x:v>0</x:v>
      </x:c>
      <x:c r="AI281" s="23" t="n">
        <x:f>IF(AND(P281&gt;0,S281=0),AF281,0)</x:f>
        <x:v>0</x:v>
      </x:c>
      <x:c r="AJ281" s="23" t="n">
        <x:f>IF(R281&lt;30000,AF281,0)</x:f>
        <x:v>0</x:v>
      </x:c>
      <x:c r="AK281" s="460" t="n">
        <x:f>IF(P281&gt;0,AF281*S281,0)</x:f>
        <x:v>20.7</x:v>
      </x:c>
    </x:row>
    <x:row r="282" ht="22" customHeight="1">
      <x:c r="A282" s="643" t="str">
        <x:v>中心</x:v>
      </x:c>
      <x:c r="B282" s="648" t="n">
        <x:f>'114_降本系数'!B27</x:f>
        <x:v>0.5</x:v>
      </x:c>
      <x:c r="C282" s="643" t="str">
        <x:v>L1A</x:v>
      </x:c>
      <x:c r="D282" s="648" t="n">
        <x:f>'130_联合算法'!C17</x:f>
        <x:v>0.15</x:v>
      </x:c>
      <x:c r="E282" s="647" t="n">
        <x:f>'117_价格概率传导'!A11</x:f>
        <x:v>219900</x:v>
      </x:c>
      <x:c r="F282" s="648" t="n">
        <x:f>'117_价格概率传导'!D11</x:f>
        <x:v>0.03</x:v>
      </x:c>
      <x:c r="G282" s="648" t="n">
        <x:f>SUM('117_价格概率传导'!$D$6:$D$10)</x:f>
        <x:v>0.9700000000000001</x:v>
      </x:c>
      <x:c r="H282" s="648" t="n">
        <x:f>SUM('117_价格概率传导'!$D$6:$D$11)</x:f>
        <x:v>1</x:v>
      </x:c>
      <x:c r="I282" s="647" t="n">
        <x:f>'117_价格概率传导'!A21</x:f>
        <x:v>259900</x:v>
      </x:c>
      <x:c r="J282" s="648" t="n">
        <x:f>'117_价格概率传导'!D21</x:f>
        <x:v>0.06</x:v>
      </x:c>
      <x:c r="K282" s="648" t="n">
        <x:f>SUM('117_价格概率传导'!$D$16:$D$20)</x:f>
        <x:v>0.94</x:v>
      </x:c>
      <x:c r="L282" s="648" t="n">
        <x:f>SUM('117_价格概率传导'!$D$16:$D$21)</x:f>
        <x:v>1</x:v>
      </x:c>
      <x:c r="M282" s="648" t="n">
        <x:f>MAX(0,MIN(H282,L282)-MAX(G282,K282))</x:f>
        <x:v>0.029999999999999916</x:v>
      </x:c>
      <x:c r="N282" s="648" t="n">
        <x:f>B282*D282*M282</x:f>
        <x:v>0.0022499999999999938</x:v>
      </x:c>
      <x:c r="O282" s="647" t="n">
        <x:f>MIN(299900,I282+20000)</x:f>
        <x:v>279900</x:v>
      </x:c>
      <x:c r="P282" s="647" t="n">
        <x:f>O282-30000</x:f>
        <x:v>249900</x:v>
      </x:c>
      <x:c r="Q282" s="647" t="str">
        <x:f>""</x:f>
      </x:c>
      <x:c r="R282" s="647" t="n">
        <x:f>O282-E282</x:f>
        <x:v>60000</x:v>
      </x:c>
      <x:c r="S282" s="647" t="n">
        <x:f>IF(P282&gt;0,P282-E282,"")</x:f>
        <x:v>30000</x:v>
      </x:c>
      <x:c r="T282" s="647" t="str">
        <x:f>IF(Q282&gt;0,Q282-E282,"")</x:f>
      </x:c>
      <x:c r="U282" s="648" t="n">
        <x:f>IF(R282&lt;30000,N282,0)</x:f>
        <x:v>0</x:v>
      </x:c>
      <x:c r="V282" s="648" t="n">
        <x:f>IF(P282&gt;0,N282,0)</x:f>
        <x:v>0.0022499999999999938</x:v>
      </x:c>
      <x:c r="W282" s="648" t="n">
        <x:f>IF(AND(P282&gt;0,S282&lt;0),N282,0)</x:f>
        <x:v>0</x:v>
      </x:c>
      <x:c r="X282" s="648" t="n">
        <x:f>IF(AND(P282&gt;0,S282=0),N282,0)</x:f>
        <x:v>0</x:v>
      </x:c>
      <x:c r="Y282" s="648" t="n">
        <x:f>IF(Q282&gt;0,N282,0)</x:f>
        <x:v>0</x:v>
      </x:c>
      <x:c r="Z282" s="647" t="n">
        <x:f>IF(P282&gt;0,N282*S282,0)</x:f>
        <x:v>67.49999999999982</x:v>
      </x:c>
      <x:c r="AA282" s="647" t="n">
        <x:f>IF(Q282&gt;0,N282*T282,0)</x:f>
        <x:v>0</x:v>
      </x:c>
      <x:c r="AB282" s="647" t="n">
        <x:f>N282*R282</x:f>
        <x:v>134.99999999999963</x:v>
      </x:c>
      <x:c r="AC282" s="647" t="n">
        <x:f>IF(N282&gt;0,R282,999999)</x:f>
        <x:v>60000</x:v>
      </x:c>
      <x:c r="AD282" s="647" t="n">
        <x:f>IF(AND(N282&gt;0,P282&gt;0),S282,999999)</x:f>
        <x:v>30000</x:v>
      </x:c>
      <x:c r="AE282" s="647" t="n">
        <x:f>IF(AND(N282&gt;0,Q282&gt;0),T282,999999)</x:f>
        <x:v>999999</x:v>
      </x:c>
      <x:c r="AF282" s="648" t="n">
        <x:f>B282*D282*F282*J282</x:f>
        <x:v>0.00013499999999999997</x:v>
      </x:c>
      <x:c r="AG282" s="648" t="n">
        <x:f>IF(P282&gt;0,AF282,0)</x:f>
        <x:v>0.00013499999999999997</x:v>
      </x:c>
      <x:c r="AH282" s="648" t="n">
        <x:f>IF(AND(P282&gt;0,S282&lt;0),AF282,0)</x:f>
        <x:v>0</x:v>
      </x:c>
      <x:c r="AI282" s="648" t="n">
        <x:f>IF(AND(P282&gt;0,S282=0),AF282,0)</x:f>
        <x:v>0</x:v>
      </x:c>
      <x:c r="AJ282" s="648" t="n">
        <x:f>IF(R282&lt;30000,AF282,0)</x:f>
        <x:v>0</x:v>
      </x:c>
      <x:c r="AK282" s="647" t="n">
        <x:f>IF(P282&gt;0,AF282*S282,0)</x:f>
        <x:v>4.049999999999999</x:v>
      </x:c>
    </x:row>
    <x:row r="283" ht="22" customHeight="1">
      <x:c r="A283" s="19" t="str">
        <x:v>中心</x:v>
      </x:c>
      <x:c r="B283" s="23" t="n">
        <x:f>'114_降本系数'!B27</x:f>
        <x:v>0.5</x:v>
      </x:c>
      <x:c r="C283" s="19" t="str">
        <x:v>L1B</x:v>
      </x:c>
      <x:c r="D283" s="23" t="n">
        <x:f>'130_联合算法'!C18</x:f>
        <x:v>0.1</x:v>
      </x:c>
      <x:c r="E283" s="460" t="n">
        <x:f>'117_价格概率传导'!A6</x:f>
        <x:v>259900</x:v>
      </x:c>
      <x:c r="F283" s="23" t="n">
        <x:f>'117_价格概率传导'!D6</x:f>
        <x:v>0.03</x:v>
      </x:c>
      <x:c r="G283" s="23" t="n">
        <x:f>0</x:f>
        <x:v>0</x:v>
      </x:c>
      <x:c r="H283" s="23" t="n">
        <x:f>SUM('117_价格概率传导'!$D$6:$D$6)</x:f>
        <x:v>0.03</x:v>
      </x:c>
      <x:c r="I283" s="460" t="n">
        <x:f>'117_价格概率传导'!A16</x:f>
        <x:v>299900</x:v>
      </x:c>
      <x:c r="J283" s="23" t="n">
        <x:f>'117_价格概率传导'!D16</x:f>
        <x:v>0.02</x:v>
      </x:c>
      <x:c r="K283" s="23" t="n">
        <x:f>0</x:f>
        <x:v>0</x:v>
      </x:c>
      <x:c r="L283" s="23" t="n">
        <x:f>SUM('117_价格概率传导'!$D$16:$D$16)</x:f>
        <x:v>0.02</x:v>
      </x:c>
      <x:c r="M283" s="23" t="n">
        <x:f>MAX(0,MIN(H283,L283)-MAX(G283,K283))</x:f>
        <x:v>0.02</x:v>
      </x:c>
      <x:c r="N283" s="23" t="n">
        <x:f>B283*D283*M283</x:f>
        <x:v>0.001</x:v>
      </x:c>
      <x:c r="O283" s="460" t="n">
        <x:f>MIN(289900,I283+10000)</x:f>
        <x:v>289900</x:v>
      </x:c>
      <x:c r="P283" s="460" t="n">
        <x:f>O283-30000</x:f>
        <x:v>259900</x:v>
      </x:c>
      <x:c r="Q283" s="460" t="str">
        <x:f>""</x:f>
      </x:c>
      <x:c r="R283" s="460" t="n">
        <x:f>O283-E283</x:f>
        <x:v>30000</x:v>
      </x:c>
      <x:c r="S283" s="460" t="n">
        <x:f>IF(P283&gt;0,P283-E283,"")</x:f>
        <x:v>0</x:v>
      </x:c>
      <x:c r="T283" s="460" t="str">
        <x:f>IF(Q283&gt;0,Q283-E283,"")</x:f>
      </x:c>
      <x:c r="U283" s="23" t="n">
        <x:f>IF(R283&lt;30000,N283,0)</x:f>
        <x:v>0</x:v>
      </x:c>
      <x:c r="V283" s="23" t="n">
        <x:f>IF(P283&gt;0,N283,0)</x:f>
        <x:v>0.001</x:v>
      </x:c>
      <x:c r="W283" s="23" t="n">
        <x:f>IF(AND(P283&gt;0,S283&lt;0),N283,0)</x:f>
        <x:v>0</x:v>
      </x:c>
      <x:c r="X283" s="23" t="n">
        <x:f>IF(AND(P283&gt;0,S283=0),N283,0)</x:f>
        <x:v>0.001</x:v>
      </x:c>
      <x:c r="Y283" s="23" t="n">
        <x:f>IF(Q283&gt;0,N283,0)</x:f>
        <x:v>0</x:v>
      </x:c>
      <x:c r="Z283" s="460" t="n">
        <x:f>IF(P283&gt;0,N283*S283,0)</x:f>
        <x:v>0</x:v>
      </x:c>
      <x:c r="AA283" s="460" t="n">
        <x:f>IF(Q283&gt;0,N283*T283,0)</x:f>
        <x:v>0</x:v>
      </x:c>
      <x:c r="AB283" s="460" t="n">
        <x:f>N283*R283</x:f>
        <x:v>30</x:v>
      </x:c>
      <x:c r="AC283" s="460" t="n">
        <x:f>IF(N283&gt;0,R283,999999)</x:f>
        <x:v>30000</x:v>
      </x:c>
      <x:c r="AD283" s="460" t="n">
        <x:f>IF(AND(N283&gt;0,P283&gt;0),S283,999999)</x:f>
        <x:v>0</x:v>
      </x:c>
      <x:c r="AE283" s="460" t="n">
        <x:f>IF(AND(N283&gt;0,Q283&gt;0),T283,999999)</x:f>
        <x:v>999999</x:v>
      </x:c>
      <x:c r="AF283" s="23" t="n">
        <x:f>B283*D283*F283*J283</x:f>
        <x:v>0.00003</x:v>
      </x:c>
      <x:c r="AG283" s="23" t="n">
        <x:f>IF(P283&gt;0,AF283,0)</x:f>
        <x:v>0.00003</x:v>
      </x:c>
      <x:c r="AH283" s="23" t="n">
        <x:f>IF(AND(P283&gt;0,S283&lt;0),AF283,0)</x:f>
        <x:v>0</x:v>
      </x:c>
      <x:c r="AI283" s="23" t="n">
        <x:f>IF(AND(P283&gt;0,S283=0),AF283,0)</x:f>
        <x:v>0.00003</x:v>
      </x:c>
      <x:c r="AJ283" s="23" t="n">
        <x:f>IF(R283&lt;30000,AF283,0)</x:f>
        <x:v>0</x:v>
      </x:c>
      <x:c r="AK283" s="460" t="n">
        <x:f>IF(P283&gt;0,AF283*S283,0)</x:f>
        <x:v>0</x:v>
      </x:c>
    </x:row>
    <x:row r="284" ht="22" customHeight="1">
      <x:c r="A284" s="643" t="str">
        <x:v>中心</x:v>
      </x:c>
      <x:c r="B284" s="648" t="n">
        <x:f>'114_降本系数'!B27</x:f>
        <x:v>0.5</x:v>
      </x:c>
      <x:c r="C284" s="643" t="str">
        <x:v>L1B</x:v>
      </x:c>
      <x:c r="D284" s="648" t="n">
        <x:f>'130_联合算法'!C18</x:f>
        <x:v>0.1</x:v>
      </x:c>
      <x:c r="E284" s="647" t="n">
        <x:f>'117_价格概率传导'!A6</x:f>
        <x:v>259900</x:v>
      </x:c>
      <x:c r="F284" s="648" t="n">
        <x:f>'117_价格概率传导'!D6</x:f>
        <x:v>0.03</x:v>
      </x:c>
      <x:c r="G284" s="648" t="n">
        <x:f>0</x:f>
        <x:v>0</x:v>
      </x:c>
      <x:c r="H284" s="648" t="n">
        <x:f>SUM('117_价格概率传导'!$D$6:$D$6)</x:f>
        <x:v>0.03</x:v>
      </x:c>
      <x:c r="I284" s="647" t="n">
        <x:f>'117_价格概率传导'!A17</x:f>
        <x:v>293900</x:v>
      </x:c>
      <x:c r="J284" s="648" t="n">
        <x:f>'117_价格概率传导'!D17</x:f>
        <x:v>0.03</x:v>
      </x:c>
      <x:c r="K284" s="648" t="n">
        <x:f>SUM('117_价格概率传导'!$D$16:$D$16)</x:f>
        <x:v>0.02</x:v>
      </x:c>
      <x:c r="L284" s="648" t="n">
        <x:f>SUM('117_价格概率传导'!$D$16:$D$17)</x:f>
        <x:v>0.05</x:v>
      </x:c>
      <x:c r="M284" s="648" t="n">
        <x:f>MAX(0,MIN(H284,L284)-MAX(G284,K284))</x:f>
        <x:v>0.009999999999999998</x:v>
      </x:c>
      <x:c r="N284" s="648" t="n">
        <x:f>B284*D284*M284</x:f>
        <x:v>0.0004999999999999999</x:v>
      </x:c>
      <x:c r="O284" s="647" t="n">
        <x:f>MIN(289900,I284+10000)</x:f>
        <x:v>289900</x:v>
      </x:c>
      <x:c r="P284" s="647" t="n">
        <x:f>O284-30000</x:f>
        <x:v>259900</x:v>
      </x:c>
      <x:c r="Q284" s="647" t="str">
        <x:f>""</x:f>
      </x:c>
      <x:c r="R284" s="647" t="n">
        <x:f>O284-E284</x:f>
        <x:v>30000</x:v>
      </x:c>
      <x:c r="S284" s="647" t="n">
        <x:f>IF(P284&gt;0,P284-E284,"")</x:f>
        <x:v>0</x:v>
      </x:c>
      <x:c r="T284" s="647" t="str">
        <x:f>IF(Q284&gt;0,Q284-E284,"")</x:f>
      </x:c>
      <x:c r="U284" s="648" t="n">
        <x:f>IF(R284&lt;30000,N284,0)</x:f>
        <x:v>0</x:v>
      </x:c>
      <x:c r="V284" s="648" t="n">
        <x:f>IF(P284&gt;0,N284,0)</x:f>
        <x:v>0.0004999999999999999</x:v>
      </x:c>
      <x:c r="W284" s="648" t="n">
        <x:f>IF(AND(P284&gt;0,S284&lt;0),N284,0)</x:f>
        <x:v>0</x:v>
      </x:c>
      <x:c r="X284" s="648" t="n">
        <x:f>IF(AND(P284&gt;0,S284=0),N284,0)</x:f>
        <x:v>0.0004999999999999999</x:v>
      </x:c>
      <x:c r="Y284" s="648" t="n">
        <x:f>IF(Q284&gt;0,N284,0)</x:f>
        <x:v>0</x:v>
      </x:c>
      <x:c r="Z284" s="647" t="n">
        <x:f>IF(P284&gt;0,N284*S284,0)</x:f>
        <x:v>0</x:v>
      </x:c>
      <x:c r="AA284" s="647" t="n">
        <x:f>IF(Q284&gt;0,N284*T284,0)</x:f>
        <x:v>0</x:v>
      </x:c>
      <x:c r="AB284" s="647" t="n">
        <x:f>N284*R284</x:f>
        <x:v>14.999999999999996</x:v>
      </x:c>
      <x:c r="AC284" s="647" t="n">
        <x:f>IF(N284&gt;0,R284,999999)</x:f>
        <x:v>30000</x:v>
      </x:c>
      <x:c r="AD284" s="647" t="n">
        <x:f>IF(AND(N284&gt;0,P284&gt;0),S284,999999)</x:f>
        <x:v>0</x:v>
      </x:c>
      <x:c r="AE284" s="647" t="n">
        <x:f>IF(AND(N284&gt;0,Q284&gt;0),T284,999999)</x:f>
        <x:v>999999</x:v>
      </x:c>
      <x:c r="AF284" s="648" t="n">
        <x:f>B284*D284*F284*J284</x:f>
        <x:v>0.000044999999999999996</x:v>
      </x:c>
      <x:c r="AG284" s="648" t="n">
        <x:f>IF(P284&gt;0,AF284,0)</x:f>
        <x:v>0.000044999999999999996</x:v>
      </x:c>
      <x:c r="AH284" s="648" t="n">
        <x:f>IF(AND(P284&gt;0,S284&lt;0),AF284,0)</x:f>
        <x:v>0</x:v>
      </x:c>
      <x:c r="AI284" s="648" t="n">
        <x:f>IF(AND(P284&gt;0,S284=0),AF284,0)</x:f>
        <x:v>0.000044999999999999996</x:v>
      </x:c>
      <x:c r="AJ284" s="648" t="n">
        <x:f>IF(R284&lt;30000,AF284,0)</x:f>
        <x:v>0</x:v>
      </x:c>
      <x:c r="AK284" s="647" t="n">
        <x:f>IF(P284&gt;0,AF284*S284,0)</x:f>
        <x:v>0</x:v>
      </x:c>
    </x:row>
    <x:row r="285" ht="22" customHeight="1">
      <x:c r="A285" s="19" t="str">
        <x:v>中心</x:v>
      </x:c>
      <x:c r="B285" s="23" t="n">
        <x:f>'114_降本系数'!B27</x:f>
        <x:v>0.5</x:v>
      </x:c>
      <x:c r="C285" s="19" t="str">
        <x:v>L1B</x:v>
      </x:c>
      <x:c r="D285" s="23" t="n">
        <x:f>'130_联合算法'!C18</x:f>
        <x:v>0.1</x:v>
      </x:c>
      <x:c r="E285" s="460" t="n">
        <x:f>'117_价格概率传导'!A6</x:f>
        <x:v>259900</x:v>
      </x:c>
      <x:c r="F285" s="23" t="n">
        <x:f>'117_价格概率传导'!D6</x:f>
        <x:v>0.03</x:v>
      </x:c>
      <x:c r="G285" s="23" t="n">
        <x:f>0</x:f>
        <x:v>0</x:v>
      </x:c>
      <x:c r="H285" s="23" t="n">
        <x:f>SUM('117_价格概率传导'!$D$6:$D$6)</x:f>
        <x:v>0.03</x:v>
      </x:c>
      <x:c r="I285" s="460" t="n">
        <x:f>'117_价格概率传导'!A18</x:f>
        <x:v>289900</x:v>
      </x:c>
      <x:c r="J285" s="23" t="n">
        <x:f>'117_价格概率传导'!D18</x:f>
        <x:v>0.22</x:v>
      </x:c>
      <x:c r="K285" s="23" t="n">
        <x:f>SUM('117_价格概率传导'!$D$16:$D$17)</x:f>
        <x:v>0.05</x:v>
      </x:c>
      <x:c r="L285" s="23" t="n">
        <x:f>SUM('117_价格概率传导'!$D$16:$D$18)</x:f>
        <x:v>0.27</x:v>
      </x:c>
      <x:c r="M285" s="23" t="n">
        <x:f>MAX(0,MIN(H285,L285)-MAX(G285,K285))</x:f>
        <x:v>0</x:v>
      </x:c>
      <x:c r="N285" s="23" t="n">
        <x:f>B285*D285*M285</x:f>
        <x:v>0</x:v>
      </x:c>
      <x:c r="O285" s="460" t="n">
        <x:f>MIN(289900,I285+10000)</x:f>
        <x:v>289900</x:v>
      </x:c>
      <x:c r="P285" s="460" t="n">
        <x:f>O285-30000</x:f>
        <x:v>259900</x:v>
      </x:c>
      <x:c r="Q285" s="460" t="str">
        <x:f>""</x:f>
      </x:c>
      <x:c r="R285" s="460" t="n">
        <x:f>O285-E285</x:f>
        <x:v>30000</x:v>
      </x:c>
      <x:c r="S285" s="460" t="n">
        <x:f>IF(P285&gt;0,P285-E285,"")</x:f>
        <x:v>0</x:v>
      </x:c>
      <x:c r="T285" s="460" t="str">
        <x:f>IF(Q285&gt;0,Q285-E285,"")</x:f>
      </x:c>
      <x:c r="U285" s="23" t="n">
        <x:f>IF(R285&lt;30000,N285,0)</x:f>
        <x:v>0</x:v>
      </x:c>
      <x:c r="V285" s="23" t="n">
        <x:f>IF(P285&gt;0,N285,0)</x:f>
        <x:v>0</x:v>
      </x:c>
      <x:c r="W285" s="23" t="n">
        <x:f>IF(AND(P285&gt;0,S285&lt;0),N285,0)</x:f>
        <x:v>0</x:v>
      </x:c>
      <x:c r="X285" s="23" t="n">
        <x:f>IF(AND(P285&gt;0,S285=0),N285,0)</x:f>
        <x:v>0</x:v>
      </x:c>
      <x:c r="Y285" s="23" t="n">
        <x:f>IF(Q285&gt;0,N285,0)</x:f>
        <x:v>0</x:v>
      </x:c>
      <x:c r="Z285" s="460" t="n">
        <x:f>IF(P285&gt;0,N285*S285,0)</x:f>
        <x:v>0</x:v>
      </x:c>
      <x:c r="AA285" s="460" t="n">
        <x:f>IF(Q285&gt;0,N285*T285,0)</x:f>
        <x:v>0</x:v>
      </x:c>
      <x:c r="AB285" s="460" t="n">
        <x:f>N285*R285</x:f>
        <x:v>0</x:v>
      </x:c>
      <x:c r="AC285" s="460" t="n">
        <x:f>IF(N285&gt;0,R285,999999)</x:f>
        <x:v>999999</x:v>
      </x:c>
      <x:c r="AD285" s="460" t="n">
        <x:f>IF(AND(N285&gt;0,P285&gt;0),S285,999999)</x:f>
        <x:v>999999</x:v>
      </x:c>
      <x:c r="AE285" s="460" t="n">
        <x:f>IF(AND(N285&gt;0,Q285&gt;0),T285,999999)</x:f>
        <x:v>999999</x:v>
      </x:c>
      <x:c r="AF285" s="23" t="n">
        <x:f>B285*D285*F285*J285</x:f>
        <x:v>0.00033</x:v>
      </x:c>
      <x:c r="AG285" s="23" t="n">
        <x:f>IF(P285&gt;0,AF285,0)</x:f>
        <x:v>0.00033</x:v>
      </x:c>
      <x:c r="AH285" s="23" t="n">
        <x:f>IF(AND(P285&gt;0,S285&lt;0),AF285,0)</x:f>
        <x:v>0</x:v>
      </x:c>
      <x:c r="AI285" s="23" t="n">
        <x:f>IF(AND(P285&gt;0,S285=0),AF285,0)</x:f>
        <x:v>0.00033</x:v>
      </x:c>
      <x:c r="AJ285" s="23" t="n">
        <x:f>IF(R285&lt;30000,AF285,0)</x:f>
        <x:v>0</x:v>
      </x:c>
      <x:c r="AK285" s="460" t="n">
        <x:f>IF(P285&gt;0,AF285*S285,0)</x:f>
        <x:v>0</x:v>
      </x:c>
    </x:row>
    <x:row r="286" ht="22" customHeight="1">
      <x:c r="A286" s="643" t="str">
        <x:v>中心</x:v>
      </x:c>
      <x:c r="B286" s="648" t="n">
        <x:f>'114_降本系数'!B27</x:f>
        <x:v>0.5</x:v>
      </x:c>
      <x:c r="C286" s="643" t="str">
        <x:v>L1B</x:v>
      </x:c>
      <x:c r="D286" s="648" t="n">
        <x:f>'130_联合算法'!C18</x:f>
        <x:v>0.1</x:v>
      </x:c>
      <x:c r="E286" s="647" t="n">
        <x:f>'117_价格概率传导'!A6</x:f>
        <x:v>259900</x:v>
      </x:c>
      <x:c r="F286" s="648" t="n">
        <x:f>'117_价格概率传导'!D6</x:f>
        <x:v>0.03</x:v>
      </x:c>
      <x:c r="G286" s="648" t="n">
        <x:f>0</x:f>
        <x:v>0</x:v>
      </x:c>
      <x:c r="H286" s="648" t="n">
        <x:f>SUM('117_价格概率传导'!$D$6:$D$6)</x:f>
        <x:v>0.03</x:v>
      </x:c>
      <x:c r="I286" s="647" t="n">
        <x:f>'117_价格概率传导'!A19</x:f>
        <x:v>279900</x:v>
      </x:c>
      <x:c r="J286" s="648" t="n">
        <x:f>'117_价格概率传导'!D19</x:f>
        <x:v>0.44</x:v>
      </x:c>
      <x:c r="K286" s="648" t="n">
        <x:f>SUM('117_价格概率传导'!$D$16:$D$18)</x:f>
        <x:v>0.27</x:v>
      </x:c>
      <x:c r="L286" s="648" t="n">
        <x:f>SUM('117_价格概率传导'!$D$16:$D$19)</x:f>
        <x:v>0.71</x:v>
      </x:c>
      <x:c r="M286" s="648" t="n">
        <x:f>MAX(0,MIN(H286,L286)-MAX(G286,K286))</x:f>
        <x:v>0</x:v>
      </x:c>
      <x:c r="N286" s="648" t="n">
        <x:f>B286*D286*M286</x:f>
        <x:v>0</x:v>
      </x:c>
      <x:c r="O286" s="647" t="n">
        <x:f>MIN(289900,I286+10000)</x:f>
        <x:v>289900</x:v>
      </x:c>
      <x:c r="P286" s="647" t="n">
        <x:f>O286-30000</x:f>
        <x:v>259900</x:v>
      </x:c>
      <x:c r="Q286" s="647" t="str">
        <x:f>""</x:f>
      </x:c>
      <x:c r="R286" s="647" t="n">
        <x:f>O286-E286</x:f>
        <x:v>30000</x:v>
      </x:c>
      <x:c r="S286" s="647" t="n">
        <x:f>IF(P286&gt;0,P286-E286,"")</x:f>
        <x:v>0</x:v>
      </x:c>
      <x:c r="T286" s="647" t="str">
        <x:f>IF(Q286&gt;0,Q286-E286,"")</x:f>
      </x:c>
      <x:c r="U286" s="648" t="n">
        <x:f>IF(R286&lt;30000,N286,0)</x:f>
        <x:v>0</x:v>
      </x:c>
      <x:c r="V286" s="648" t="n">
        <x:f>IF(P286&gt;0,N286,0)</x:f>
        <x:v>0</x:v>
      </x:c>
      <x:c r="W286" s="648" t="n">
        <x:f>IF(AND(P286&gt;0,S286&lt;0),N286,0)</x:f>
        <x:v>0</x:v>
      </x:c>
      <x:c r="X286" s="648" t="n">
        <x:f>IF(AND(P286&gt;0,S286=0),N286,0)</x:f>
        <x:v>0</x:v>
      </x:c>
      <x:c r="Y286" s="648" t="n">
        <x:f>IF(Q286&gt;0,N286,0)</x:f>
        <x:v>0</x:v>
      </x:c>
      <x:c r="Z286" s="647" t="n">
        <x:f>IF(P286&gt;0,N286*S286,0)</x:f>
        <x:v>0</x:v>
      </x:c>
      <x:c r="AA286" s="647" t="n">
        <x:f>IF(Q286&gt;0,N286*T286,0)</x:f>
        <x:v>0</x:v>
      </x:c>
      <x:c r="AB286" s="647" t="n">
        <x:f>N286*R286</x:f>
        <x:v>0</x:v>
      </x:c>
      <x:c r="AC286" s="647" t="n">
        <x:f>IF(N286&gt;0,R286,999999)</x:f>
        <x:v>999999</x:v>
      </x:c>
      <x:c r="AD286" s="647" t="n">
        <x:f>IF(AND(N286&gt;0,P286&gt;0),S286,999999)</x:f>
        <x:v>999999</x:v>
      </x:c>
      <x:c r="AE286" s="647" t="n">
        <x:f>IF(AND(N286&gt;0,Q286&gt;0),T286,999999)</x:f>
        <x:v>999999</x:v>
      </x:c>
      <x:c r="AF286" s="648" t="n">
        <x:f>B286*D286*F286*J286</x:f>
        <x:v>0.00066</x:v>
      </x:c>
      <x:c r="AG286" s="648" t="n">
        <x:f>IF(P286&gt;0,AF286,0)</x:f>
        <x:v>0.00066</x:v>
      </x:c>
      <x:c r="AH286" s="648" t="n">
        <x:f>IF(AND(P286&gt;0,S286&lt;0),AF286,0)</x:f>
        <x:v>0</x:v>
      </x:c>
      <x:c r="AI286" s="648" t="n">
        <x:f>IF(AND(P286&gt;0,S286=0),AF286,0)</x:f>
        <x:v>0.00066</x:v>
      </x:c>
      <x:c r="AJ286" s="648" t="n">
        <x:f>IF(R286&lt;30000,AF286,0)</x:f>
        <x:v>0</x:v>
      </x:c>
      <x:c r="AK286" s="647" t="n">
        <x:f>IF(P286&gt;0,AF286*S286,0)</x:f>
        <x:v>0</x:v>
      </x:c>
    </x:row>
    <x:row r="287" ht="22" customHeight="1">
      <x:c r="A287" s="19" t="str">
        <x:v>中心</x:v>
      </x:c>
      <x:c r="B287" s="23" t="n">
        <x:f>'114_降本系数'!B27</x:f>
        <x:v>0.5</x:v>
      </x:c>
      <x:c r="C287" s="19" t="str">
        <x:v>L1B</x:v>
      </x:c>
      <x:c r="D287" s="23" t="n">
        <x:f>'130_联合算法'!C18</x:f>
        <x:v>0.1</x:v>
      </x:c>
      <x:c r="E287" s="460" t="n">
        <x:f>'117_价格概率传导'!A6</x:f>
        <x:v>259900</x:v>
      </x:c>
      <x:c r="F287" s="23" t="n">
        <x:f>'117_价格概率传导'!D6</x:f>
        <x:v>0.03</x:v>
      </x:c>
      <x:c r="G287" s="23" t="n">
        <x:f>0</x:f>
        <x:v>0</x:v>
      </x:c>
      <x:c r="H287" s="23" t="n">
        <x:f>SUM('117_价格概率传导'!$D$6:$D$6)</x:f>
        <x:v>0.03</x:v>
      </x:c>
      <x:c r="I287" s="460" t="n">
        <x:f>'117_价格概率传导'!A20</x:f>
        <x:v>269900</x:v>
      </x:c>
      <x:c r="J287" s="23" t="n">
        <x:f>'117_价格概率传导'!D20</x:f>
        <x:v>0.23</x:v>
      </x:c>
      <x:c r="K287" s="23" t="n">
        <x:f>SUM('117_价格概率传导'!$D$16:$D$19)</x:f>
        <x:v>0.71</x:v>
      </x:c>
      <x:c r="L287" s="23" t="n">
        <x:f>SUM('117_价格概率传导'!$D$16:$D$20)</x:f>
        <x:v>0.94</x:v>
      </x:c>
      <x:c r="M287" s="23" t="n">
        <x:f>MAX(0,MIN(H287,L287)-MAX(G287,K287))</x:f>
        <x:v>0</x:v>
      </x:c>
      <x:c r="N287" s="23" t="n">
        <x:f>B287*D287*M287</x:f>
        <x:v>0</x:v>
      </x:c>
      <x:c r="O287" s="460" t="n">
        <x:f>MIN(289900,I287+10000)</x:f>
        <x:v>279900</x:v>
      </x:c>
      <x:c r="P287" s="460" t="n">
        <x:f>O287-30000</x:f>
        <x:v>249900</x:v>
      </x:c>
      <x:c r="Q287" s="460" t="str">
        <x:f>""</x:f>
      </x:c>
      <x:c r="R287" s="460" t="n">
        <x:f>O287-E287</x:f>
        <x:v>20000</x:v>
      </x:c>
      <x:c r="S287" s="460" t="n">
        <x:f>IF(P287&gt;0,P287-E287,"")</x:f>
        <x:v>-10000</x:v>
      </x:c>
      <x:c r="T287" s="460" t="str">
        <x:f>IF(Q287&gt;0,Q287-E287,"")</x:f>
      </x:c>
      <x:c r="U287" s="23" t="n">
        <x:f>IF(R287&lt;30000,N287,0)</x:f>
        <x:v>0</x:v>
      </x:c>
      <x:c r="V287" s="23" t="n">
        <x:f>IF(P287&gt;0,N287,0)</x:f>
        <x:v>0</x:v>
      </x:c>
      <x:c r="W287" s="23" t="n">
        <x:f>IF(AND(P287&gt;0,S287&lt;0),N287,0)</x:f>
        <x:v>0</x:v>
      </x:c>
      <x:c r="X287" s="23" t="n">
        <x:f>IF(AND(P287&gt;0,S287=0),N287,0)</x:f>
        <x:v>0</x:v>
      </x:c>
      <x:c r="Y287" s="23" t="n">
        <x:f>IF(Q287&gt;0,N287,0)</x:f>
        <x:v>0</x:v>
      </x:c>
      <x:c r="Z287" s="460" t="n">
        <x:f>IF(P287&gt;0,N287*S287,0)</x:f>
        <x:v>0</x:v>
      </x:c>
      <x:c r="AA287" s="460" t="n">
        <x:f>IF(Q287&gt;0,N287*T287,0)</x:f>
        <x:v>0</x:v>
      </x:c>
      <x:c r="AB287" s="460" t="n">
        <x:f>N287*R287</x:f>
        <x:v>0</x:v>
      </x:c>
      <x:c r="AC287" s="460" t="n">
        <x:f>IF(N287&gt;0,R287,999999)</x:f>
        <x:v>999999</x:v>
      </x:c>
      <x:c r="AD287" s="460" t="n">
        <x:f>IF(AND(N287&gt;0,P287&gt;0),S287,999999)</x:f>
        <x:v>999999</x:v>
      </x:c>
      <x:c r="AE287" s="460" t="n">
        <x:f>IF(AND(N287&gt;0,Q287&gt;0),T287,999999)</x:f>
        <x:v>999999</x:v>
      </x:c>
      <x:c r="AF287" s="23" t="n">
        <x:f>B287*D287*F287*J287</x:f>
        <x:v>0.00034500000000000004</x:v>
      </x:c>
      <x:c r="AG287" s="23" t="n">
        <x:f>IF(P287&gt;0,AF287,0)</x:f>
        <x:v>0.00034500000000000004</x:v>
      </x:c>
      <x:c r="AH287" s="23" t="n">
        <x:f>IF(AND(P287&gt;0,S287&lt;0),AF287,0)</x:f>
        <x:v>0.00034500000000000004</x:v>
      </x:c>
      <x:c r="AI287" s="23" t="n">
        <x:f>IF(AND(P287&gt;0,S287=0),AF287,0)</x:f>
        <x:v>0</x:v>
      </x:c>
      <x:c r="AJ287" s="23" t="n">
        <x:f>IF(R287&lt;30000,AF287,0)</x:f>
        <x:v>0.00034500000000000004</x:v>
      </x:c>
      <x:c r="AK287" s="460" t="n">
        <x:f>IF(P287&gt;0,AF287*S287,0)</x:f>
        <x:v>-3.45</x:v>
      </x:c>
    </x:row>
    <x:row r="288" ht="22" customHeight="1">
      <x:c r="A288" s="643" t="str">
        <x:v>中心</x:v>
      </x:c>
      <x:c r="B288" s="648" t="n">
        <x:f>'114_降本系数'!B27</x:f>
        <x:v>0.5</x:v>
      </x:c>
      <x:c r="C288" s="643" t="str">
        <x:v>L1B</x:v>
      </x:c>
      <x:c r="D288" s="648" t="n">
        <x:f>'130_联合算法'!C18</x:f>
        <x:v>0.1</x:v>
      </x:c>
      <x:c r="E288" s="647" t="n">
        <x:f>'117_价格概率传导'!A6</x:f>
        <x:v>259900</x:v>
      </x:c>
      <x:c r="F288" s="648" t="n">
        <x:f>'117_价格概率传导'!D6</x:f>
        <x:v>0.03</x:v>
      </x:c>
      <x:c r="G288" s="648" t="n">
        <x:f>0</x:f>
        <x:v>0</x:v>
      </x:c>
      <x:c r="H288" s="648" t="n">
        <x:f>SUM('117_价格概率传导'!$D$6:$D$6)</x:f>
        <x:v>0.03</x:v>
      </x:c>
      <x:c r="I288" s="647" t="n">
        <x:f>'117_价格概率传导'!A21</x:f>
        <x:v>259900</x:v>
      </x:c>
      <x:c r="J288" s="648" t="n">
        <x:f>'117_价格概率传导'!D21</x:f>
        <x:v>0.06</x:v>
      </x:c>
      <x:c r="K288" s="648" t="n">
        <x:f>SUM('117_价格概率传导'!$D$16:$D$20)</x:f>
        <x:v>0.94</x:v>
      </x:c>
      <x:c r="L288" s="648" t="n">
        <x:f>SUM('117_价格概率传导'!$D$16:$D$21)</x:f>
        <x:v>1</x:v>
      </x:c>
      <x:c r="M288" s="648" t="n">
        <x:f>MAX(0,MIN(H288,L288)-MAX(G288,K288))</x:f>
        <x:v>0</x:v>
      </x:c>
      <x:c r="N288" s="648" t="n">
        <x:f>B288*D288*M288</x:f>
        <x:v>0</x:v>
      </x:c>
      <x:c r="O288" s="647" t="n">
        <x:f>MIN(289900,I288+10000)</x:f>
        <x:v>269900</x:v>
      </x:c>
      <x:c r="P288" s="647" t="n">
        <x:f>O288-30000</x:f>
        <x:v>239900</x:v>
      </x:c>
      <x:c r="Q288" s="647" t="str">
        <x:f>""</x:f>
      </x:c>
      <x:c r="R288" s="647" t="n">
        <x:f>O288-E288</x:f>
        <x:v>10000</x:v>
      </x:c>
      <x:c r="S288" s="647" t="n">
        <x:f>IF(P288&gt;0,P288-E288,"")</x:f>
        <x:v>-20000</x:v>
      </x:c>
      <x:c r="T288" s="647" t="str">
        <x:f>IF(Q288&gt;0,Q288-E288,"")</x:f>
      </x:c>
      <x:c r="U288" s="648" t="n">
        <x:f>IF(R288&lt;30000,N288,0)</x:f>
        <x:v>0</x:v>
      </x:c>
      <x:c r="V288" s="648" t="n">
        <x:f>IF(P288&gt;0,N288,0)</x:f>
        <x:v>0</x:v>
      </x:c>
      <x:c r="W288" s="648" t="n">
        <x:f>IF(AND(P288&gt;0,S288&lt;0),N288,0)</x:f>
        <x:v>0</x:v>
      </x:c>
      <x:c r="X288" s="648" t="n">
        <x:f>IF(AND(P288&gt;0,S288=0),N288,0)</x:f>
        <x:v>0</x:v>
      </x:c>
      <x:c r="Y288" s="648" t="n">
        <x:f>IF(Q288&gt;0,N288,0)</x:f>
        <x:v>0</x:v>
      </x:c>
      <x:c r="Z288" s="647" t="n">
        <x:f>IF(P288&gt;0,N288*S288,0)</x:f>
        <x:v>0</x:v>
      </x:c>
      <x:c r="AA288" s="647" t="n">
        <x:f>IF(Q288&gt;0,N288*T288,0)</x:f>
        <x:v>0</x:v>
      </x:c>
      <x:c r="AB288" s="647" t="n">
        <x:f>N288*R288</x:f>
        <x:v>0</x:v>
      </x:c>
      <x:c r="AC288" s="647" t="n">
        <x:f>IF(N288&gt;0,R288,999999)</x:f>
        <x:v>999999</x:v>
      </x:c>
      <x:c r="AD288" s="647" t="n">
        <x:f>IF(AND(N288&gt;0,P288&gt;0),S288,999999)</x:f>
        <x:v>999999</x:v>
      </x:c>
      <x:c r="AE288" s="647" t="n">
        <x:f>IF(AND(N288&gt;0,Q288&gt;0),T288,999999)</x:f>
        <x:v>999999</x:v>
      </x:c>
      <x:c r="AF288" s="648" t="n">
        <x:f>B288*D288*F288*J288</x:f>
        <x:v>0.00008999999999999999</x:v>
      </x:c>
      <x:c r="AG288" s="648" t="n">
        <x:f>IF(P288&gt;0,AF288,0)</x:f>
        <x:v>0.00008999999999999999</x:v>
      </x:c>
      <x:c r="AH288" s="648" t="n">
        <x:f>IF(AND(P288&gt;0,S288&lt;0),AF288,0)</x:f>
        <x:v>0.00008999999999999999</x:v>
      </x:c>
      <x:c r="AI288" s="648" t="n">
        <x:f>IF(AND(P288&gt;0,S288=0),AF288,0)</x:f>
        <x:v>0</x:v>
      </x:c>
      <x:c r="AJ288" s="648" t="n">
        <x:f>IF(R288&lt;30000,AF288,0)</x:f>
        <x:v>0.00008999999999999999</x:v>
      </x:c>
      <x:c r="AK288" s="647" t="n">
        <x:f>IF(P288&gt;0,AF288*S288,0)</x:f>
        <x:v>-1.7999999999999998</x:v>
      </x:c>
    </x:row>
    <x:row r="289" ht="22" customHeight="1">
      <x:c r="A289" s="19" t="str">
        <x:v>中心</x:v>
      </x:c>
      <x:c r="B289" s="23" t="n">
        <x:f>'114_降本系数'!B27</x:f>
        <x:v>0.5</x:v>
      </x:c>
      <x:c r="C289" s="19" t="str">
        <x:v>L1B</x:v>
      </x:c>
      <x:c r="D289" s="23" t="n">
        <x:f>'130_联合算法'!C18</x:f>
        <x:v>0.1</x:v>
      </x:c>
      <x:c r="E289" s="460" t="n">
        <x:f>'117_价格概率传导'!A7</x:f>
        <x:v>253900</x:v>
      </x:c>
      <x:c r="F289" s="23" t="n">
        <x:f>'117_价格概率传导'!D7</x:f>
        <x:v>0.05</x:v>
      </x:c>
      <x:c r="G289" s="23" t="n">
        <x:f>SUM('117_价格概率传导'!$D$6:$D$6)</x:f>
        <x:v>0.03</x:v>
      </x:c>
      <x:c r="H289" s="23" t="n">
        <x:f>SUM('117_价格概率传导'!$D$6:$D$7)</x:f>
        <x:v>0.08</x:v>
      </x:c>
      <x:c r="I289" s="460" t="n">
        <x:f>'117_价格概率传导'!A16</x:f>
        <x:v>299900</x:v>
      </x:c>
      <x:c r="J289" s="23" t="n">
        <x:f>'117_价格概率传导'!D16</x:f>
        <x:v>0.02</x:v>
      </x:c>
      <x:c r="K289" s="23" t="n">
        <x:f>0</x:f>
        <x:v>0</x:v>
      </x:c>
      <x:c r="L289" s="23" t="n">
        <x:f>SUM('117_价格概率传导'!$D$16:$D$16)</x:f>
        <x:v>0.02</x:v>
      </x:c>
      <x:c r="M289" s="23" t="n">
        <x:f>MAX(0,MIN(H289,L289)-MAX(G289,K289))</x:f>
        <x:v>0</x:v>
      </x:c>
      <x:c r="N289" s="23" t="n">
        <x:f>B289*D289*M289</x:f>
        <x:v>0</x:v>
      </x:c>
      <x:c r="O289" s="460" t="n">
        <x:f>MIN(289900,I289+10000)</x:f>
        <x:v>289900</x:v>
      </x:c>
      <x:c r="P289" s="460" t="n">
        <x:f>O289-30000</x:f>
        <x:v>259900</x:v>
      </x:c>
      <x:c r="Q289" s="460" t="str">
        <x:f>""</x:f>
      </x:c>
      <x:c r="R289" s="460" t="n">
        <x:f>O289-E289</x:f>
        <x:v>36000</x:v>
      </x:c>
      <x:c r="S289" s="460" t="n">
        <x:f>IF(P289&gt;0,P289-E289,"")</x:f>
        <x:v>6000</x:v>
      </x:c>
      <x:c r="T289" s="460" t="str">
        <x:f>IF(Q289&gt;0,Q289-E289,"")</x:f>
      </x:c>
      <x:c r="U289" s="23" t="n">
        <x:f>IF(R289&lt;30000,N289,0)</x:f>
        <x:v>0</x:v>
      </x:c>
      <x:c r="V289" s="23" t="n">
        <x:f>IF(P289&gt;0,N289,0)</x:f>
        <x:v>0</x:v>
      </x:c>
      <x:c r="W289" s="23" t="n">
        <x:f>IF(AND(P289&gt;0,S289&lt;0),N289,0)</x:f>
        <x:v>0</x:v>
      </x:c>
      <x:c r="X289" s="23" t="n">
        <x:f>IF(AND(P289&gt;0,S289=0),N289,0)</x:f>
        <x:v>0</x:v>
      </x:c>
      <x:c r="Y289" s="23" t="n">
        <x:f>IF(Q289&gt;0,N289,0)</x:f>
        <x:v>0</x:v>
      </x:c>
      <x:c r="Z289" s="460" t="n">
        <x:f>IF(P289&gt;0,N289*S289,0)</x:f>
        <x:v>0</x:v>
      </x:c>
      <x:c r="AA289" s="460" t="n">
        <x:f>IF(Q289&gt;0,N289*T289,0)</x:f>
        <x:v>0</x:v>
      </x:c>
      <x:c r="AB289" s="460" t="n">
        <x:f>N289*R289</x:f>
        <x:v>0</x:v>
      </x:c>
      <x:c r="AC289" s="460" t="n">
        <x:f>IF(N289&gt;0,R289,999999)</x:f>
        <x:v>999999</x:v>
      </x:c>
      <x:c r="AD289" s="460" t="n">
        <x:f>IF(AND(N289&gt;0,P289&gt;0),S289,999999)</x:f>
        <x:v>999999</x:v>
      </x:c>
      <x:c r="AE289" s="460" t="n">
        <x:f>IF(AND(N289&gt;0,Q289&gt;0),T289,999999)</x:f>
        <x:v>999999</x:v>
      </x:c>
      <x:c r="AF289" s="23" t="n">
        <x:f>B289*D289*F289*J289</x:f>
        <x:v>0.00005000000000000001</x:v>
      </x:c>
      <x:c r="AG289" s="23" t="n">
        <x:f>IF(P289&gt;0,AF289,0)</x:f>
        <x:v>0.00005000000000000001</x:v>
      </x:c>
      <x:c r="AH289" s="23" t="n">
        <x:f>IF(AND(P289&gt;0,S289&lt;0),AF289,0)</x:f>
        <x:v>0</x:v>
      </x:c>
      <x:c r="AI289" s="23" t="n">
        <x:f>IF(AND(P289&gt;0,S289=0),AF289,0)</x:f>
        <x:v>0</x:v>
      </x:c>
      <x:c r="AJ289" s="23" t="n">
        <x:f>IF(R289&lt;30000,AF289,0)</x:f>
        <x:v>0</x:v>
      </x:c>
      <x:c r="AK289" s="460" t="n">
        <x:f>IF(P289&gt;0,AF289*S289,0)</x:f>
        <x:v>0.30000000000000004</x:v>
      </x:c>
    </x:row>
    <x:row r="290" ht="22" customHeight="1">
      <x:c r="A290" s="643" t="str">
        <x:v>中心</x:v>
      </x:c>
      <x:c r="B290" s="648" t="n">
        <x:f>'114_降本系数'!B27</x:f>
        <x:v>0.5</x:v>
      </x:c>
      <x:c r="C290" s="643" t="str">
        <x:v>L1B</x:v>
      </x:c>
      <x:c r="D290" s="648" t="n">
        <x:f>'130_联合算法'!C18</x:f>
        <x:v>0.1</x:v>
      </x:c>
      <x:c r="E290" s="647" t="n">
        <x:f>'117_价格概率传导'!A7</x:f>
        <x:v>253900</x:v>
      </x:c>
      <x:c r="F290" s="648" t="n">
        <x:f>'117_价格概率传导'!D7</x:f>
        <x:v>0.05</x:v>
      </x:c>
      <x:c r="G290" s="648" t="n">
        <x:f>SUM('117_价格概率传导'!$D$6:$D$6)</x:f>
        <x:v>0.03</x:v>
      </x:c>
      <x:c r="H290" s="648" t="n">
        <x:f>SUM('117_价格概率传导'!$D$6:$D$7)</x:f>
        <x:v>0.08</x:v>
      </x:c>
      <x:c r="I290" s="647" t="n">
        <x:f>'117_价格概率传导'!A17</x:f>
        <x:v>293900</x:v>
      </x:c>
      <x:c r="J290" s="648" t="n">
        <x:f>'117_价格概率传导'!D17</x:f>
        <x:v>0.03</x:v>
      </x:c>
      <x:c r="K290" s="648" t="n">
        <x:f>SUM('117_价格概率传导'!$D$16:$D$16)</x:f>
        <x:v>0.02</x:v>
      </x:c>
      <x:c r="L290" s="648" t="n">
        <x:f>SUM('117_价格概率传导'!$D$16:$D$17)</x:f>
        <x:v>0.05</x:v>
      </x:c>
      <x:c r="M290" s="648" t="n">
        <x:f>MAX(0,MIN(H290,L290)-MAX(G290,K290))</x:f>
        <x:v>0.020000000000000004</x:v>
      </x:c>
      <x:c r="N290" s="648" t="n">
        <x:f>B290*D290*M290</x:f>
        <x:v>0.0010000000000000002</x:v>
      </x:c>
      <x:c r="O290" s="647" t="n">
        <x:f>MIN(289900,I290+10000)</x:f>
        <x:v>289900</x:v>
      </x:c>
      <x:c r="P290" s="647" t="n">
        <x:f>O290-30000</x:f>
        <x:v>259900</x:v>
      </x:c>
      <x:c r="Q290" s="647" t="str">
        <x:f>""</x:f>
      </x:c>
      <x:c r="R290" s="647" t="n">
        <x:f>O290-E290</x:f>
        <x:v>36000</x:v>
      </x:c>
      <x:c r="S290" s="647" t="n">
        <x:f>IF(P290&gt;0,P290-E290,"")</x:f>
        <x:v>6000</x:v>
      </x:c>
      <x:c r="T290" s="647" t="str">
        <x:f>IF(Q290&gt;0,Q290-E290,"")</x:f>
      </x:c>
      <x:c r="U290" s="648" t="n">
        <x:f>IF(R290&lt;30000,N290,0)</x:f>
        <x:v>0</x:v>
      </x:c>
      <x:c r="V290" s="648" t="n">
        <x:f>IF(P290&gt;0,N290,0)</x:f>
        <x:v>0.0010000000000000002</x:v>
      </x:c>
      <x:c r="W290" s="648" t="n">
        <x:f>IF(AND(P290&gt;0,S290&lt;0),N290,0)</x:f>
        <x:v>0</x:v>
      </x:c>
      <x:c r="X290" s="648" t="n">
        <x:f>IF(AND(P290&gt;0,S290=0),N290,0)</x:f>
        <x:v>0</x:v>
      </x:c>
      <x:c r="Y290" s="648" t="n">
        <x:f>IF(Q290&gt;0,N290,0)</x:f>
        <x:v>0</x:v>
      </x:c>
      <x:c r="Z290" s="647" t="n">
        <x:f>IF(P290&gt;0,N290*S290,0)</x:f>
        <x:v>6.000000000000002</x:v>
      </x:c>
      <x:c r="AA290" s="647" t="n">
        <x:f>IF(Q290&gt;0,N290*T290,0)</x:f>
        <x:v>0</x:v>
      </x:c>
      <x:c r="AB290" s="647" t="n">
        <x:f>N290*R290</x:f>
        <x:v>36.00000000000001</x:v>
      </x:c>
      <x:c r="AC290" s="647" t="n">
        <x:f>IF(N290&gt;0,R290,999999)</x:f>
        <x:v>36000</x:v>
      </x:c>
      <x:c r="AD290" s="647" t="n">
        <x:f>IF(AND(N290&gt;0,P290&gt;0),S290,999999)</x:f>
        <x:v>6000</x:v>
      </x:c>
      <x:c r="AE290" s="647" t="n">
        <x:f>IF(AND(N290&gt;0,Q290&gt;0),T290,999999)</x:f>
        <x:v>999999</x:v>
      </x:c>
      <x:c r="AF290" s="648" t="n">
        <x:f>B290*D290*F290*J290</x:f>
        <x:v>0.00007500000000000001</x:v>
      </x:c>
      <x:c r="AG290" s="648" t="n">
        <x:f>IF(P290&gt;0,AF290,0)</x:f>
        <x:v>0.00007500000000000001</x:v>
      </x:c>
      <x:c r="AH290" s="648" t="n">
        <x:f>IF(AND(P290&gt;0,S290&lt;0),AF290,0)</x:f>
        <x:v>0</x:v>
      </x:c>
      <x:c r="AI290" s="648" t="n">
        <x:f>IF(AND(P290&gt;0,S290=0),AF290,0)</x:f>
        <x:v>0</x:v>
      </x:c>
      <x:c r="AJ290" s="648" t="n">
        <x:f>IF(R290&lt;30000,AF290,0)</x:f>
        <x:v>0</x:v>
      </x:c>
      <x:c r="AK290" s="647" t="n">
        <x:f>IF(P290&gt;0,AF290*S290,0)</x:f>
        <x:v>0.45000000000000007</x:v>
      </x:c>
    </x:row>
    <x:row r="291" ht="22" customHeight="1">
      <x:c r="A291" s="19" t="str">
        <x:v>中心</x:v>
      </x:c>
      <x:c r="B291" s="23" t="n">
        <x:f>'114_降本系数'!B27</x:f>
        <x:v>0.5</x:v>
      </x:c>
      <x:c r="C291" s="19" t="str">
        <x:v>L1B</x:v>
      </x:c>
      <x:c r="D291" s="23" t="n">
        <x:f>'130_联合算法'!C18</x:f>
        <x:v>0.1</x:v>
      </x:c>
      <x:c r="E291" s="460" t="n">
        <x:f>'117_价格概率传导'!A7</x:f>
        <x:v>253900</x:v>
      </x:c>
      <x:c r="F291" s="23" t="n">
        <x:f>'117_价格概率传导'!D7</x:f>
        <x:v>0.05</x:v>
      </x:c>
      <x:c r="G291" s="23" t="n">
        <x:f>SUM('117_价格概率传导'!$D$6:$D$6)</x:f>
        <x:v>0.03</x:v>
      </x:c>
      <x:c r="H291" s="23" t="n">
        <x:f>SUM('117_价格概率传导'!$D$6:$D$7)</x:f>
        <x:v>0.08</x:v>
      </x:c>
      <x:c r="I291" s="460" t="n">
        <x:f>'117_价格概率传导'!A18</x:f>
        <x:v>289900</x:v>
      </x:c>
      <x:c r="J291" s="23" t="n">
        <x:f>'117_价格概率传导'!D18</x:f>
        <x:v>0.22</x:v>
      </x:c>
      <x:c r="K291" s="23" t="n">
        <x:f>SUM('117_价格概率传导'!$D$16:$D$17)</x:f>
        <x:v>0.05</x:v>
      </x:c>
      <x:c r="L291" s="23" t="n">
        <x:f>SUM('117_价格概率传导'!$D$16:$D$18)</x:f>
        <x:v>0.27</x:v>
      </x:c>
      <x:c r="M291" s="23" t="n">
        <x:f>MAX(0,MIN(H291,L291)-MAX(G291,K291))</x:f>
        <x:v>0.03</x:v>
      </x:c>
      <x:c r="N291" s="23" t="n">
        <x:f>B291*D291*M291</x:f>
        <x:v>0.0015</x:v>
      </x:c>
      <x:c r="O291" s="460" t="n">
        <x:f>MIN(289900,I291+10000)</x:f>
        <x:v>289900</x:v>
      </x:c>
      <x:c r="P291" s="460" t="n">
        <x:f>O291-30000</x:f>
        <x:v>259900</x:v>
      </x:c>
      <x:c r="Q291" s="460" t="str">
        <x:f>""</x:f>
      </x:c>
      <x:c r="R291" s="460" t="n">
        <x:f>O291-E291</x:f>
        <x:v>36000</x:v>
      </x:c>
      <x:c r="S291" s="460" t="n">
        <x:f>IF(P291&gt;0,P291-E291,"")</x:f>
        <x:v>6000</x:v>
      </x:c>
      <x:c r="T291" s="460" t="str">
        <x:f>IF(Q291&gt;0,Q291-E291,"")</x:f>
      </x:c>
      <x:c r="U291" s="23" t="n">
        <x:f>IF(R291&lt;30000,N291,0)</x:f>
        <x:v>0</x:v>
      </x:c>
      <x:c r="V291" s="23" t="n">
        <x:f>IF(P291&gt;0,N291,0)</x:f>
        <x:v>0.0015</x:v>
      </x:c>
      <x:c r="W291" s="23" t="n">
        <x:f>IF(AND(P291&gt;0,S291&lt;0),N291,0)</x:f>
        <x:v>0</x:v>
      </x:c>
      <x:c r="X291" s="23" t="n">
        <x:f>IF(AND(P291&gt;0,S291=0),N291,0)</x:f>
        <x:v>0</x:v>
      </x:c>
      <x:c r="Y291" s="23" t="n">
        <x:f>IF(Q291&gt;0,N291,0)</x:f>
        <x:v>0</x:v>
      </x:c>
      <x:c r="Z291" s="460" t="n">
        <x:f>IF(P291&gt;0,N291*S291,0)</x:f>
        <x:v>9</x:v>
      </x:c>
      <x:c r="AA291" s="460" t="n">
        <x:f>IF(Q291&gt;0,N291*T291,0)</x:f>
        <x:v>0</x:v>
      </x:c>
      <x:c r="AB291" s="460" t="n">
        <x:f>N291*R291</x:f>
        <x:v>54</x:v>
      </x:c>
      <x:c r="AC291" s="460" t="n">
        <x:f>IF(N291&gt;0,R291,999999)</x:f>
        <x:v>36000</x:v>
      </x:c>
      <x:c r="AD291" s="460" t="n">
        <x:f>IF(AND(N291&gt;0,P291&gt;0),S291,999999)</x:f>
        <x:v>6000</x:v>
      </x:c>
      <x:c r="AE291" s="460" t="n">
        <x:f>IF(AND(N291&gt;0,Q291&gt;0),T291,999999)</x:f>
        <x:v>999999</x:v>
      </x:c>
      <x:c r="AF291" s="23" t="n">
        <x:f>B291*D291*F291*J291</x:f>
        <x:v>0.0005500000000000001</x:v>
      </x:c>
      <x:c r="AG291" s="23" t="n">
        <x:f>IF(P291&gt;0,AF291,0)</x:f>
        <x:v>0.0005500000000000001</x:v>
      </x:c>
      <x:c r="AH291" s="23" t="n">
        <x:f>IF(AND(P291&gt;0,S291&lt;0),AF291,0)</x:f>
        <x:v>0</x:v>
      </x:c>
      <x:c r="AI291" s="23" t="n">
        <x:f>IF(AND(P291&gt;0,S291=0),AF291,0)</x:f>
        <x:v>0</x:v>
      </x:c>
      <x:c r="AJ291" s="23" t="n">
        <x:f>IF(R291&lt;30000,AF291,0)</x:f>
        <x:v>0</x:v>
      </x:c>
      <x:c r="AK291" s="460" t="n">
        <x:f>IF(P291&gt;0,AF291*S291,0)</x:f>
        <x:v>3.3000000000000007</x:v>
      </x:c>
    </x:row>
    <x:row r="292" ht="22" customHeight="1">
      <x:c r="A292" s="643" t="str">
        <x:v>中心</x:v>
      </x:c>
      <x:c r="B292" s="648" t="n">
        <x:f>'114_降本系数'!B27</x:f>
        <x:v>0.5</x:v>
      </x:c>
      <x:c r="C292" s="643" t="str">
        <x:v>L1B</x:v>
      </x:c>
      <x:c r="D292" s="648" t="n">
        <x:f>'130_联合算法'!C18</x:f>
        <x:v>0.1</x:v>
      </x:c>
      <x:c r="E292" s="647" t="n">
        <x:f>'117_价格概率传导'!A7</x:f>
        <x:v>253900</x:v>
      </x:c>
      <x:c r="F292" s="648" t="n">
        <x:f>'117_价格概率传导'!D7</x:f>
        <x:v>0.05</x:v>
      </x:c>
      <x:c r="G292" s="648" t="n">
        <x:f>SUM('117_价格概率传导'!$D$6:$D$6)</x:f>
        <x:v>0.03</x:v>
      </x:c>
      <x:c r="H292" s="648" t="n">
        <x:f>SUM('117_价格概率传导'!$D$6:$D$7)</x:f>
        <x:v>0.08</x:v>
      </x:c>
      <x:c r="I292" s="647" t="n">
        <x:f>'117_价格概率传导'!A19</x:f>
        <x:v>279900</x:v>
      </x:c>
      <x:c r="J292" s="648" t="n">
        <x:f>'117_价格概率传导'!D19</x:f>
        <x:v>0.44</x:v>
      </x:c>
      <x:c r="K292" s="648" t="n">
        <x:f>SUM('117_价格概率传导'!$D$16:$D$18)</x:f>
        <x:v>0.27</x:v>
      </x:c>
      <x:c r="L292" s="648" t="n">
        <x:f>SUM('117_价格概率传导'!$D$16:$D$19)</x:f>
        <x:v>0.71</x:v>
      </x:c>
      <x:c r="M292" s="648" t="n">
        <x:f>MAX(0,MIN(H292,L292)-MAX(G292,K292))</x:f>
        <x:v>0</x:v>
      </x:c>
      <x:c r="N292" s="648" t="n">
        <x:f>B292*D292*M292</x:f>
        <x:v>0</x:v>
      </x:c>
      <x:c r="O292" s="647" t="n">
        <x:f>MIN(289900,I292+10000)</x:f>
        <x:v>289900</x:v>
      </x:c>
      <x:c r="P292" s="647" t="n">
        <x:f>O292-30000</x:f>
        <x:v>259900</x:v>
      </x:c>
      <x:c r="Q292" s="647" t="str">
        <x:f>""</x:f>
      </x:c>
      <x:c r="R292" s="647" t="n">
        <x:f>O292-E292</x:f>
        <x:v>36000</x:v>
      </x:c>
      <x:c r="S292" s="647" t="n">
        <x:f>IF(P292&gt;0,P292-E292,"")</x:f>
        <x:v>6000</x:v>
      </x:c>
      <x:c r="T292" s="647" t="str">
        <x:f>IF(Q292&gt;0,Q292-E292,"")</x:f>
      </x:c>
      <x:c r="U292" s="648" t="n">
        <x:f>IF(R292&lt;30000,N292,0)</x:f>
        <x:v>0</x:v>
      </x:c>
      <x:c r="V292" s="648" t="n">
        <x:f>IF(P292&gt;0,N292,0)</x:f>
        <x:v>0</x:v>
      </x:c>
      <x:c r="W292" s="648" t="n">
        <x:f>IF(AND(P292&gt;0,S292&lt;0),N292,0)</x:f>
        <x:v>0</x:v>
      </x:c>
      <x:c r="X292" s="648" t="n">
        <x:f>IF(AND(P292&gt;0,S292=0),N292,0)</x:f>
        <x:v>0</x:v>
      </x:c>
      <x:c r="Y292" s="648" t="n">
        <x:f>IF(Q292&gt;0,N292,0)</x:f>
        <x:v>0</x:v>
      </x:c>
      <x:c r="Z292" s="647" t="n">
        <x:f>IF(P292&gt;0,N292*S292,0)</x:f>
        <x:v>0</x:v>
      </x:c>
      <x:c r="AA292" s="647" t="n">
        <x:f>IF(Q292&gt;0,N292*T292,0)</x:f>
        <x:v>0</x:v>
      </x:c>
      <x:c r="AB292" s="647" t="n">
        <x:f>N292*R292</x:f>
        <x:v>0</x:v>
      </x:c>
      <x:c r="AC292" s="647" t="n">
        <x:f>IF(N292&gt;0,R292,999999)</x:f>
        <x:v>999999</x:v>
      </x:c>
      <x:c r="AD292" s="647" t="n">
        <x:f>IF(AND(N292&gt;0,P292&gt;0),S292,999999)</x:f>
        <x:v>999999</x:v>
      </x:c>
      <x:c r="AE292" s="647" t="n">
        <x:f>IF(AND(N292&gt;0,Q292&gt;0),T292,999999)</x:f>
        <x:v>999999</x:v>
      </x:c>
      <x:c r="AF292" s="648" t="n">
        <x:f>B292*D292*F292*J292</x:f>
        <x:v>0.0011000000000000003</x:v>
      </x:c>
      <x:c r="AG292" s="648" t="n">
        <x:f>IF(P292&gt;0,AF292,0)</x:f>
        <x:v>0.0011000000000000003</x:v>
      </x:c>
      <x:c r="AH292" s="648" t="n">
        <x:f>IF(AND(P292&gt;0,S292&lt;0),AF292,0)</x:f>
        <x:v>0</x:v>
      </x:c>
      <x:c r="AI292" s="648" t="n">
        <x:f>IF(AND(P292&gt;0,S292=0),AF292,0)</x:f>
        <x:v>0</x:v>
      </x:c>
      <x:c r="AJ292" s="648" t="n">
        <x:f>IF(R292&lt;30000,AF292,0)</x:f>
        <x:v>0</x:v>
      </x:c>
      <x:c r="AK292" s="647" t="n">
        <x:f>IF(P292&gt;0,AF292*S292,0)</x:f>
        <x:v>6.600000000000001</x:v>
      </x:c>
    </x:row>
    <x:row r="293" ht="22" customHeight="1">
      <x:c r="A293" s="19" t="str">
        <x:v>中心</x:v>
      </x:c>
      <x:c r="B293" s="23" t="n">
        <x:f>'114_降本系数'!B27</x:f>
        <x:v>0.5</x:v>
      </x:c>
      <x:c r="C293" s="19" t="str">
        <x:v>L1B</x:v>
      </x:c>
      <x:c r="D293" s="23" t="n">
        <x:f>'130_联合算法'!C18</x:f>
        <x:v>0.1</x:v>
      </x:c>
      <x:c r="E293" s="460" t="n">
        <x:f>'117_价格概率传导'!A7</x:f>
        <x:v>253900</x:v>
      </x:c>
      <x:c r="F293" s="23" t="n">
        <x:f>'117_价格概率传导'!D7</x:f>
        <x:v>0.05</x:v>
      </x:c>
      <x:c r="G293" s="23" t="n">
        <x:f>SUM('117_价格概率传导'!$D$6:$D$6)</x:f>
        <x:v>0.03</x:v>
      </x:c>
      <x:c r="H293" s="23" t="n">
        <x:f>SUM('117_价格概率传导'!$D$6:$D$7)</x:f>
        <x:v>0.08</x:v>
      </x:c>
      <x:c r="I293" s="460" t="n">
        <x:f>'117_价格概率传导'!A20</x:f>
        <x:v>269900</x:v>
      </x:c>
      <x:c r="J293" s="23" t="n">
        <x:f>'117_价格概率传导'!D20</x:f>
        <x:v>0.23</x:v>
      </x:c>
      <x:c r="K293" s="23" t="n">
        <x:f>SUM('117_价格概率传导'!$D$16:$D$19)</x:f>
        <x:v>0.71</x:v>
      </x:c>
      <x:c r="L293" s="23" t="n">
        <x:f>SUM('117_价格概率传导'!$D$16:$D$20)</x:f>
        <x:v>0.94</x:v>
      </x:c>
      <x:c r="M293" s="23" t="n">
        <x:f>MAX(0,MIN(H293,L293)-MAX(G293,K293))</x:f>
        <x:v>0</x:v>
      </x:c>
      <x:c r="N293" s="23" t="n">
        <x:f>B293*D293*M293</x:f>
        <x:v>0</x:v>
      </x:c>
      <x:c r="O293" s="460" t="n">
        <x:f>MIN(289900,I293+10000)</x:f>
        <x:v>279900</x:v>
      </x:c>
      <x:c r="P293" s="460" t="n">
        <x:f>O293-30000</x:f>
        <x:v>249900</x:v>
      </x:c>
      <x:c r="Q293" s="460" t="str">
        <x:f>""</x:f>
      </x:c>
      <x:c r="R293" s="460" t="n">
        <x:f>O293-E293</x:f>
        <x:v>26000</x:v>
      </x:c>
      <x:c r="S293" s="460" t="n">
        <x:f>IF(P293&gt;0,P293-E293,"")</x:f>
        <x:v>-4000</x:v>
      </x:c>
      <x:c r="T293" s="460" t="str">
        <x:f>IF(Q293&gt;0,Q293-E293,"")</x:f>
      </x:c>
      <x:c r="U293" s="23" t="n">
        <x:f>IF(R293&lt;30000,N293,0)</x:f>
        <x:v>0</x:v>
      </x:c>
      <x:c r="V293" s="23" t="n">
        <x:f>IF(P293&gt;0,N293,0)</x:f>
        <x:v>0</x:v>
      </x:c>
      <x:c r="W293" s="23" t="n">
        <x:f>IF(AND(P293&gt;0,S293&lt;0),N293,0)</x:f>
        <x:v>0</x:v>
      </x:c>
      <x:c r="X293" s="23" t="n">
        <x:f>IF(AND(P293&gt;0,S293=0),N293,0)</x:f>
        <x:v>0</x:v>
      </x:c>
      <x:c r="Y293" s="23" t="n">
        <x:f>IF(Q293&gt;0,N293,0)</x:f>
        <x:v>0</x:v>
      </x:c>
      <x:c r="Z293" s="460" t="n">
        <x:f>IF(P293&gt;0,N293*S293,0)</x:f>
        <x:v>0</x:v>
      </x:c>
      <x:c r="AA293" s="460" t="n">
        <x:f>IF(Q293&gt;0,N293*T293,0)</x:f>
        <x:v>0</x:v>
      </x:c>
      <x:c r="AB293" s="460" t="n">
        <x:f>N293*R293</x:f>
        <x:v>0</x:v>
      </x:c>
      <x:c r="AC293" s="460" t="n">
        <x:f>IF(N293&gt;0,R293,999999)</x:f>
        <x:v>999999</x:v>
      </x:c>
      <x:c r="AD293" s="460" t="n">
        <x:f>IF(AND(N293&gt;0,P293&gt;0),S293,999999)</x:f>
        <x:v>999999</x:v>
      </x:c>
      <x:c r="AE293" s="460" t="n">
        <x:f>IF(AND(N293&gt;0,Q293&gt;0),T293,999999)</x:f>
        <x:v>999999</x:v>
      </x:c>
      <x:c r="AF293" s="23" t="n">
        <x:f>B293*D293*F293*J293</x:f>
        <x:v>0.0005750000000000001</x:v>
      </x:c>
      <x:c r="AG293" s="23" t="n">
        <x:f>IF(P293&gt;0,AF293,0)</x:f>
        <x:v>0.0005750000000000001</x:v>
      </x:c>
      <x:c r="AH293" s="23" t="n">
        <x:f>IF(AND(P293&gt;0,S293&lt;0),AF293,0)</x:f>
        <x:v>0.0005750000000000001</x:v>
      </x:c>
      <x:c r="AI293" s="23" t="n">
        <x:f>IF(AND(P293&gt;0,S293=0),AF293,0)</x:f>
        <x:v>0</x:v>
      </x:c>
      <x:c r="AJ293" s="23" t="n">
        <x:f>IF(R293&lt;30000,AF293,0)</x:f>
        <x:v>0.0005750000000000001</x:v>
      </x:c>
      <x:c r="AK293" s="460" t="n">
        <x:f>IF(P293&gt;0,AF293*S293,0)</x:f>
        <x:v>-2.3000000000000003</x:v>
      </x:c>
    </x:row>
    <x:row r="294" ht="22" customHeight="1">
      <x:c r="A294" s="643" t="str">
        <x:v>中心</x:v>
      </x:c>
      <x:c r="B294" s="648" t="n">
        <x:f>'114_降本系数'!B27</x:f>
        <x:v>0.5</x:v>
      </x:c>
      <x:c r="C294" s="643" t="str">
        <x:v>L1B</x:v>
      </x:c>
      <x:c r="D294" s="648" t="n">
        <x:f>'130_联合算法'!C18</x:f>
        <x:v>0.1</x:v>
      </x:c>
      <x:c r="E294" s="647" t="n">
        <x:f>'117_价格概率传导'!A7</x:f>
        <x:v>253900</x:v>
      </x:c>
      <x:c r="F294" s="648" t="n">
        <x:f>'117_价格概率传导'!D7</x:f>
        <x:v>0.05</x:v>
      </x:c>
      <x:c r="G294" s="648" t="n">
        <x:f>SUM('117_价格概率传导'!$D$6:$D$6)</x:f>
        <x:v>0.03</x:v>
      </x:c>
      <x:c r="H294" s="648" t="n">
        <x:f>SUM('117_价格概率传导'!$D$6:$D$7)</x:f>
        <x:v>0.08</x:v>
      </x:c>
      <x:c r="I294" s="647" t="n">
        <x:f>'117_价格概率传导'!A21</x:f>
        <x:v>259900</x:v>
      </x:c>
      <x:c r="J294" s="648" t="n">
        <x:f>'117_价格概率传导'!D21</x:f>
        <x:v>0.06</x:v>
      </x:c>
      <x:c r="K294" s="648" t="n">
        <x:f>SUM('117_价格概率传导'!$D$16:$D$20)</x:f>
        <x:v>0.94</x:v>
      </x:c>
      <x:c r="L294" s="648" t="n">
        <x:f>SUM('117_价格概率传导'!$D$16:$D$21)</x:f>
        <x:v>1</x:v>
      </x:c>
      <x:c r="M294" s="648" t="n">
        <x:f>MAX(0,MIN(H294,L294)-MAX(G294,K294))</x:f>
        <x:v>0</x:v>
      </x:c>
      <x:c r="N294" s="648" t="n">
        <x:f>B294*D294*M294</x:f>
        <x:v>0</x:v>
      </x:c>
      <x:c r="O294" s="647" t="n">
        <x:f>MIN(289900,I294+10000)</x:f>
        <x:v>269900</x:v>
      </x:c>
      <x:c r="P294" s="647" t="n">
        <x:f>O294-30000</x:f>
        <x:v>239900</x:v>
      </x:c>
      <x:c r="Q294" s="647" t="str">
        <x:f>""</x:f>
      </x:c>
      <x:c r="R294" s="647" t="n">
        <x:f>O294-E294</x:f>
        <x:v>16000</x:v>
      </x:c>
      <x:c r="S294" s="647" t="n">
        <x:f>IF(P294&gt;0,P294-E294,"")</x:f>
        <x:v>-14000</x:v>
      </x:c>
      <x:c r="T294" s="647" t="str">
        <x:f>IF(Q294&gt;0,Q294-E294,"")</x:f>
      </x:c>
      <x:c r="U294" s="648" t="n">
        <x:f>IF(R294&lt;30000,N294,0)</x:f>
        <x:v>0</x:v>
      </x:c>
      <x:c r="V294" s="648" t="n">
        <x:f>IF(P294&gt;0,N294,0)</x:f>
        <x:v>0</x:v>
      </x:c>
      <x:c r="W294" s="648" t="n">
        <x:f>IF(AND(P294&gt;0,S294&lt;0),N294,0)</x:f>
        <x:v>0</x:v>
      </x:c>
      <x:c r="X294" s="648" t="n">
        <x:f>IF(AND(P294&gt;0,S294=0),N294,0)</x:f>
        <x:v>0</x:v>
      </x:c>
      <x:c r="Y294" s="648" t="n">
        <x:f>IF(Q294&gt;0,N294,0)</x:f>
        <x:v>0</x:v>
      </x:c>
      <x:c r="Z294" s="647" t="n">
        <x:f>IF(P294&gt;0,N294*S294,0)</x:f>
        <x:v>0</x:v>
      </x:c>
      <x:c r="AA294" s="647" t="n">
        <x:f>IF(Q294&gt;0,N294*T294,0)</x:f>
        <x:v>0</x:v>
      </x:c>
      <x:c r="AB294" s="647" t="n">
        <x:f>N294*R294</x:f>
        <x:v>0</x:v>
      </x:c>
      <x:c r="AC294" s="647" t="n">
        <x:f>IF(N294&gt;0,R294,999999)</x:f>
        <x:v>999999</x:v>
      </x:c>
      <x:c r="AD294" s="647" t="n">
        <x:f>IF(AND(N294&gt;0,P294&gt;0),S294,999999)</x:f>
        <x:v>999999</x:v>
      </x:c>
      <x:c r="AE294" s="647" t="n">
        <x:f>IF(AND(N294&gt;0,Q294&gt;0),T294,999999)</x:f>
        <x:v>999999</x:v>
      </x:c>
      <x:c r="AF294" s="648" t="n">
        <x:f>B294*D294*F294*J294</x:f>
        <x:v>0.00015000000000000001</x:v>
      </x:c>
      <x:c r="AG294" s="648" t="n">
        <x:f>IF(P294&gt;0,AF294,0)</x:f>
        <x:v>0.00015000000000000001</x:v>
      </x:c>
      <x:c r="AH294" s="648" t="n">
        <x:f>IF(AND(P294&gt;0,S294&lt;0),AF294,0)</x:f>
        <x:v>0.00015000000000000001</x:v>
      </x:c>
      <x:c r="AI294" s="648" t="n">
        <x:f>IF(AND(P294&gt;0,S294=0),AF294,0)</x:f>
        <x:v>0</x:v>
      </x:c>
      <x:c r="AJ294" s="648" t="n">
        <x:f>IF(R294&lt;30000,AF294,0)</x:f>
        <x:v>0.00015000000000000001</x:v>
      </x:c>
      <x:c r="AK294" s="647" t="n">
        <x:f>IF(P294&gt;0,AF294*S294,0)</x:f>
        <x:v>-2.1</x:v>
      </x:c>
    </x:row>
    <x:row r="295" ht="22" customHeight="1">
      <x:c r="A295" s="19" t="str">
        <x:v>中心</x:v>
      </x:c>
      <x:c r="B295" s="23" t="n">
        <x:f>'114_降本系数'!B27</x:f>
        <x:v>0.5</x:v>
      </x:c>
      <x:c r="C295" s="19" t="str">
        <x:v>L1B</x:v>
      </x:c>
      <x:c r="D295" s="23" t="n">
        <x:f>'130_联合算法'!C18</x:f>
        <x:v>0.1</x:v>
      </x:c>
      <x:c r="E295" s="460" t="n">
        <x:f>'117_价格概率传导'!A8</x:f>
        <x:v>249900</x:v>
      </x:c>
      <x:c r="F295" s="23" t="n">
        <x:f>'117_价格概率传导'!D8</x:f>
        <x:v>0.42</x:v>
      </x:c>
      <x:c r="G295" s="23" t="n">
        <x:f>SUM('117_价格概率传导'!$D$6:$D$7)</x:f>
        <x:v>0.08</x:v>
      </x:c>
      <x:c r="H295" s="23" t="n">
        <x:f>SUM('117_价格概率传导'!$D$6:$D$8)</x:f>
        <x:v>0.5</x:v>
      </x:c>
      <x:c r="I295" s="460" t="n">
        <x:f>'117_价格概率传导'!A16</x:f>
        <x:v>299900</x:v>
      </x:c>
      <x:c r="J295" s="23" t="n">
        <x:f>'117_价格概率传导'!D16</x:f>
        <x:v>0.02</x:v>
      </x:c>
      <x:c r="K295" s="23" t="n">
        <x:f>0</x:f>
        <x:v>0</x:v>
      </x:c>
      <x:c r="L295" s="23" t="n">
        <x:f>SUM('117_价格概率传导'!$D$16:$D$16)</x:f>
        <x:v>0.02</x:v>
      </x:c>
      <x:c r="M295" s="23" t="n">
        <x:f>MAX(0,MIN(H295,L295)-MAX(G295,K295))</x:f>
        <x:v>0</x:v>
      </x:c>
      <x:c r="N295" s="23" t="n">
        <x:f>B295*D295*M295</x:f>
        <x:v>0</x:v>
      </x:c>
      <x:c r="O295" s="460" t="n">
        <x:f>MIN(289900,I295+10000)</x:f>
        <x:v>289900</x:v>
      </x:c>
      <x:c r="P295" s="460" t="n">
        <x:f>O295-30000</x:f>
        <x:v>259900</x:v>
      </x:c>
      <x:c r="Q295" s="460" t="str">
        <x:f>""</x:f>
      </x:c>
      <x:c r="R295" s="460" t="n">
        <x:f>O295-E295</x:f>
        <x:v>40000</x:v>
      </x:c>
      <x:c r="S295" s="460" t="n">
        <x:f>IF(P295&gt;0,P295-E295,"")</x:f>
        <x:v>10000</x:v>
      </x:c>
      <x:c r="T295" s="460" t="str">
        <x:f>IF(Q295&gt;0,Q295-E295,"")</x:f>
      </x:c>
      <x:c r="U295" s="23" t="n">
        <x:f>IF(R295&lt;30000,N295,0)</x:f>
        <x:v>0</x:v>
      </x:c>
      <x:c r="V295" s="23" t="n">
        <x:f>IF(P295&gt;0,N295,0)</x:f>
        <x:v>0</x:v>
      </x:c>
      <x:c r="W295" s="23" t="n">
        <x:f>IF(AND(P295&gt;0,S295&lt;0),N295,0)</x:f>
        <x:v>0</x:v>
      </x:c>
      <x:c r="X295" s="23" t="n">
        <x:f>IF(AND(P295&gt;0,S295=0),N295,0)</x:f>
        <x:v>0</x:v>
      </x:c>
      <x:c r="Y295" s="23" t="n">
        <x:f>IF(Q295&gt;0,N295,0)</x:f>
        <x:v>0</x:v>
      </x:c>
      <x:c r="Z295" s="460" t="n">
        <x:f>IF(P295&gt;0,N295*S295,0)</x:f>
        <x:v>0</x:v>
      </x:c>
      <x:c r="AA295" s="460" t="n">
        <x:f>IF(Q295&gt;0,N295*T295,0)</x:f>
        <x:v>0</x:v>
      </x:c>
      <x:c r="AB295" s="460" t="n">
        <x:f>N295*R295</x:f>
        <x:v>0</x:v>
      </x:c>
      <x:c r="AC295" s="460" t="n">
        <x:f>IF(N295&gt;0,R295,999999)</x:f>
        <x:v>999999</x:v>
      </x:c>
      <x:c r="AD295" s="460" t="n">
        <x:f>IF(AND(N295&gt;0,P295&gt;0),S295,999999)</x:f>
        <x:v>999999</x:v>
      </x:c>
      <x:c r="AE295" s="460" t="n">
        <x:f>IF(AND(N295&gt;0,Q295&gt;0),T295,999999)</x:f>
        <x:v>999999</x:v>
      </x:c>
      <x:c r="AF295" s="23" t="n">
        <x:f>B295*D295*F295*J295</x:f>
        <x:v>0.00042</x:v>
      </x:c>
      <x:c r="AG295" s="23" t="n">
        <x:f>IF(P295&gt;0,AF295,0)</x:f>
        <x:v>0.00042</x:v>
      </x:c>
      <x:c r="AH295" s="23" t="n">
        <x:f>IF(AND(P295&gt;0,S295&lt;0),AF295,0)</x:f>
        <x:v>0</x:v>
      </x:c>
      <x:c r="AI295" s="23" t="n">
        <x:f>IF(AND(P295&gt;0,S295=0),AF295,0)</x:f>
        <x:v>0</x:v>
      </x:c>
      <x:c r="AJ295" s="23" t="n">
        <x:f>IF(R295&lt;30000,AF295,0)</x:f>
        <x:v>0</x:v>
      </x:c>
      <x:c r="AK295" s="460" t="n">
        <x:f>IF(P295&gt;0,AF295*S295,0)</x:f>
        <x:v>4.2</x:v>
      </x:c>
    </x:row>
    <x:row r="296" ht="22" customHeight="1">
      <x:c r="A296" s="643" t="str">
        <x:v>中心</x:v>
      </x:c>
      <x:c r="B296" s="648" t="n">
        <x:f>'114_降本系数'!B27</x:f>
        <x:v>0.5</x:v>
      </x:c>
      <x:c r="C296" s="643" t="str">
        <x:v>L1B</x:v>
      </x:c>
      <x:c r="D296" s="648" t="n">
        <x:f>'130_联合算法'!C18</x:f>
        <x:v>0.1</x:v>
      </x:c>
      <x:c r="E296" s="647" t="n">
        <x:f>'117_价格概率传导'!A8</x:f>
        <x:v>249900</x:v>
      </x:c>
      <x:c r="F296" s="648" t="n">
        <x:f>'117_价格概率传导'!D8</x:f>
        <x:v>0.42</x:v>
      </x:c>
      <x:c r="G296" s="648" t="n">
        <x:f>SUM('117_价格概率传导'!$D$6:$D$7)</x:f>
        <x:v>0.08</x:v>
      </x:c>
      <x:c r="H296" s="648" t="n">
        <x:f>SUM('117_价格概率传导'!$D$6:$D$8)</x:f>
        <x:v>0.5</x:v>
      </x:c>
      <x:c r="I296" s="647" t="n">
        <x:f>'117_价格概率传导'!A17</x:f>
        <x:v>293900</x:v>
      </x:c>
      <x:c r="J296" s="648" t="n">
        <x:f>'117_价格概率传导'!D17</x:f>
        <x:v>0.03</x:v>
      </x:c>
      <x:c r="K296" s="648" t="n">
        <x:f>SUM('117_价格概率传导'!$D$16:$D$16)</x:f>
        <x:v>0.02</x:v>
      </x:c>
      <x:c r="L296" s="648" t="n">
        <x:f>SUM('117_价格概率传导'!$D$16:$D$17)</x:f>
        <x:v>0.05</x:v>
      </x:c>
      <x:c r="M296" s="648" t="n">
        <x:f>MAX(0,MIN(H296,L296)-MAX(G296,K296))</x:f>
        <x:v>0</x:v>
      </x:c>
      <x:c r="N296" s="648" t="n">
        <x:f>B296*D296*M296</x:f>
        <x:v>0</x:v>
      </x:c>
      <x:c r="O296" s="647" t="n">
        <x:f>MIN(289900,I296+10000)</x:f>
        <x:v>289900</x:v>
      </x:c>
      <x:c r="P296" s="647" t="n">
        <x:f>O296-30000</x:f>
        <x:v>259900</x:v>
      </x:c>
      <x:c r="Q296" s="647" t="str">
        <x:f>""</x:f>
      </x:c>
      <x:c r="R296" s="647" t="n">
        <x:f>O296-E296</x:f>
        <x:v>40000</x:v>
      </x:c>
      <x:c r="S296" s="647" t="n">
        <x:f>IF(P296&gt;0,P296-E296,"")</x:f>
        <x:v>10000</x:v>
      </x:c>
      <x:c r="T296" s="647" t="str">
        <x:f>IF(Q296&gt;0,Q296-E296,"")</x:f>
      </x:c>
      <x:c r="U296" s="648" t="n">
        <x:f>IF(R296&lt;30000,N296,0)</x:f>
        <x:v>0</x:v>
      </x:c>
      <x:c r="V296" s="648" t="n">
        <x:f>IF(P296&gt;0,N296,0)</x:f>
        <x:v>0</x:v>
      </x:c>
      <x:c r="W296" s="648" t="n">
        <x:f>IF(AND(P296&gt;0,S296&lt;0),N296,0)</x:f>
        <x:v>0</x:v>
      </x:c>
      <x:c r="X296" s="648" t="n">
        <x:f>IF(AND(P296&gt;0,S296=0),N296,0)</x:f>
        <x:v>0</x:v>
      </x:c>
      <x:c r="Y296" s="648" t="n">
        <x:f>IF(Q296&gt;0,N296,0)</x:f>
        <x:v>0</x:v>
      </x:c>
      <x:c r="Z296" s="647" t="n">
        <x:f>IF(P296&gt;0,N296*S296,0)</x:f>
        <x:v>0</x:v>
      </x:c>
      <x:c r="AA296" s="647" t="n">
        <x:f>IF(Q296&gt;0,N296*T296,0)</x:f>
        <x:v>0</x:v>
      </x:c>
      <x:c r="AB296" s="647" t="n">
        <x:f>N296*R296</x:f>
        <x:v>0</x:v>
      </x:c>
      <x:c r="AC296" s="647" t="n">
        <x:f>IF(N296&gt;0,R296,999999)</x:f>
        <x:v>999999</x:v>
      </x:c>
      <x:c r="AD296" s="647" t="n">
        <x:f>IF(AND(N296&gt;0,P296&gt;0),S296,999999)</x:f>
        <x:v>999999</x:v>
      </x:c>
      <x:c r="AE296" s="647" t="n">
        <x:f>IF(AND(N296&gt;0,Q296&gt;0),T296,999999)</x:f>
        <x:v>999999</x:v>
      </x:c>
      <x:c r="AF296" s="648" t="n">
        <x:f>B296*D296*F296*J296</x:f>
        <x:v>0.00063</x:v>
      </x:c>
      <x:c r="AG296" s="648" t="n">
        <x:f>IF(P296&gt;0,AF296,0)</x:f>
        <x:v>0.00063</x:v>
      </x:c>
      <x:c r="AH296" s="648" t="n">
        <x:f>IF(AND(P296&gt;0,S296&lt;0),AF296,0)</x:f>
        <x:v>0</x:v>
      </x:c>
      <x:c r="AI296" s="648" t="n">
        <x:f>IF(AND(P296&gt;0,S296=0),AF296,0)</x:f>
        <x:v>0</x:v>
      </x:c>
      <x:c r="AJ296" s="648" t="n">
        <x:f>IF(R296&lt;30000,AF296,0)</x:f>
        <x:v>0</x:v>
      </x:c>
      <x:c r="AK296" s="647" t="n">
        <x:f>IF(P296&gt;0,AF296*S296,0)</x:f>
        <x:v>6.3</x:v>
      </x:c>
    </x:row>
    <x:row r="297" ht="22" customHeight="1">
      <x:c r="A297" s="19" t="str">
        <x:v>中心</x:v>
      </x:c>
      <x:c r="B297" s="23" t="n">
        <x:f>'114_降本系数'!B27</x:f>
        <x:v>0.5</x:v>
      </x:c>
      <x:c r="C297" s="19" t="str">
        <x:v>L1B</x:v>
      </x:c>
      <x:c r="D297" s="23" t="n">
        <x:f>'130_联合算法'!C18</x:f>
        <x:v>0.1</x:v>
      </x:c>
      <x:c r="E297" s="460" t="n">
        <x:f>'117_价格概率传导'!A8</x:f>
        <x:v>249900</x:v>
      </x:c>
      <x:c r="F297" s="23" t="n">
        <x:f>'117_价格概率传导'!D8</x:f>
        <x:v>0.42</x:v>
      </x:c>
      <x:c r="G297" s="23" t="n">
        <x:f>SUM('117_价格概率传导'!$D$6:$D$7)</x:f>
        <x:v>0.08</x:v>
      </x:c>
      <x:c r="H297" s="23" t="n">
        <x:f>SUM('117_价格概率传导'!$D$6:$D$8)</x:f>
        <x:v>0.5</x:v>
      </x:c>
      <x:c r="I297" s="460" t="n">
        <x:f>'117_价格概率传导'!A18</x:f>
        <x:v>289900</x:v>
      </x:c>
      <x:c r="J297" s="23" t="n">
        <x:f>'117_价格概率传导'!D18</x:f>
        <x:v>0.22</x:v>
      </x:c>
      <x:c r="K297" s="23" t="n">
        <x:f>SUM('117_价格概率传导'!$D$16:$D$17)</x:f>
        <x:v>0.05</x:v>
      </x:c>
      <x:c r="L297" s="23" t="n">
        <x:f>SUM('117_价格概率传导'!$D$16:$D$18)</x:f>
        <x:v>0.27</x:v>
      </x:c>
      <x:c r="M297" s="23" t="n">
        <x:f>MAX(0,MIN(H297,L297)-MAX(G297,K297))</x:f>
        <x:v>0.19</x:v>
      </x:c>
      <x:c r="N297" s="23" t="n">
        <x:f>B297*D297*M297</x:f>
        <x:v>0.009500000000000001</x:v>
      </x:c>
      <x:c r="O297" s="460" t="n">
        <x:f>MIN(289900,I297+10000)</x:f>
        <x:v>289900</x:v>
      </x:c>
      <x:c r="P297" s="460" t="n">
        <x:f>O297-30000</x:f>
        <x:v>259900</x:v>
      </x:c>
      <x:c r="Q297" s="460" t="str">
        <x:f>""</x:f>
      </x:c>
      <x:c r="R297" s="460" t="n">
        <x:f>O297-E297</x:f>
        <x:v>40000</x:v>
      </x:c>
      <x:c r="S297" s="460" t="n">
        <x:f>IF(P297&gt;0,P297-E297,"")</x:f>
        <x:v>10000</x:v>
      </x:c>
      <x:c r="T297" s="460" t="str">
        <x:f>IF(Q297&gt;0,Q297-E297,"")</x:f>
      </x:c>
      <x:c r="U297" s="23" t="n">
        <x:f>IF(R297&lt;30000,N297,0)</x:f>
        <x:v>0</x:v>
      </x:c>
      <x:c r="V297" s="23" t="n">
        <x:f>IF(P297&gt;0,N297,0)</x:f>
        <x:v>0.009500000000000001</x:v>
      </x:c>
      <x:c r="W297" s="23" t="n">
        <x:f>IF(AND(P297&gt;0,S297&lt;0),N297,0)</x:f>
        <x:v>0</x:v>
      </x:c>
      <x:c r="X297" s="23" t="n">
        <x:f>IF(AND(P297&gt;0,S297=0),N297,0)</x:f>
        <x:v>0</x:v>
      </x:c>
      <x:c r="Y297" s="23" t="n">
        <x:f>IF(Q297&gt;0,N297,0)</x:f>
        <x:v>0</x:v>
      </x:c>
      <x:c r="Z297" s="460" t="n">
        <x:f>IF(P297&gt;0,N297*S297,0)</x:f>
        <x:v>95.00000000000001</x:v>
      </x:c>
      <x:c r="AA297" s="460" t="n">
        <x:f>IF(Q297&gt;0,N297*T297,0)</x:f>
        <x:v>0</x:v>
      </x:c>
      <x:c r="AB297" s="460" t="n">
        <x:f>N297*R297</x:f>
        <x:v>380.00000000000006</x:v>
      </x:c>
      <x:c r="AC297" s="460" t="n">
        <x:f>IF(N297&gt;0,R297,999999)</x:f>
        <x:v>40000</x:v>
      </x:c>
      <x:c r="AD297" s="460" t="n">
        <x:f>IF(AND(N297&gt;0,P297&gt;0),S297,999999)</x:f>
        <x:v>10000</x:v>
      </x:c>
      <x:c r="AE297" s="460" t="n">
        <x:f>IF(AND(N297&gt;0,Q297&gt;0),T297,999999)</x:f>
        <x:v>999999</x:v>
      </x:c>
      <x:c r="AF297" s="23" t="n">
        <x:f>B297*D297*F297*J297</x:f>
        <x:v>0.00462</x:v>
      </x:c>
      <x:c r="AG297" s="23" t="n">
        <x:f>IF(P297&gt;0,AF297,0)</x:f>
        <x:v>0.00462</x:v>
      </x:c>
      <x:c r="AH297" s="23" t="n">
        <x:f>IF(AND(P297&gt;0,S297&lt;0),AF297,0)</x:f>
        <x:v>0</x:v>
      </x:c>
      <x:c r="AI297" s="23" t="n">
        <x:f>IF(AND(P297&gt;0,S297=0),AF297,0)</x:f>
        <x:v>0</x:v>
      </x:c>
      <x:c r="AJ297" s="23" t="n">
        <x:f>IF(R297&lt;30000,AF297,0)</x:f>
        <x:v>0</x:v>
      </x:c>
      <x:c r="AK297" s="460" t="n">
        <x:f>IF(P297&gt;0,AF297*S297,0)</x:f>
        <x:v>46.2</x:v>
      </x:c>
    </x:row>
    <x:row r="298" ht="22" customHeight="1">
      <x:c r="A298" s="643" t="str">
        <x:v>中心</x:v>
      </x:c>
      <x:c r="B298" s="648" t="n">
        <x:f>'114_降本系数'!B27</x:f>
        <x:v>0.5</x:v>
      </x:c>
      <x:c r="C298" s="643" t="str">
        <x:v>L1B</x:v>
      </x:c>
      <x:c r="D298" s="648" t="n">
        <x:f>'130_联合算法'!C18</x:f>
        <x:v>0.1</x:v>
      </x:c>
      <x:c r="E298" s="647" t="n">
        <x:f>'117_价格概率传导'!A8</x:f>
        <x:v>249900</x:v>
      </x:c>
      <x:c r="F298" s="648" t="n">
        <x:f>'117_价格概率传导'!D8</x:f>
        <x:v>0.42</x:v>
      </x:c>
      <x:c r="G298" s="648" t="n">
        <x:f>SUM('117_价格概率传导'!$D$6:$D$7)</x:f>
        <x:v>0.08</x:v>
      </x:c>
      <x:c r="H298" s="648" t="n">
        <x:f>SUM('117_价格概率传导'!$D$6:$D$8)</x:f>
        <x:v>0.5</x:v>
      </x:c>
      <x:c r="I298" s="647" t="n">
        <x:f>'117_价格概率传导'!A19</x:f>
        <x:v>279900</x:v>
      </x:c>
      <x:c r="J298" s="648" t="n">
        <x:f>'117_价格概率传导'!D19</x:f>
        <x:v>0.44</x:v>
      </x:c>
      <x:c r="K298" s="648" t="n">
        <x:f>SUM('117_价格概率传导'!$D$16:$D$18)</x:f>
        <x:v>0.27</x:v>
      </x:c>
      <x:c r="L298" s="648" t="n">
        <x:f>SUM('117_价格概率传导'!$D$16:$D$19)</x:f>
        <x:v>0.71</x:v>
      </x:c>
      <x:c r="M298" s="648" t="n">
        <x:f>MAX(0,MIN(H298,L298)-MAX(G298,K298))</x:f>
        <x:v>0.22999999999999998</x:v>
      </x:c>
      <x:c r="N298" s="648" t="n">
        <x:f>B298*D298*M298</x:f>
        <x:v>0.0115</x:v>
      </x:c>
      <x:c r="O298" s="647" t="n">
        <x:f>MIN(289900,I298+10000)</x:f>
        <x:v>289900</x:v>
      </x:c>
      <x:c r="P298" s="647" t="n">
        <x:f>O298-30000</x:f>
        <x:v>259900</x:v>
      </x:c>
      <x:c r="Q298" s="647" t="str">
        <x:f>""</x:f>
      </x:c>
      <x:c r="R298" s="647" t="n">
        <x:f>O298-E298</x:f>
        <x:v>40000</x:v>
      </x:c>
      <x:c r="S298" s="647" t="n">
        <x:f>IF(P298&gt;0,P298-E298,"")</x:f>
        <x:v>10000</x:v>
      </x:c>
      <x:c r="T298" s="647" t="str">
        <x:f>IF(Q298&gt;0,Q298-E298,"")</x:f>
      </x:c>
      <x:c r="U298" s="648" t="n">
        <x:f>IF(R298&lt;30000,N298,0)</x:f>
        <x:v>0</x:v>
      </x:c>
      <x:c r="V298" s="648" t="n">
        <x:f>IF(P298&gt;0,N298,0)</x:f>
        <x:v>0.0115</x:v>
      </x:c>
      <x:c r="W298" s="648" t="n">
        <x:f>IF(AND(P298&gt;0,S298&lt;0),N298,0)</x:f>
        <x:v>0</x:v>
      </x:c>
      <x:c r="X298" s="648" t="n">
        <x:f>IF(AND(P298&gt;0,S298=0),N298,0)</x:f>
        <x:v>0</x:v>
      </x:c>
      <x:c r="Y298" s="648" t="n">
        <x:f>IF(Q298&gt;0,N298,0)</x:f>
        <x:v>0</x:v>
      </x:c>
      <x:c r="Z298" s="647" t="n">
        <x:f>IF(P298&gt;0,N298*S298,0)</x:f>
        <x:v>115</x:v>
      </x:c>
      <x:c r="AA298" s="647" t="n">
        <x:f>IF(Q298&gt;0,N298*T298,0)</x:f>
        <x:v>0</x:v>
      </x:c>
      <x:c r="AB298" s="647" t="n">
        <x:f>N298*R298</x:f>
        <x:v>460</x:v>
      </x:c>
      <x:c r="AC298" s="647" t="n">
        <x:f>IF(N298&gt;0,R298,999999)</x:f>
        <x:v>40000</x:v>
      </x:c>
      <x:c r="AD298" s="647" t="n">
        <x:f>IF(AND(N298&gt;0,P298&gt;0),S298,999999)</x:f>
        <x:v>10000</x:v>
      </x:c>
      <x:c r="AE298" s="647" t="n">
        <x:f>IF(AND(N298&gt;0,Q298&gt;0),T298,999999)</x:f>
        <x:v>999999</x:v>
      </x:c>
      <x:c r="AF298" s="648" t="n">
        <x:f>B298*D298*F298*J298</x:f>
        <x:v>0.00924</x:v>
      </x:c>
      <x:c r="AG298" s="648" t="n">
        <x:f>IF(P298&gt;0,AF298,0)</x:f>
        <x:v>0.00924</x:v>
      </x:c>
      <x:c r="AH298" s="648" t="n">
        <x:f>IF(AND(P298&gt;0,S298&lt;0),AF298,0)</x:f>
        <x:v>0</x:v>
      </x:c>
      <x:c r="AI298" s="648" t="n">
        <x:f>IF(AND(P298&gt;0,S298=0),AF298,0)</x:f>
        <x:v>0</x:v>
      </x:c>
      <x:c r="AJ298" s="648" t="n">
        <x:f>IF(R298&lt;30000,AF298,0)</x:f>
        <x:v>0</x:v>
      </x:c>
      <x:c r="AK298" s="647" t="n">
        <x:f>IF(P298&gt;0,AF298*S298,0)</x:f>
        <x:v>92.4</x:v>
      </x:c>
    </x:row>
    <x:row r="299" ht="22" customHeight="1">
      <x:c r="A299" s="19" t="str">
        <x:v>中心</x:v>
      </x:c>
      <x:c r="B299" s="23" t="n">
        <x:f>'114_降本系数'!B27</x:f>
        <x:v>0.5</x:v>
      </x:c>
      <x:c r="C299" s="19" t="str">
        <x:v>L1B</x:v>
      </x:c>
      <x:c r="D299" s="23" t="n">
        <x:f>'130_联合算法'!C18</x:f>
        <x:v>0.1</x:v>
      </x:c>
      <x:c r="E299" s="460" t="n">
        <x:f>'117_价格概率传导'!A8</x:f>
        <x:v>249900</x:v>
      </x:c>
      <x:c r="F299" s="23" t="n">
        <x:f>'117_价格概率传导'!D8</x:f>
        <x:v>0.42</x:v>
      </x:c>
      <x:c r="G299" s="23" t="n">
        <x:f>SUM('117_价格概率传导'!$D$6:$D$7)</x:f>
        <x:v>0.08</x:v>
      </x:c>
      <x:c r="H299" s="23" t="n">
        <x:f>SUM('117_价格概率传导'!$D$6:$D$8)</x:f>
        <x:v>0.5</x:v>
      </x:c>
      <x:c r="I299" s="460" t="n">
        <x:f>'117_价格概率传导'!A20</x:f>
        <x:v>269900</x:v>
      </x:c>
      <x:c r="J299" s="23" t="n">
        <x:f>'117_价格概率传导'!D20</x:f>
        <x:v>0.23</x:v>
      </x:c>
      <x:c r="K299" s="23" t="n">
        <x:f>SUM('117_价格概率传导'!$D$16:$D$19)</x:f>
        <x:v>0.71</x:v>
      </x:c>
      <x:c r="L299" s="23" t="n">
        <x:f>SUM('117_价格概率传导'!$D$16:$D$20)</x:f>
        <x:v>0.94</x:v>
      </x:c>
      <x:c r="M299" s="23" t="n">
        <x:f>MAX(0,MIN(H299,L299)-MAX(G299,K299))</x:f>
        <x:v>0</x:v>
      </x:c>
      <x:c r="N299" s="23" t="n">
        <x:f>B299*D299*M299</x:f>
        <x:v>0</x:v>
      </x:c>
      <x:c r="O299" s="460" t="n">
        <x:f>MIN(289900,I299+10000)</x:f>
        <x:v>279900</x:v>
      </x:c>
      <x:c r="P299" s="460" t="n">
        <x:f>O299-30000</x:f>
        <x:v>249900</x:v>
      </x:c>
      <x:c r="Q299" s="460" t="str">
        <x:f>""</x:f>
      </x:c>
      <x:c r="R299" s="460" t="n">
        <x:f>O299-E299</x:f>
        <x:v>30000</x:v>
      </x:c>
      <x:c r="S299" s="460" t="n">
        <x:f>IF(P299&gt;0,P299-E299,"")</x:f>
        <x:v>0</x:v>
      </x:c>
      <x:c r="T299" s="460" t="str">
        <x:f>IF(Q299&gt;0,Q299-E299,"")</x:f>
      </x:c>
      <x:c r="U299" s="23" t="n">
        <x:f>IF(R299&lt;30000,N299,0)</x:f>
        <x:v>0</x:v>
      </x:c>
      <x:c r="V299" s="23" t="n">
        <x:f>IF(P299&gt;0,N299,0)</x:f>
        <x:v>0</x:v>
      </x:c>
      <x:c r="W299" s="23" t="n">
        <x:f>IF(AND(P299&gt;0,S299&lt;0),N299,0)</x:f>
        <x:v>0</x:v>
      </x:c>
      <x:c r="X299" s="23" t="n">
        <x:f>IF(AND(P299&gt;0,S299=0),N299,0)</x:f>
        <x:v>0</x:v>
      </x:c>
      <x:c r="Y299" s="23" t="n">
        <x:f>IF(Q299&gt;0,N299,0)</x:f>
        <x:v>0</x:v>
      </x:c>
      <x:c r="Z299" s="460" t="n">
        <x:f>IF(P299&gt;0,N299*S299,0)</x:f>
        <x:v>0</x:v>
      </x:c>
      <x:c r="AA299" s="460" t="n">
        <x:f>IF(Q299&gt;0,N299*T299,0)</x:f>
        <x:v>0</x:v>
      </x:c>
      <x:c r="AB299" s="460" t="n">
        <x:f>N299*R299</x:f>
        <x:v>0</x:v>
      </x:c>
      <x:c r="AC299" s="460" t="n">
        <x:f>IF(N299&gt;0,R299,999999)</x:f>
        <x:v>999999</x:v>
      </x:c>
      <x:c r="AD299" s="460" t="n">
        <x:f>IF(AND(N299&gt;0,P299&gt;0),S299,999999)</x:f>
        <x:v>999999</x:v>
      </x:c>
      <x:c r="AE299" s="460" t="n">
        <x:f>IF(AND(N299&gt;0,Q299&gt;0),T299,999999)</x:f>
        <x:v>999999</x:v>
      </x:c>
      <x:c r="AF299" s="23" t="n">
        <x:f>B299*D299*F299*J299</x:f>
        <x:v>0.00483</x:v>
      </x:c>
      <x:c r="AG299" s="23" t="n">
        <x:f>IF(P299&gt;0,AF299,0)</x:f>
        <x:v>0.00483</x:v>
      </x:c>
      <x:c r="AH299" s="23" t="n">
        <x:f>IF(AND(P299&gt;0,S299&lt;0),AF299,0)</x:f>
        <x:v>0</x:v>
      </x:c>
      <x:c r="AI299" s="23" t="n">
        <x:f>IF(AND(P299&gt;0,S299=0),AF299,0)</x:f>
        <x:v>0.00483</x:v>
      </x:c>
      <x:c r="AJ299" s="23" t="n">
        <x:f>IF(R299&lt;30000,AF299,0)</x:f>
        <x:v>0</x:v>
      </x:c>
      <x:c r="AK299" s="460" t="n">
        <x:f>IF(P299&gt;0,AF299*S299,0)</x:f>
        <x:v>0</x:v>
      </x:c>
    </x:row>
    <x:row r="300" ht="22" customHeight="1">
      <x:c r="A300" s="643" t="str">
        <x:v>中心</x:v>
      </x:c>
      <x:c r="B300" s="648" t="n">
        <x:f>'114_降本系数'!B27</x:f>
        <x:v>0.5</x:v>
      </x:c>
      <x:c r="C300" s="643" t="str">
        <x:v>L1B</x:v>
      </x:c>
      <x:c r="D300" s="648" t="n">
        <x:f>'130_联合算法'!C18</x:f>
        <x:v>0.1</x:v>
      </x:c>
      <x:c r="E300" s="647" t="n">
        <x:f>'117_价格概率传导'!A8</x:f>
        <x:v>249900</x:v>
      </x:c>
      <x:c r="F300" s="648" t="n">
        <x:f>'117_价格概率传导'!D8</x:f>
        <x:v>0.42</x:v>
      </x:c>
      <x:c r="G300" s="648" t="n">
        <x:f>SUM('117_价格概率传导'!$D$6:$D$7)</x:f>
        <x:v>0.08</x:v>
      </x:c>
      <x:c r="H300" s="648" t="n">
        <x:f>SUM('117_价格概率传导'!$D$6:$D$8)</x:f>
        <x:v>0.5</x:v>
      </x:c>
      <x:c r="I300" s="647" t="n">
        <x:f>'117_价格概率传导'!A21</x:f>
        <x:v>259900</x:v>
      </x:c>
      <x:c r="J300" s="648" t="n">
        <x:f>'117_价格概率传导'!D21</x:f>
        <x:v>0.06</x:v>
      </x:c>
      <x:c r="K300" s="648" t="n">
        <x:f>SUM('117_价格概率传导'!$D$16:$D$20)</x:f>
        <x:v>0.94</x:v>
      </x:c>
      <x:c r="L300" s="648" t="n">
        <x:f>SUM('117_价格概率传导'!$D$16:$D$21)</x:f>
        <x:v>1</x:v>
      </x:c>
      <x:c r="M300" s="648" t="n">
        <x:f>MAX(0,MIN(H300,L300)-MAX(G300,K300))</x:f>
        <x:v>0</x:v>
      </x:c>
      <x:c r="N300" s="648" t="n">
        <x:f>B300*D300*M300</x:f>
        <x:v>0</x:v>
      </x:c>
      <x:c r="O300" s="647" t="n">
        <x:f>MIN(289900,I300+10000)</x:f>
        <x:v>269900</x:v>
      </x:c>
      <x:c r="P300" s="647" t="n">
        <x:f>O300-30000</x:f>
        <x:v>239900</x:v>
      </x:c>
      <x:c r="Q300" s="647" t="str">
        <x:f>""</x:f>
      </x:c>
      <x:c r="R300" s="647" t="n">
        <x:f>O300-E300</x:f>
        <x:v>20000</x:v>
      </x:c>
      <x:c r="S300" s="647" t="n">
        <x:f>IF(P300&gt;0,P300-E300,"")</x:f>
        <x:v>-10000</x:v>
      </x:c>
      <x:c r="T300" s="647" t="str">
        <x:f>IF(Q300&gt;0,Q300-E300,"")</x:f>
      </x:c>
      <x:c r="U300" s="648" t="n">
        <x:f>IF(R300&lt;30000,N300,0)</x:f>
        <x:v>0</x:v>
      </x:c>
      <x:c r="V300" s="648" t="n">
        <x:f>IF(P300&gt;0,N300,0)</x:f>
        <x:v>0</x:v>
      </x:c>
      <x:c r="W300" s="648" t="n">
        <x:f>IF(AND(P300&gt;0,S300&lt;0),N300,0)</x:f>
        <x:v>0</x:v>
      </x:c>
      <x:c r="X300" s="648" t="n">
        <x:f>IF(AND(P300&gt;0,S300=0),N300,0)</x:f>
        <x:v>0</x:v>
      </x:c>
      <x:c r="Y300" s="648" t="n">
        <x:f>IF(Q300&gt;0,N300,0)</x:f>
        <x:v>0</x:v>
      </x:c>
      <x:c r="Z300" s="647" t="n">
        <x:f>IF(P300&gt;0,N300*S300,0)</x:f>
        <x:v>0</x:v>
      </x:c>
      <x:c r="AA300" s="647" t="n">
        <x:f>IF(Q300&gt;0,N300*T300,0)</x:f>
        <x:v>0</x:v>
      </x:c>
      <x:c r="AB300" s="647" t="n">
        <x:f>N300*R300</x:f>
        <x:v>0</x:v>
      </x:c>
      <x:c r="AC300" s="647" t="n">
        <x:f>IF(N300&gt;0,R300,999999)</x:f>
        <x:v>999999</x:v>
      </x:c>
      <x:c r="AD300" s="647" t="n">
        <x:f>IF(AND(N300&gt;0,P300&gt;0),S300,999999)</x:f>
        <x:v>999999</x:v>
      </x:c>
      <x:c r="AE300" s="647" t="n">
        <x:f>IF(AND(N300&gt;0,Q300&gt;0),T300,999999)</x:f>
        <x:v>999999</x:v>
      </x:c>
      <x:c r="AF300" s="648" t="n">
        <x:f>B300*D300*F300*J300</x:f>
        <x:v>0.00126</x:v>
      </x:c>
      <x:c r="AG300" s="648" t="n">
        <x:f>IF(P300&gt;0,AF300,0)</x:f>
        <x:v>0.00126</x:v>
      </x:c>
      <x:c r="AH300" s="648" t="n">
        <x:f>IF(AND(P300&gt;0,S300&lt;0),AF300,0)</x:f>
        <x:v>0.00126</x:v>
      </x:c>
      <x:c r="AI300" s="648" t="n">
        <x:f>IF(AND(P300&gt;0,S300=0),AF300,0)</x:f>
        <x:v>0</x:v>
      </x:c>
      <x:c r="AJ300" s="648" t="n">
        <x:f>IF(R300&lt;30000,AF300,0)</x:f>
        <x:v>0.00126</x:v>
      </x:c>
      <x:c r="AK300" s="647" t="n">
        <x:f>IF(P300&gt;0,AF300*S300,0)</x:f>
        <x:v>-12.6</x:v>
      </x:c>
    </x:row>
    <x:row r="301" ht="22" customHeight="1">
      <x:c r="A301" s="19" t="str">
        <x:v>中心</x:v>
      </x:c>
      <x:c r="B301" s="23" t="n">
        <x:f>'114_降本系数'!B27</x:f>
        <x:v>0.5</x:v>
      </x:c>
      <x:c r="C301" s="19" t="str">
        <x:v>L1B</x:v>
      </x:c>
      <x:c r="D301" s="23" t="n">
        <x:f>'130_联合算法'!C18</x:f>
        <x:v>0.1</x:v>
      </x:c>
      <x:c r="E301" s="460" t="n">
        <x:f>'117_价格概率传导'!A9</x:f>
        <x:v>239900</x:v>
      </x:c>
      <x:c r="F301" s="23" t="n">
        <x:f>'117_价格概率传导'!D9</x:f>
        <x:v>0.34</x:v>
      </x:c>
      <x:c r="G301" s="23" t="n">
        <x:f>SUM('117_价格概率传导'!$D$6:$D$8)</x:f>
        <x:v>0.5</x:v>
      </x:c>
      <x:c r="H301" s="23" t="n">
        <x:f>SUM('117_价格概率传导'!$D$6:$D$9)</x:f>
        <x:v>0.8400000000000001</x:v>
      </x:c>
      <x:c r="I301" s="460" t="n">
        <x:f>'117_价格概率传导'!A16</x:f>
        <x:v>299900</x:v>
      </x:c>
      <x:c r="J301" s="23" t="n">
        <x:f>'117_价格概率传导'!D16</x:f>
        <x:v>0.02</x:v>
      </x:c>
      <x:c r="K301" s="23" t="n">
        <x:f>0</x:f>
        <x:v>0</x:v>
      </x:c>
      <x:c r="L301" s="23" t="n">
        <x:f>SUM('117_价格概率传导'!$D$16:$D$16)</x:f>
        <x:v>0.02</x:v>
      </x:c>
      <x:c r="M301" s="23" t="n">
        <x:f>MAX(0,MIN(H301,L301)-MAX(G301,K301))</x:f>
        <x:v>0</x:v>
      </x:c>
      <x:c r="N301" s="23" t="n">
        <x:f>B301*D301*M301</x:f>
        <x:v>0</x:v>
      </x:c>
      <x:c r="O301" s="460" t="n">
        <x:f>MIN(289900,I301+10000)</x:f>
        <x:v>289900</x:v>
      </x:c>
      <x:c r="P301" s="460" t="n">
        <x:f>O301-30000</x:f>
        <x:v>259900</x:v>
      </x:c>
      <x:c r="Q301" s="460" t="str">
        <x:f>""</x:f>
      </x:c>
      <x:c r="R301" s="460" t="n">
        <x:f>O301-E301</x:f>
        <x:v>50000</x:v>
      </x:c>
      <x:c r="S301" s="460" t="n">
        <x:f>IF(P301&gt;0,P301-E301,"")</x:f>
        <x:v>20000</x:v>
      </x:c>
      <x:c r="T301" s="460" t="str">
        <x:f>IF(Q301&gt;0,Q301-E301,"")</x:f>
      </x:c>
      <x:c r="U301" s="23" t="n">
        <x:f>IF(R301&lt;30000,N301,0)</x:f>
        <x:v>0</x:v>
      </x:c>
      <x:c r="V301" s="23" t="n">
        <x:f>IF(P301&gt;0,N301,0)</x:f>
        <x:v>0</x:v>
      </x:c>
      <x:c r="W301" s="23" t="n">
        <x:f>IF(AND(P301&gt;0,S301&lt;0),N301,0)</x:f>
        <x:v>0</x:v>
      </x:c>
      <x:c r="X301" s="23" t="n">
        <x:f>IF(AND(P301&gt;0,S301=0),N301,0)</x:f>
        <x:v>0</x:v>
      </x:c>
      <x:c r="Y301" s="23" t="n">
        <x:f>IF(Q301&gt;0,N301,0)</x:f>
        <x:v>0</x:v>
      </x:c>
      <x:c r="Z301" s="460" t="n">
        <x:f>IF(P301&gt;0,N301*S301,0)</x:f>
        <x:v>0</x:v>
      </x:c>
      <x:c r="AA301" s="460" t="n">
        <x:f>IF(Q301&gt;0,N301*T301,0)</x:f>
        <x:v>0</x:v>
      </x:c>
      <x:c r="AB301" s="460" t="n">
        <x:f>N301*R301</x:f>
        <x:v>0</x:v>
      </x:c>
      <x:c r="AC301" s="460" t="n">
        <x:f>IF(N301&gt;0,R301,999999)</x:f>
        <x:v>999999</x:v>
      </x:c>
      <x:c r="AD301" s="460" t="n">
        <x:f>IF(AND(N301&gt;0,P301&gt;0),S301,999999)</x:f>
        <x:v>999999</x:v>
      </x:c>
      <x:c r="AE301" s="460" t="n">
        <x:f>IF(AND(N301&gt;0,Q301&gt;0),T301,999999)</x:f>
        <x:v>999999</x:v>
      </x:c>
      <x:c r="AF301" s="23" t="n">
        <x:f>B301*D301*F301*J301</x:f>
        <x:v>0.00034</x:v>
      </x:c>
      <x:c r="AG301" s="23" t="n">
        <x:f>IF(P301&gt;0,AF301,0)</x:f>
        <x:v>0.00034</x:v>
      </x:c>
      <x:c r="AH301" s="23" t="n">
        <x:f>IF(AND(P301&gt;0,S301&lt;0),AF301,0)</x:f>
        <x:v>0</x:v>
      </x:c>
      <x:c r="AI301" s="23" t="n">
        <x:f>IF(AND(P301&gt;0,S301=0),AF301,0)</x:f>
        <x:v>0</x:v>
      </x:c>
      <x:c r="AJ301" s="23" t="n">
        <x:f>IF(R301&lt;30000,AF301,0)</x:f>
        <x:v>0</x:v>
      </x:c>
      <x:c r="AK301" s="460" t="n">
        <x:f>IF(P301&gt;0,AF301*S301,0)</x:f>
        <x:v>6.800000000000001</x:v>
      </x:c>
    </x:row>
    <x:row r="302" ht="22" customHeight="1">
      <x:c r="A302" s="643" t="str">
        <x:v>中心</x:v>
      </x:c>
      <x:c r="B302" s="648" t="n">
        <x:f>'114_降本系数'!B27</x:f>
        <x:v>0.5</x:v>
      </x:c>
      <x:c r="C302" s="643" t="str">
        <x:v>L1B</x:v>
      </x:c>
      <x:c r="D302" s="648" t="n">
        <x:f>'130_联合算法'!C18</x:f>
        <x:v>0.1</x:v>
      </x:c>
      <x:c r="E302" s="647" t="n">
        <x:f>'117_价格概率传导'!A9</x:f>
        <x:v>239900</x:v>
      </x:c>
      <x:c r="F302" s="648" t="n">
        <x:f>'117_价格概率传导'!D9</x:f>
        <x:v>0.34</x:v>
      </x:c>
      <x:c r="G302" s="648" t="n">
        <x:f>SUM('117_价格概率传导'!$D$6:$D$8)</x:f>
        <x:v>0.5</x:v>
      </x:c>
      <x:c r="H302" s="648" t="n">
        <x:f>SUM('117_价格概率传导'!$D$6:$D$9)</x:f>
        <x:v>0.8400000000000001</x:v>
      </x:c>
      <x:c r="I302" s="647" t="n">
        <x:f>'117_价格概率传导'!A17</x:f>
        <x:v>293900</x:v>
      </x:c>
      <x:c r="J302" s="648" t="n">
        <x:f>'117_价格概率传导'!D17</x:f>
        <x:v>0.03</x:v>
      </x:c>
      <x:c r="K302" s="648" t="n">
        <x:f>SUM('117_价格概率传导'!$D$16:$D$16)</x:f>
        <x:v>0.02</x:v>
      </x:c>
      <x:c r="L302" s="648" t="n">
        <x:f>SUM('117_价格概率传导'!$D$16:$D$17)</x:f>
        <x:v>0.05</x:v>
      </x:c>
      <x:c r="M302" s="648" t="n">
        <x:f>MAX(0,MIN(H302,L302)-MAX(G302,K302))</x:f>
        <x:v>0</x:v>
      </x:c>
      <x:c r="N302" s="648" t="n">
        <x:f>B302*D302*M302</x:f>
        <x:v>0</x:v>
      </x:c>
      <x:c r="O302" s="647" t="n">
        <x:f>MIN(289900,I302+10000)</x:f>
        <x:v>289900</x:v>
      </x:c>
      <x:c r="P302" s="647" t="n">
        <x:f>O302-30000</x:f>
        <x:v>259900</x:v>
      </x:c>
      <x:c r="Q302" s="647" t="str">
        <x:f>""</x:f>
      </x:c>
      <x:c r="R302" s="647" t="n">
        <x:f>O302-E302</x:f>
        <x:v>50000</x:v>
      </x:c>
      <x:c r="S302" s="647" t="n">
        <x:f>IF(P302&gt;0,P302-E302,"")</x:f>
        <x:v>20000</x:v>
      </x:c>
      <x:c r="T302" s="647" t="str">
        <x:f>IF(Q302&gt;0,Q302-E302,"")</x:f>
      </x:c>
      <x:c r="U302" s="648" t="n">
        <x:f>IF(R302&lt;30000,N302,0)</x:f>
        <x:v>0</x:v>
      </x:c>
      <x:c r="V302" s="648" t="n">
        <x:f>IF(P302&gt;0,N302,0)</x:f>
        <x:v>0</x:v>
      </x:c>
      <x:c r="W302" s="648" t="n">
        <x:f>IF(AND(P302&gt;0,S302&lt;0),N302,0)</x:f>
        <x:v>0</x:v>
      </x:c>
      <x:c r="X302" s="648" t="n">
        <x:f>IF(AND(P302&gt;0,S302=0),N302,0)</x:f>
        <x:v>0</x:v>
      </x:c>
      <x:c r="Y302" s="648" t="n">
        <x:f>IF(Q302&gt;0,N302,0)</x:f>
        <x:v>0</x:v>
      </x:c>
      <x:c r="Z302" s="647" t="n">
        <x:f>IF(P302&gt;0,N302*S302,0)</x:f>
        <x:v>0</x:v>
      </x:c>
      <x:c r="AA302" s="647" t="n">
        <x:f>IF(Q302&gt;0,N302*T302,0)</x:f>
        <x:v>0</x:v>
      </x:c>
      <x:c r="AB302" s="647" t="n">
        <x:f>N302*R302</x:f>
        <x:v>0</x:v>
      </x:c>
      <x:c r="AC302" s="647" t="n">
        <x:f>IF(N302&gt;0,R302,999999)</x:f>
        <x:v>999999</x:v>
      </x:c>
      <x:c r="AD302" s="647" t="n">
        <x:f>IF(AND(N302&gt;0,P302&gt;0),S302,999999)</x:f>
        <x:v>999999</x:v>
      </x:c>
      <x:c r="AE302" s="647" t="n">
        <x:f>IF(AND(N302&gt;0,Q302&gt;0),T302,999999)</x:f>
        <x:v>999999</x:v>
      </x:c>
      <x:c r="AF302" s="648" t="n">
        <x:f>B302*D302*F302*J302</x:f>
        <x:v>0.00051</x:v>
      </x:c>
      <x:c r="AG302" s="648" t="n">
        <x:f>IF(P302&gt;0,AF302,0)</x:f>
        <x:v>0.00051</x:v>
      </x:c>
      <x:c r="AH302" s="648" t="n">
        <x:f>IF(AND(P302&gt;0,S302&lt;0),AF302,0)</x:f>
        <x:v>0</x:v>
      </x:c>
      <x:c r="AI302" s="648" t="n">
        <x:f>IF(AND(P302&gt;0,S302=0),AF302,0)</x:f>
        <x:v>0</x:v>
      </x:c>
      <x:c r="AJ302" s="648" t="n">
        <x:f>IF(R302&lt;30000,AF302,0)</x:f>
        <x:v>0</x:v>
      </x:c>
      <x:c r="AK302" s="647" t="n">
        <x:f>IF(P302&gt;0,AF302*S302,0)</x:f>
        <x:v>10.200000000000001</x:v>
      </x:c>
    </x:row>
    <x:row r="303" ht="22" customHeight="1">
      <x:c r="A303" s="19" t="str">
        <x:v>中心</x:v>
      </x:c>
      <x:c r="B303" s="23" t="n">
        <x:f>'114_降本系数'!B27</x:f>
        <x:v>0.5</x:v>
      </x:c>
      <x:c r="C303" s="19" t="str">
        <x:v>L1B</x:v>
      </x:c>
      <x:c r="D303" s="23" t="n">
        <x:f>'130_联合算法'!C18</x:f>
        <x:v>0.1</x:v>
      </x:c>
      <x:c r="E303" s="460" t="n">
        <x:f>'117_价格概率传导'!A9</x:f>
        <x:v>239900</x:v>
      </x:c>
      <x:c r="F303" s="23" t="n">
        <x:f>'117_价格概率传导'!D9</x:f>
        <x:v>0.34</x:v>
      </x:c>
      <x:c r="G303" s="23" t="n">
        <x:f>SUM('117_价格概率传导'!$D$6:$D$8)</x:f>
        <x:v>0.5</x:v>
      </x:c>
      <x:c r="H303" s="23" t="n">
        <x:f>SUM('117_价格概率传导'!$D$6:$D$9)</x:f>
        <x:v>0.8400000000000001</x:v>
      </x:c>
      <x:c r="I303" s="460" t="n">
        <x:f>'117_价格概率传导'!A18</x:f>
        <x:v>289900</x:v>
      </x:c>
      <x:c r="J303" s="23" t="n">
        <x:f>'117_价格概率传导'!D18</x:f>
        <x:v>0.22</x:v>
      </x:c>
      <x:c r="K303" s="23" t="n">
        <x:f>SUM('117_价格概率传导'!$D$16:$D$17)</x:f>
        <x:v>0.05</x:v>
      </x:c>
      <x:c r="L303" s="23" t="n">
        <x:f>SUM('117_价格概率传导'!$D$16:$D$18)</x:f>
        <x:v>0.27</x:v>
      </x:c>
      <x:c r="M303" s="23" t="n">
        <x:f>MAX(0,MIN(H303,L303)-MAX(G303,K303))</x:f>
        <x:v>0</x:v>
      </x:c>
      <x:c r="N303" s="23" t="n">
        <x:f>B303*D303*M303</x:f>
        <x:v>0</x:v>
      </x:c>
      <x:c r="O303" s="460" t="n">
        <x:f>MIN(289900,I303+10000)</x:f>
        <x:v>289900</x:v>
      </x:c>
      <x:c r="P303" s="460" t="n">
        <x:f>O303-30000</x:f>
        <x:v>259900</x:v>
      </x:c>
      <x:c r="Q303" s="460" t="str">
        <x:f>""</x:f>
      </x:c>
      <x:c r="R303" s="460" t="n">
        <x:f>O303-E303</x:f>
        <x:v>50000</x:v>
      </x:c>
      <x:c r="S303" s="460" t="n">
        <x:f>IF(P303&gt;0,P303-E303,"")</x:f>
        <x:v>20000</x:v>
      </x:c>
      <x:c r="T303" s="460" t="str">
        <x:f>IF(Q303&gt;0,Q303-E303,"")</x:f>
      </x:c>
      <x:c r="U303" s="23" t="n">
        <x:f>IF(R303&lt;30000,N303,0)</x:f>
        <x:v>0</x:v>
      </x:c>
      <x:c r="V303" s="23" t="n">
        <x:f>IF(P303&gt;0,N303,0)</x:f>
        <x:v>0</x:v>
      </x:c>
      <x:c r="W303" s="23" t="n">
        <x:f>IF(AND(P303&gt;0,S303&lt;0),N303,0)</x:f>
        <x:v>0</x:v>
      </x:c>
      <x:c r="X303" s="23" t="n">
        <x:f>IF(AND(P303&gt;0,S303=0),N303,0)</x:f>
        <x:v>0</x:v>
      </x:c>
      <x:c r="Y303" s="23" t="n">
        <x:f>IF(Q303&gt;0,N303,0)</x:f>
        <x:v>0</x:v>
      </x:c>
      <x:c r="Z303" s="460" t="n">
        <x:f>IF(P303&gt;0,N303*S303,0)</x:f>
        <x:v>0</x:v>
      </x:c>
      <x:c r="AA303" s="460" t="n">
        <x:f>IF(Q303&gt;0,N303*T303,0)</x:f>
        <x:v>0</x:v>
      </x:c>
      <x:c r="AB303" s="460" t="n">
        <x:f>N303*R303</x:f>
        <x:v>0</x:v>
      </x:c>
      <x:c r="AC303" s="460" t="n">
        <x:f>IF(N303&gt;0,R303,999999)</x:f>
        <x:v>999999</x:v>
      </x:c>
      <x:c r="AD303" s="460" t="n">
        <x:f>IF(AND(N303&gt;0,P303&gt;0),S303,999999)</x:f>
        <x:v>999999</x:v>
      </x:c>
      <x:c r="AE303" s="460" t="n">
        <x:f>IF(AND(N303&gt;0,Q303&gt;0),T303,999999)</x:f>
        <x:v>999999</x:v>
      </x:c>
      <x:c r="AF303" s="23" t="n">
        <x:f>B303*D303*F303*J303</x:f>
        <x:v>0.0037400000000000003</x:v>
      </x:c>
      <x:c r="AG303" s="23" t="n">
        <x:f>IF(P303&gt;0,AF303,0)</x:f>
        <x:v>0.0037400000000000003</x:v>
      </x:c>
      <x:c r="AH303" s="23" t="n">
        <x:f>IF(AND(P303&gt;0,S303&lt;0),AF303,0)</x:f>
        <x:v>0</x:v>
      </x:c>
      <x:c r="AI303" s="23" t="n">
        <x:f>IF(AND(P303&gt;0,S303=0),AF303,0)</x:f>
        <x:v>0</x:v>
      </x:c>
      <x:c r="AJ303" s="23" t="n">
        <x:f>IF(R303&lt;30000,AF303,0)</x:f>
        <x:v>0</x:v>
      </x:c>
      <x:c r="AK303" s="460" t="n">
        <x:f>IF(P303&gt;0,AF303*S303,0)</x:f>
        <x:v>74.80000000000001</x:v>
      </x:c>
    </x:row>
    <x:row r="304" ht="22" customHeight="1">
      <x:c r="A304" s="643" t="str">
        <x:v>中心</x:v>
      </x:c>
      <x:c r="B304" s="648" t="n">
        <x:f>'114_降本系数'!B27</x:f>
        <x:v>0.5</x:v>
      </x:c>
      <x:c r="C304" s="643" t="str">
        <x:v>L1B</x:v>
      </x:c>
      <x:c r="D304" s="648" t="n">
        <x:f>'130_联合算法'!C18</x:f>
        <x:v>0.1</x:v>
      </x:c>
      <x:c r="E304" s="647" t="n">
        <x:f>'117_价格概率传导'!A9</x:f>
        <x:v>239900</x:v>
      </x:c>
      <x:c r="F304" s="648" t="n">
        <x:f>'117_价格概率传导'!D9</x:f>
        <x:v>0.34</x:v>
      </x:c>
      <x:c r="G304" s="648" t="n">
        <x:f>SUM('117_价格概率传导'!$D$6:$D$8)</x:f>
        <x:v>0.5</x:v>
      </x:c>
      <x:c r="H304" s="648" t="n">
        <x:f>SUM('117_价格概率传导'!$D$6:$D$9)</x:f>
        <x:v>0.8400000000000001</x:v>
      </x:c>
      <x:c r="I304" s="647" t="n">
        <x:f>'117_价格概率传导'!A19</x:f>
        <x:v>279900</x:v>
      </x:c>
      <x:c r="J304" s="648" t="n">
        <x:f>'117_价格概率传导'!D19</x:f>
        <x:v>0.44</x:v>
      </x:c>
      <x:c r="K304" s="648" t="n">
        <x:f>SUM('117_价格概率传导'!$D$16:$D$18)</x:f>
        <x:v>0.27</x:v>
      </x:c>
      <x:c r="L304" s="648" t="n">
        <x:f>SUM('117_价格概率传导'!$D$16:$D$19)</x:f>
        <x:v>0.71</x:v>
      </x:c>
      <x:c r="M304" s="648" t="n">
        <x:f>MAX(0,MIN(H304,L304)-MAX(G304,K304))</x:f>
        <x:v>0.20999999999999996</x:v>
      </x:c>
      <x:c r="N304" s="648" t="n">
        <x:f>B304*D304*M304</x:f>
        <x:v>0.010499999999999999</x:v>
      </x:c>
      <x:c r="O304" s="647" t="n">
        <x:f>MIN(289900,I304+10000)</x:f>
        <x:v>289900</x:v>
      </x:c>
      <x:c r="P304" s="647" t="n">
        <x:f>O304-30000</x:f>
        <x:v>259900</x:v>
      </x:c>
      <x:c r="Q304" s="647" t="str">
        <x:f>""</x:f>
      </x:c>
      <x:c r="R304" s="647" t="n">
        <x:f>O304-E304</x:f>
        <x:v>50000</x:v>
      </x:c>
      <x:c r="S304" s="647" t="n">
        <x:f>IF(P304&gt;0,P304-E304,"")</x:f>
        <x:v>20000</x:v>
      </x:c>
      <x:c r="T304" s="647" t="str">
        <x:f>IF(Q304&gt;0,Q304-E304,"")</x:f>
      </x:c>
      <x:c r="U304" s="648" t="n">
        <x:f>IF(R304&lt;30000,N304,0)</x:f>
        <x:v>0</x:v>
      </x:c>
      <x:c r="V304" s="648" t="n">
        <x:f>IF(P304&gt;0,N304,0)</x:f>
        <x:v>0.010499999999999999</x:v>
      </x:c>
      <x:c r="W304" s="648" t="n">
        <x:f>IF(AND(P304&gt;0,S304&lt;0),N304,0)</x:f>
        <x:v>0</x:v>
      </x:c>
      <x:c r="X304" s="648" t="n">
        <x:f>IF(AND(P304&gt;0,S304=0),N304,0)</x:f>
        <x:v>0</x:v>
      </x:c>
      <x:c r="Y304" s="648" t="n">
        <x:f>IF(Q304&gt;0,N304,0)</x:f>
        <x:v>0</x:v>
      </x:c>
      <x:c r="Z304" s="647" t="n">
        <x:f>IF(P304&gt;0,N304*S304,0)</x:f>
        <x:v>209.99999999999997</x:v>
      </x:c>
      <x:c r="AA304" s="647" t="n">
        <x:f>IF(Q304&gt;0,N304*T304,0)</x:f>
        <x:v>0</x:v>
      </x:c>
      <x:c r="AB304" s="647" t="n">
        <x:f>N304*R304</x:f>
        <x:v>525</x:v>
      </x:c>
      <x:c r="AC304" s="647" t="n">
        <x:f>IF(N304&gt;0,R304,999999)</x:f>
        <x:v>50000</x:v>
      </x:c>
      <x:c r="AD304" s="647" t="n">
        <x:f>IF(AND(N304&gt;0,P304&gt;0),S304,999999)</x:f>
        <x:v>20000</x:v>
      </x:c>
      <x:c r="AE304" s="647" t="n">
        <x:f>IF(AND(N304&gt;0,Q304&gt;0),T304,999999)</x:f>
        <x:v>999999</x:v>
      </x:c>
      <x:c r="AF304" s="648" t="n">
        <x:f>B304*D304*F304*J304</x:f>
        <x:v>0.0074800000000000005</x:v>
      </x:c>
      <x:c r="AG304" s="648" t="n">
        <x:f>IF(P304&gt;0,AF304,0)</x:f>
        <x:v>0.0074800000000000005</x:v>
      </x:c>
      <x:c r="AH304" s="648" t="n">
        <x:f>IF(AND(P304&gt;0,S304&lt;0),AF304,0)</x:f>
        <x:v>0</x:v>
      </x:c>
      <x:c r="AI304" s="648" t="n">
        <x:f>IF(AND(P304&gt;0,S304=0),AF304,0)</x:f>
        <x:v>0</x:v>
      </x:c>
      <x:c r="AJ304" s="648" t="n">
        <x:f>IF(R304&lt;30000,AF304,0)</x:f>
        <x:v>0</x:v>
      </x:c>
      <x:c r="AK304" s="647" t="n">
        <x:f>IF(P304&gt;0,AF304*S304,0)</x:f>
        <x:v>149.60000000000002</x:v>
      </x:c>
    </x:row>
    <x:row r="305" ht="22" customHeight="1">
      <x:c r="A305" s="19" t="str">
        <x:v>中心</x:v>
      </x:c>
      <x:c r="B305" s="23" t="n">
        <x:f>'114_降本系数'!B27</x:f>
        <x:v>0.5</x:v>
      </x:c>
      <x:c r="C305" s="19" t="str">
        <x:v>L1B</x:v>
      </x:c>
      <x:c r="D305" s="23" t="n">
        <x:f>'130_联合算法'!C18</x:f>
        <x:v>0.1</x:v>
      </x:c>
      <x:c r="E305" s="460" t="n">
        <x:f>'117_价格概率传导'!A9</x:f>
        <x:v>239900</x:v>
      </x:c>
      <x:c r="F305" s="23" t="n">
        <x:f>'117_价格概率传导'!D9</x:f>
        <x:v>0.34</x:v>
      </x:c>
      <x:c r="G305" s="23" t="n">
        <x:f>SUM('117_价格概率传导'!$D$6:$D$8)</x:f>
        <x:v>0.5</x:v>
      </x:c>
      <x:c r="H305" s="23" t="n">
        <x:f>SUM('117_价格概率传导'!$D$6:$D$9)</x:f>
        <x:v>0.8400000000000001</x:v>
      </x:c>
      <x:c r="I305" s="460" t="n">
        <x:f>'117_价格概率传导'!A20</x:f>
        <x:v>269900</x:v>
      </x:c>
      <x:c r="J305" s="23" t="n">
        <x:f>'117_价格概率传导'!D20</x:f>
        <x:v>0.23</x:v>
      </x:c>
      <x:c r="K305" s="23" t="n">
        <x:f>SUM('117_价格概率传导'!$D$16:$D$19)</x:f>
        <x:v>0.71</x:v>
      </x:c>
      <x:c r="L305" s="23" t="n">
        <x:f>SUM('117_价格概率传导'!$D$16:$D$20)</x:f>
        <x:v>0.94</x:v>
      </x:c>
      <x:c r="M305" s="23" t="n">
        <x:f>MAX(0,MIN(H305,L305)-MAX(G305,K305))</x:f>
        <x:v>0.13000000000000012</x:v>
      </x:c>
      <x:c r="N305" s="23" t="n">
        <x:f>B305*D305*M305</x:f>
        <x:v>0.006500000000000006</x:v>
      </x:c>
      <x:c r="O305" s="460" t="n">
        <x:f>MIN(289900,I305+10000)</x:f>
        <x:v>279900</x:v>
      </x:c>
      <x:c r="P305" s="460" t="n">
        <x:f>O305-30000</x:f>
        <x:v>249900</x:v>
      </x:c>
      <x:c r="Q305" s="460" t="str">
        <x:f>""</x:f>
      </x:c>
      <x:c r="R305" s="460" t="n">
        <x:f>O305-E305</x:f>
        <x:v>40000</x:v>
      </x:c>
      <x:c r="S305" s="460" t="n">
        <x:f>IF(P305&gt;0,P305-E305,"")</x:f>
        <x:v>10000</x:v>
      </x:c>
      <x:c r="T305" s="460" t="str">
        <x:f>IF(Q305&gt;0,Q305-E305,"")</x:f>
      </x:c>
      <x:c r="U305" s="23" t="n">
        <x:f>IF(R305&lt;30000,N305,0)</x:f>
        <x:v>0</x:v>
      </x:c>
      <x:c r="V305" s="23" t="n">
        <x:f>IF(P305&gt;0,N305,0)</x:f>
        <x:v>0.006500000000000006</x:v>
      </x:c>
      <x:c r="W305" s="23" t="n">
        <x:f>IF(AND(P305&gt;0,S305&lt;0),N305,0)</x:f>
        <x:v>0</x:v>
      </x:c>
      <x:c r="X305" s="23" t="n">
        <x:f>IF(AND(P305&gt;0,S305=0),N305,0)</x:f>
        <x:v>0</x:v>
      </x:c>
      <x:c r="Y305" s="23" t="n">
        <x:f>IF(Q305&gt;0,N305,0)</x:f>
        <x:v>0</x:v>
      </x:c>
      <x:c r="Z305" s="460" t="n">
        <x:f>IF(P305&gt;0,N305*S305,0)</x:f>
        <x:v>65.00000000000006</x:v>
      </x:c>
      <x:c r="AA305" s="460" t="n">
        <x:f>IF(Q305&gt;0,N305*T305,0)</x:f>
        <x:v>0</x:v>
      </x:c>
      <x:c r="AB305" s="460" t="n">
        <x:f>N305*R305</x:f>
        <x:v>260.0000000000002</x:v>
      </x:c>
      <x:c r="AC305" s="460" t="n">
        <x:f>IF(N305&gt;0,R305,999999)</x:f>
        <x:v>40000</x:v>
      </x:c>
      <x:c r="AD305" s="460" t="n">
        <x:f>IF(AND(N305&gt;0,P305&gt;0),S305,999999)</x:f>
        <x:v>10000</x:v>
      </x:c>
      <x:c r="AE305" s="460" t="n">
        <x:f>IF(AND(N305&gt;0,Q305&gt;0),T305,999999)</x:f>
        <x:v>999999</x:v>
      </x:c>
      <x:c r="AF305" s="23" t="n">
        <x:f>B305*D305*F305*J305</x:f>
        <x:v>0.00391</x:v>
      </x:c>
      <x:c r="AG305" s="23" t="n">
        <x:f>IF(P305&gt;0,AF305,0)</x:f>
        <x:v>0.00391</x:v>
      </x:c>
      <x:c r="AH305" s="23" t="n">
        <x:f>IF(AND(P305&gt;0,S305&lt;0),AF305,0)</x:f>
        <x:v>0</x:v>
      </x:c>
      <x:c r="AI305" s="23" t="n">
        <x:f>IF(AND(P305&gt;0,S305=0),AF305,0)</x:f>
        <x:v>0</x:v>
      </x:c>
      <x:c r="AJ305" s="23" t="n">
        <x:f>IF(R305&lt;30000,AF305,0)</x:f>
        <x:v>0</x:v>
      </x:c>
      <x:c r="AK305" s="460" t="n">
        <x:f>IF(P305&gt;0,AF305*S305,0)</x:f>
        <x:v>39.1</x:v>
      </x:c>
    </x:row>
    <x:row r="306" ht="22" customHeight="1">
      <x:c r="A306" s="643" t="str">
        <x:v>中心</x:v>
      </x:c>
      <x:c r="B306" s="648" t="n">
        <x:f>'114_降本系数'!B27</x:f>
        <x:v>0.5</x:v>
      </x:c>
      <x:c r="C306" s="643" t="str">
        <x:v>L1B</x:v>
      </x:c>
      <x:c r="D306" s="648" t="n">
        <x:f>'130_联合算法'!C18</x:f>
        <x:v>0.1</x:v>
      </x:c>
      <x:c r="E306" s="647" t="n">
        <x:f>'117_价格概率传导'!A9</x:f>
        <x:v>239900</x:v>
      </x:c>
      <x:c r="F306" s="648" t="n">
        <x:f>'117_价格概率传导'!D9</x:f>
        <x:v>0.34</x:v>
      </x:c>
      <x:c r="G306" s="648" t="n">
        <x:f>SUM('117_价格概率传导'!$D$6:$D$8)</x:f>
        <x:v>0.5</x:v>
      </x:c>
      <x:c r="H306" s="648" t="n">
        <x:f>SUM('117_价格概率传导'!$D$6:$D$9)</x:f>
        <x:v>0.8400000000000001</x:v>
      </x:c>
      <x:c r="I306" s="647" t="n">
        <x:f>'117_价格概率传导'!A21</x:f>
        <x:v>259900</x:v>
      </x:c>
      <x:c r="J306" s="648" t="n">
        <x:f>'117_价格概率传导'!D21</x:f>
        <x:v>0.06</x:v>
      </x:c>
      <x:c r="K306" s="648" t="n">
        <x:f>SUM('117_价格概率传导'!$D$16:$D$20)</x:f>
        <x:v>0.94</x:v>
      </x:c>
      <x:c r="L306" s="648" t="n">
        <x:f>SUM('117_价格概率传导'!$D$16:$D$21)</x:f>
        <x:v>1</x:v>
      </x:c>
      <x:c r="M306" s="648" t="n">
        <x:f>MAX(0,MIN(H306,L306)-MAX(G306,K306))</x:f>
        <x:v>0</x:v>
      </x:c>
      <x:c r="N306" s="648" t="n">
        <x:f>B306*D306*M306</x:f>
        <x:v>0</x:v>
      </x:c>
      <x:c r="O306" s="647" t="n">
        <x:f>MIN(289900,I306+10000)</x:f>
        <x:v>269900</x:v>
      </x:c>
      <x:c r="P306" s="647" t="n">
        <x:f>O306-30000</x:f>
        <x:v>239900</x:v>
      </x:c>
      <x:c r="Q306" s="647" t="str">
        <x:f>""</x:f>
      </x:c>
      <x:c r="R306" s="647" t="n">
        <x:f>O306-E306</x:f>
        <x:v>30000</x:v>
      </x:c>
      <x:c r="S306" s="647" t="n">
        <x:f>IF(P306&gt;0,P306-E306,"")</x:f>
        <x:v>0</x:v>
      </x:c>
      <x:c r="T306" s="647" t="str">
        <x:f>IF(Q306&gt;0,Q306-E306,"")</x:f>
      </x:c>
      <x:c r="U306" s="648" t="n">
        <x:f>IF(R306&lt;30000,N306,0)</x:f>
        <x:v>0</x:v>
      </x:c>
      <x:c r="V306" s="648" t="n">
        <x:f>IF(P306&gt;0,N306,0)</x:f>
        <x:v>0</x:v>
      </x:c>
      <x:c r="W306" s="648" t="n">
        <x:f>IF(AND(P306&gt;0,S306&lt;0),N306,0)</x:f>
        <x:v>0</x:v>
      </x:c>
      <x:c r="X306" s="648" t="n">
        <x:f>IF(AND(P306&gt;0,S306=0),N306,0)</x:f>
        <x:v>0</x:v>
      </x:c>
      <x:c r="Y306" s="648" t="n">
        <x:f>IF(Q306&gt;0,N306,0)</x:f>
        <x:v>0</x:v>
      </x:c>
      <x:c r="Z306" s="647" t="n">
        <x:f>IF(P306&gt;0,N306*S306,0)</x:f>
        <x:v>0</x:v>
      </x:c>
      <x:c r="AA306" s="647" t="n">
        <x:f>IF(Q306&gt;0,N306*T306,0)</x:f>
        <x:v>0</x:v>
      </x:c>
      <x:c r="AB306" s="647" t="n">
        <x:f>N306*R306</x:f>
        <x:v>0</x:v>
      </x:c>
      <x:c r="AC306" s="647" t="n">
        <x:f>IF(N306&gt;0,R306,999999)</x:f>
        <x:v>999999</x:v>
      </x:c>
      <x:c r="AD306" s="647" t="n">
        <x:f>IF(AND(N306&gt;0,P306&gt;0),S306,999999)</x:f>
        <x:v>999999</x:v>
      </x:c>
      <x:c r="AE306" s="647" t="n">
        <x:f>IF(AND(N306&gt;0,Q306&gt;0),T306,999999)</x:f>
        <x:v>999999</x:v>
      </x:c>
      <x:c r="AF306" s="648" t="n">
        <x:f>B306*D306*F306*J306</x:f>
        <x:v>0.00102</x:v>
      </x:c>
      <x:c r="AG306" s="648" t="n">
        <x:f>IF(P306&gt;0,AF306,0)</x:f>
        <x:v>0.00102</x:v>
      </x:c>
      <x:c r="AH306" s="648" t="n">
        <x:f>IF(AND(P306&gt;0,S306&lt;0),AF306,0)</x:f>
        <x:v>0</x:v>
      </x:c>
      <x:c r="AI306" s="648" t="n">
        <x:f>IF(AND(P306&gt;0,S306=0),AF306,0)</x:f>
        <x:v>0.00102</x:v>
      </x:c>
      <x:c r="AJ306" s="648" t="n">
        <x:f>IF(R306&lt;30000,AF306,0)</x:f>
        <x:v>0</x:v>
      </x:c>
      <x:c r="AK306" s="647" t="n">
        <x:f>IF(P306&gt;0,AF306*S306,0)</x:f>
        <x:v>0</x:v>
      </x:c>
    </x:row>
    <x:row r="307" ht="22" customHeight="1">
      <x:c r="A307" s="19" t="str">
        <x:v>中心</x:v>
      </x:c>
      <x:c r="B307" s="23" t="n">
        <x:f>'114_降本系数'!B27</x:f>
        <x:v>0.5</x:v>
      </x:c>
      <x:c r="C307" s="19" t="str">
        <x:v>L1B</x:v>
      </x:c>
      <x:c r="D307" s="23" t="n">
        <x:f>'130_联合算法'!C18</x:f>
        <x:v>0.1</x:v>
      </x:c>
      <x:c r="E307" s="460" t="n">
        <x:f>'117_价格概率传导'!A10</x:f>
        <x:v>229900</x:v>
      </x:c>
      <x:c r="F307" s="23" t="n">
        <x:f>'117_价格概率传导'!D10</x:f>
        <x:v>0.13</x:v>
      </x:c>
      <x:c r="G307" s="23" t="n">
        <x:f>SUM('117_价格概率传导'!$D$6:$D$9)</x:f>
        <x:v>0.8400000000000001</x:v>
      </x:c>
      <x:c r="H307" s="23" t="n">
        <x:f>SUM('117_价格概率传导'!$D$6:$D$10)</x:f>
        <x:v>0.9700000000000001</x:v>
      </x:c>
      <x:c r="I307" s="460" t="n">
        <x:f>'117_价格概率传导'!A16</x:f>
        <x:v>299900</x:v>
      </x:c>
      <x:c r="J307" s="23" t="n">
        <x:f>'117_价格概率传导'!D16</x:f>
        <x:v>0.02</x:v>
      </x:c>
      <x:c r="K307" s="23" t="n">
        <x:f>0</x:f>
        <x:v>0</x:v>
      </x:c>
      <x:c r="L307" s="23" t="n">
        <x:f>SUM('117_价格概率传导'!$D$16:$D$16)</x:f>
        <x:v>0.02</x:v>
      </x:c>
      <x:c r="M307" s="23" t="n">
        <x:f>MAX(0,MIN(H307,L307)-MAX(G307,K307))</x:f>
        <x:v>0</x:v>
      </x:c>
      <x:c r="N307" s="23" t="n">
        <x:f>B307*D307*M307</x:f>
        <x:v>0</x:v>
      </x:c>
      <x:c r="O307" s="460" t="n">
        <x:f>MIN(289900,I307+10000)</x:f>
        <x:v>289900</x:v>
      </x:c>
      <x:c r="P307" s="460" t="n">
        <x:f>O307-30000</x:f>
        <x:v>259900</x:v>
      </x:c>
      <x:c r="Q307" s="460" t="str">
        <x:f>""</x:f>
      </x:c>
      <x:c r="R307" s="460" t="n">
        <x:f>O307-E307</x:f>
        <x:v>60000</x:v>
      </x:c>
      <x:c r="S307" s="460" t="n">
        <x:f>IF(P307&gt;0,P307-E307,"")</x:f>
        <x:v>30000</x:v>
      </x:c>
      <x:c r="T307" s="460" t="str">
        <x:f>IF(Q307&gt;0,Q307-E307,"")</x:f>
      </x:c>
      <x:c r="U307" s="23" t="n">
        <x:f>IF(R307&lt;30000,N307,0)</x:f>
        <x:v>0</x:v>
      </x:c>
      <x:c r="V307" s="23" t="n">
        <x:f>IF(P307&gt;0,N307,0)</x:f>
        <x:v>0</x:v>
      </x:c>
      <x:c r="W307" s="23" t="n">
        <x:f>IF(AND(P307&gt;0,S307&lt;0),N307,0)</x:f>
        <x:v>0</x:v>
      </x:c>
      <x:c r="X307" s="23" t="n">
        <x:f>IF(AND(P307&gt;0,S307=0),N307,0)</x:f>
        <x:v>0</x:v>
      </x:c>
      <x:c r="Y307" s="23" t="n">
        <x:f>IF(Q307&gt;0,N307,0)</x:f>
        <x:v>0</x:v>
      </x:c>
      <x:c r="Z307" s="460" t="n">
        <x:f>IF(P307&gt;0,N307*S307,0)</x:f>
        <x:v>0</x:v>
      </x:c>
      <x:c r="AA307" s="460" t="n">
        <x:f>IF(Q307&gt;0,N307*T307,0)</x:f>
        <x:v>0</x:v>
      </x:c>
      <x:c r="AB307" s="460" t="n">
        <x:f>N307*R307</x:f>
        <x:v>0</x:v>
      </x:c>
      <x:c r="AC307" s="460" t="n">
        <x:f>IF(N307&gt;0,R307,999999)</x:f>
        <x:v>999999</x:v>
      </x:c>
      <x:c r="AD307" s="460" t="n">
        <x:f>IF(AND(N307&gt;0,P307&gt;0),S307,999999)</x:f>
        <x:v>999999</x:v>
      </x:c>
      <x:c r="AE307" s="460" t="n">
        <x:f>IF(AND(N307&gt;0,Q307&gt;0),T307,999999)</x:f>
        <x:v>999999</x:v>
      </x:c>
      <x:c r="AF307" s="23" t="n">
        <x:f>B307*D307*F307*J307</x:f>
        <x:v>0.00013000000000000002</x:v>
      </x:c>
      <x:c r="AG307" s="23" t="n">
        <x:f>IF(P307&gt;0,AF307,0)</x:f>
        <x:v>0.00013000000000000002</x:v>
      </x:c>
      <x:c r="AH307" s="23" t="n">
        <x:f>IF(AND(P307&gt;0,S307&lt;0),AF307,0)</x:f>
        <x:v>0</x:v>
      </x:c>
      <x:c r="AI307" s="23" t="n">
        <x:f>IF(AND(P307&gt;0,S307=0),AF307,0)</x:f>
        <x:v>0</x:v>
      </x:c>
      <x:c r="AJ307" s="23" t="n">
        <x:f>IF(R307&lt;30000,AF307,0)</x:f>
        <x:v>0</x:v>
      </x:c>
      <x:c r="AK307" s="460" t="n">
        <x:f>IF(P307&gt;0,AF307*S307,0)</x:f>
        <x:v>3.9000000000000004</x:v>
      </x:c>
    </x:row>
    <x:row r="308" ht="22" customHeight="1">
      <x:c r="A308" s="643" t="str">
        <x:v>中心</x:v>
      </x:c>
      <x:c r="B308" s="648" t="n">
        <x:f>'114_降本系数'!B27</x:f>
        <x:v>0.5</x:v>
      </x:c>
      <x:c r="C308" s="643" t="str">
        <x:v>L1B</x:v>
      </x:c>
      <x:c r="D308" s="648" t="n">
        <x:f>'130_联合算法'!C18</x:f>
        <x:v>0.1</x:v>
      </x:c>
      <x:c r="E308" s="647" t="n">
        <x:f>'117_价格概率传导'!A10</x:f>
        <x:v>229900</x:v>
      </x:c>
      <x:c r="F308" s="648" t="n">
        <x:f>'117_价格概率传导'!D10</x:f>
        <x:v>0.13</x:v>
      </x:c>
      <x:c r="G308" s="648" t="n">
        <x:f>SUM('117_价格概率传导'!$D$6:$D$9)</x:f>
        <x:v>0.8400000000000001</x:v>
      </x:c>
      <x:c r="H308" s="648" t="n">
        <x:f>SUM('117_价格概率传导'!$D$6:$D$10)</x:f>
        <x:v>0.9700000000000001</x:v>
      </x:c>
      <x:c r="I308" s="647" t="n">
        <x:f>'117_价格概率传导'!A17</x:f>
        <x:v>293900</x:v>
      </x:c>
      <x:c r="J308" s="648" t="n">
        <x:f>'117_价格概率传导'!D17</x:f>
        <x:v>0.03</x:v>
      </x:c>
      <x:c r="K308" s="648" t="n">
        <x:f>SUM('117_价格概率传导'!$D$16:$D$16)</x:f>
        <x:v>0.02</x:v>
      </x:c>
      <x:c r="L308" s="648" t="n">
        <x:f>SUM('117_价格概率传导'!$D$16:$D$17)</x:f>
        <x:v>0.05</x:v>
      </x:c>
      <x:c r="M308" s="648" t="n">
        <x:f>MAX(0,MIN(H308,L308)-MAX(G308,K308))</x:f>
        <x:v>0</x:v>
      </x:c>
      <x:c r="N308" s="648" t="n">
        <x:f>B308*D308*M308</x:f>
        <x:v>0</x:v>
      </x:c>
      <x:c r="O308" s="647" t="n">
        <x:f>MIN(289900,I308+10000)</x:f>
        <x:v>289900</x:v>
      </x:c>
      <x:c r="P308" s="647" t="n">
        <x:f>O308-30000</x:f>
        <x:v>259900</x:v>
      </x:c>
      <x:c r="Q308" s="647" t="str">
        <x:f>""</x:f>
      </x:c>
      <x:c r="R308" s="647" t="n">
        <x:f>O308-E308</x:f>
        <x:v>60000</x:v>
      </x:c>
      <x:c r="S308" s="647" t="n">
        <x:f>IF(P308&gt;0,P308-E308,"")</x:f>
        <x:v>30000</x:v>
      </x:c>
      <x:c r="T308" s="647" t="str">
        <x:f>IF(Q308&gt;0,Q308-E308,"")</x:f>
      </x:c>
      <x:c r="U308" s="648" t="n">
        <x:f>IF(R308&lt;30000,N308,0)</x:f>
        <x:v>0</x:v>
      </x:c>
      <x:c r="V308" s="648" t="n">
        <x:f>IF(P308&gt;0,N308,0)</x:f>
        <x:v>0</x:v>
      </x:c>
      <x:c r="W308" s="648" t="n">
        <x:f>IF(AND(P308&gt;0,S308&lt;0),N308,0)</x:f>
        <x:v>0</x:v>
      </x:c>
      <x:c r="X308" s="648" t="n">
        <x:f>IF(AND(P308&gt;0,S308=0),N308,0)</x:f>
        <x:v>0</x:v>
      </x:c>
      <x:c r="Y308" s="648" t="n">
        <x:f>IF(Q308&gt;0,N308,0)</x:f>
        <x:v>0</x:v>
      </x:c>
      <x:c r="Z308" s="647" t="n">
        <x:f>IF(P308&gt;0,N308*S308,0)</x:f>
        <x:v>0</x:v>
      </x:c>
      <x:c r="AA308" s="647" t="n">
        <x:f>IF(Q308&gt;0,N308*T308,0)</x:f>
        <x:v>0</x:v>
      </x:c>
      <x:c r="AB308" s="647" t="n">
        <x:f>N308*R308</x:f>
        <x:v>0</x:v>
      </x:c>
      <x:c r="AC308" s="647" t="n">
        <x:f>IF(N308&gt;0,R308,999999)</x:f>
        <x:v>999999</x:v>
      </x:c>
      <x:c r="AD308" s="647" t="n">
        <x:f>IF(AND(N308&gt;0,P308&gt;0),S308,999999)</x:f>
        <x:v>999999</x:v>
      </x:c>
      <x:c r="AE308" s="647" t="n">
        <x:f>IF(AND(N308&gt;0,Q308&gt;0),T308,999999)</x:f>
        <x:v>999999</x:v>
      </x:c>
      <x:c r="AF308" s="648" t="n">
        <x:f>B308*D308*F308*J308</x:f>
        <x:v>0.000195</x:v>
      </x:c>
      <x:c r="AG308" s="648" t="n">
        <x:f>IF(P308&gt;0,AF308,0)</x:f>
        <x:v>0.000195</x:v>
      </x:c>
      <x:c r="AH308" s="648" t="n">
        <x:f>IF(AND(P308&gt;0,S308&lt;0),AF308,0)</x:f>
        <x:v>0</x:v>
      </x:c>
      <x:c r="AI308" s="648" t="n">
        <x:f>IF(AND(P308&gt;0,S308=0),AF308,0)</x:f>
        <x:v>0</x:v>
      </x:c>
      <x:c r="AJ308" s="648" t="n">
        <x:f>IF(R308&lt;30000,AF308,0)</x:f>
        <x:v>0</x:v>
      </x:c>
      <x:c r="AK308" s="647" t="n">
        <x:f>IF(P308&gt;0,AF308*S308,0)</x:f>
        <x:v>5.85</x:v>
      </x:c>
    </x:row>
    <x:row r="309" ht="22" customHeight="1">
      <x:c r="A309" s="19" t="str">
        <x:v>中心</x:v>
      </x:c>
      <x:c r="B309" s="23" t="n">
        <x:f>'114_降本系数'!B27</x:f>
        <x:v>0.5</x:v>
      </x:c>
      <x:c r="C309" s="19" t="str">
        <x:v>L1B</x:v>
      </x:c>
      <x:c r="D309" s="23" t="n">
        <x:f>'130_联合算法'!C18</x:f>
        <x:v>0.1</x:v>
      </x:c>
      <x:c r="E309" s="460" t="n">
        <x:f>'117_价格概率传导'!A10</x:f>
        <x:v>229900</x:v>
      </x:c>
      <x:c r="F309" s="23" t="n">
        <x:f>'117_价格概率传导'!D10</x:f>
        <x:v>0.13</x:v>
      </x:c>
      <x:c r="G309" s="23" t="n">
        <x:f>SUM('117_价格概率传导'!$D$6:$D$9)</x:f>
        <x:v>0.8400000000000001</x:v>
      </x:c>
      <x:c r="H309" s="23" t="n">
        <x:f>SUM('117_价格概率传导'!$D$6:$D$10)</x:f>
        <x:v>0.9700000000000001</x:v>
      </x:c>
      <x:c r="I309" s="460" t="n">
        <x:f>'117_价格概率传导'!A18</x:f>
        <x:v>289900</x:v>
      </x:c>
      <x:c r="J309" s="23" t="n">
        <x:f>'117_价格概率传导'!D18</x:f>
        <x:v>0.22</x:v>
      </x:c>
      <x:c r="K309" s="23" t="n">
        <x:f>SUM('117_价格概率传导'!$D$16:$D$17)</x:f>
        <x:v>0.05</x:v>
      </x:c>
      <x:c r="L309" s="23" t="n">
        <x:f>SUM('117_价格概率传导'!$D$16:$D$18)</x:f>
        <x:v>0.27</x:v>
      </x:c>
      <x:c r="M309" s="23" t="n">
        <x:f>MAX(0,MIN(H309,L309)-MAX(G309,K309))</x:f>
        <x:v>0</x:v>
      </x:c>
      <x:c r="N309" s="23" t="n">
        <x:f>B309*D309*M309</x:f>
        <x:v>0</x:v>
      </x:c>
      <x:c r="O309" s="460" t="n">
        <x:f>MIN(289900,I309+10000)</x:f>
        <x:v>289900</x:v>
      </x:c>
      <x:c r="P309" s="460" t="n">
        <x:f>O309-30000</x:f>
        <x:v>259900</x:v>
      </x:c>
      <x:c r="Q309" s="460" t="str">
        <x:f>""</x:f>
      </x:c>
      <x:c r="R309" s="460" t="n">
        <x:f>O309-E309</x:f>
        <x:v>60000</x:v>
      </x:c>
      <x:c r="S309" s="460" t="n">
        <x:f>IF(P309&gt;0,P309-E309,"")</x:f>
        <x:v>30000</x:v>
      </x:c>
      <x:c r="T309" s="460" t="str">
        <x:f>IF(Q309&gt;0,Q309-E309,"")</x:f>
      </x:c>
      <x:c r="U309" s="23" t="n">
        <x:f>IF(R309&lt;30000,N309,0)</x:f>
        <x:v>0</x:v>
      </x:c>
      <x:c r="V309" s="23" t="n">
        <x:f>IF(P309&gt;0,N309,0)</x:f>
        <x:v>0</x:v>
      </x:c>
      <x:c r="W309" s="23" t="n">
        <x:f>IF(AND(P309&gt;0,S309&lt;0),N309,0)</x:f>
        <x:v>0</x:v>
      </x:c>
      <x:c r="X309" s="23" t="n">
        <x:f>IF(AND(P309&gt;0,S309=0),N309,0)</x:f>
        <x:v>0</x:v>
      </x:c>
      <x:c r="Y309" s="23" t="n">
        <x:f>IF(Q309&gt;0,N309,0)</x:f>
        <x:v>0</x:v>
      </x:c>
      <x:c r="Z309" s="460" t="n">
        <x:f>IF(P309&gt;0,N309*S309,0)</x:f>
        <x:v>0</x:v>
      </x:c>
      <x:c r="AA309" s="460" t="n">
        <x:f>IF(Q309&gt;0,N309*T309,0)</x:f>
        <x:v>0</x:v>
      </x:c>
      <x:c r="AB309" s="460" t="n">
        <x:f>N309*R309</x:f>
        <x:v>0</x:v>
      </x:c>
      <x:c r="AC309" s="460" t="n">
        <x:f>IF(N309&gt;0,R309,999999)</x:f>
        <x:v>999999</x:v>
      </x:c>
      <x:c r="AD309" s="460" t="n">
        <x:f>IF(AND(N309&gt;0,P309&gt;0),S309,999999)</x:f>
        <x:v>999999</x:v>
      </x:c>
      <x:c r="AE309" s="460" t="n">
        <x:f>IF(AND(N309&gt;0,Q309&gt;0),T309,999999)</x:f>
        <x:v>999999</x:v>
      </x:c>
      <x:c r="AF309" s="23" t="n">
        <x:f>B309*D309*F309*J309</x:f>
        <x:v>0.00143</x:v>
      </x:c>
      <x:c r="AG309" s="23" t="n">
        <x:f>IF(P309&gt;0,AF309,0)</x:f>
        <x:v>0.00143</x:v>
      </x:c>
      <x:c r="AH309" s="23" t="n">
        <x:f>IF(AND(P309&gt;0,S309&lt;0),AF309,0)</x:f>
        <x:v>0</x:v>
      </x:c>
      <x:c r="AI309" s="23" t="n">
        <x:f>IF(AND(P309&gt;0,S309=0),AF309,0)</x:f>
        <x:v>0</x:v>
      </x:c>
      <x:c r="AJ309" s="23" t="n">
        <x:f>IF(R309&lt;30000,AF309,0)</x:f>
        <x:v>0</x:v>
      </x:c>
      <x:c r="AK309" s="460" t="n">
        <x:f>IF(P309&gt;0,AF309*S309,0)</x:f>
        <x:v>42.9</x:v>
      </x:c>
    </x:row>
    <x:row r="310" ht="22" customHeight="1">
      <x:c r="A310" s="643" t="str">
        <x:v>中心</x:v>
      </x:c>
      <x:c r="B310" s="648" t="n">
        <x:f>'114_降本系数'!B27</x:f>
        <x:v>0.5</x:v>
      </x:c>
      <x:c r="C310" s="643" t="str">
        <x:v>L1B</x:v>
      </x:c>
      <x:c r="D310" s="648" t="n">
        <x:f>'130_联合算法'!C18</x:f>
        <x:v>0.1</x:v>
      </x:c>
      <x:c r="E310" s="647" t="n">
        <x:f>'117_价格概率传导'!A10</x:f>
        <x:v>229900</x:v>
      </x:c>
      <x:c r="F310" s="648" t="n">
        <x:f>'117_价格概率传导'!D10</x:f>
        <x:v>0.13</x:v>
      </x:c>
      <x:c r="G310" s="648" t="n">
        <x:f>SUM('117_价格概率传导'!$D$6:$D$9)</x:f>
        <x:v>0.8400000000000001</x:v>
      </x:c>
      <x:c r="H310" s="648" t="n">
        <x:f>SUM('117_价格概率传导'!$D$6:$D$10)</x:f>
        <x:v>0.9700000000000001</x:v>
      </x:c>
      <x:c r="I310" s="647" t="n">
        <x:f>'117_价格概率传导'!A19</x:f>
        <x:v>279900</x:v>
      </x:c>
      <x:c r="J310" s="648" t="n">
        <x:f>'117_价格概率传导'!D19</x:f>
        <x:v>0.44</x:v>
      </x:c>
      <x:c r="K310" s="648" t="n">
        <x:f>SUM('117_价格概率传导'!$D$16:$D$18)</x:f>
        <x:v>0.27</x:v>
      </x:c>
      <x:c r="L310" s="648" t="n">
        <x:f>SUM('117_价格概率传导'!$D$16:$D$19)</x:f>
        <x:v>0.71</x:v>
      </x:c>
      <x:c r="M310" s="648" t="n">
        <x:f>MAX(0,MIN(H310,L310)-MAX(G310,K310))</x:f>
        <x:v>0</x:v>
      </x:c>
      <x:c r="N310" s="648" t="n">
        <x:f>B310*D310*M310</x:f>
        <x:v>0</x:v>
      </x:c>
      <x:c r="O310" s="647" t="n">
        <x:f>MIN(289900,I310+10000)</x:f>
        <x:v>289900</x:v>
      </x:c>
      <x:c r="P310" s="647" t="n">
        <x:f>O310-30000</x:f>
        <x:v>259900</x:v>
      </x:c>
      <x:c r="Q310" s="647" t="str">
        <x:f>""</x:f>
      </x:c>
      <x:c r="R310" s="647" t="n">
        <x:f>O310-E310</x:f>
        <x:v>60000</x:v>
      </x:c>
      <x:c r="S310" s="647" t="n">
        <x:f>IF(P310&gt;0,P310-E310,"")</x:f>
        <x:v>30000</x:v>
      </x:c>
      <x:c r="T310" s="647" t="str">
        <x:f>IF(Q310&gt;0,Q310-E310,"")</x:f>
      </x:c>
      <x:c r="U310" s="648" t="n">
        <x:f>IF(R310&lt;30000,N310,0)</x:f>
        <x:v>0</x:v>
      </x:c>
      <x:c r="V310" s="648" t="n">
        <x:f>IF(P310&gt;0,N310,0)</x:f>
        <x:v>0</x:v>
      </x:c>
      <x:c r="W310" s="648" t="n">
        <x:f>IF(AND(P310&gt;0,S310&lt;0),N310,0)</x:f>
        <x:v>0</x:v>
      </x:c>
      <x:c r="X310" s="648" t="n">
        <x:f>IF(AND(P310&gt;0,S310=0),N310,0)</x:f>
        <x:v>0</x:v>
      </x:c>
      <x:c r="Y310" s="648" t="n">
        <x:f>IF(Q310&gt;0,N310,0)</x:f>
        <x:v>0</x:v>
      </x:c>
      <x:c r="Z310" s="647" t="n">
        <x:f>IF(P310&gt;0,N310*S310,0)</x:f>
        <x:v>0</x:v>
      </x:c>
      <x:c r="AA310" s="647" t="n">
        <x:f>IF(Q310&gt;0,N310*T310,0)</x:f>
        <x:v>0</x:v>
      </x:c>
      <x:c r="AB310" s="647" t="n">
        <x:f>N310*R310</x:f>
        <x:v>0</x:v>
      </x:c>
      <x:c r="AC310" s="647" t="n">
        <x:f>IF(N310&gt;0,R310,999999)</x:f>
        <x:v>999999</x:v>
      </x:c>
      <x:c r="AD310" s="647" t="n">
        <x:f>IF(AND(N310&gt;0,P310&gt;0),S310,999999)</x:f>
        <x:v>999999</x:v>
      </x:c>
      <x:c r="AE310" s="647" t="n">
        <x:f>IF(AND(N310&gt;0,Q310&gt;0),T310,999999)</x:f>
        <x:v>999999</x:v>
      </x:c>
      <x:c r="AF310" s="648" t="n">
        <x:f>B310*D310*F310*J310</x:f>
        <x:v>0.00286</x:v>
      </x:c>
      <x:c r="AG310" s="648" t="n">
        <x:f>IF(P310&gt;0,AF310,0)</x:f>
        <x:v>0.00286</x:v>
      </x:c>
      <x:c r="AH310" s="648" t="n">
        <x:f>IF(AND(P310&gt;0,S310&lt;0),AF310,0)</x:f>
        <x:v>0</x:v>
      </x:c>
      <x:c r="AI310" s="648" t="n">
        <x:f>IF(AND(P310&gt;0,S310=0),AF310,0)</x:f>
        <x:v>0</x:v>
      </x:c>
      <x:c r="AJ310" s="648" t="n">
        <x:f>IF(R310&lt;30000,AF310,0)</x:f>
        <x:v>0</x:v>
      </x:c>
      <x:c r="AK310" s="647" t="n">
        <x:f>IF(P310&gt;0,AF310*S310,0)</x:f>
        <x:v>85.8</x:v>
      </x:c>
    </x:row>
    <x:row r="311" ht="22" customHeight="1">
      <x:c r="A311" s="19" t="str">
        <x:v>中心</x:v>
      </x:c>
      <x:c r="B311" s="23" t="n">
        <x:f>'114_降本系数'!B27</x:f>
        <x:v>0.5</x:v>
      </x:c>
      <x:c r="C311" s="19" t="str">
        <x:v>L1B</x:v>
      </x:c>
      <x:c r="D311" s="23" t="n">
        <x:f>'130_联合算法'!C18</x:f>
        <x:v>0.1</x:v>
      </x:c>
      <x:c r="E311" s="460" t="n">
        <x:f>'117_价格概率传导'!A10</x:f>
        <x:v>229900</x:v>
      </x:c>
      <x:c r="F311" s="23" t="n">
        <x:f>'117_价格概率传导'!D10</x:f>
        <x:v>0.13</x:v>
      </x:c>
      <x:c r="G311" s="23" t="n">
        <x:f>SUM('117_价格概率传导'!$D$6:$D$9)</x:f>
        <x:v>0.8400000000000001</x:v>
      </x:c>
      <x:c r="H311" s="23" t="n">
        <x:f>SUM('117_价格概率传导'!$D$6:$D$10)</x:f>
        <x:v>0.9700000000000001</x:v>
      </x:c>
      <x:c r="I311" s="460" t="n">
        <x:f>'117_价格概率传导'!A20</x:f>
        <x:v>269900</x:v>
      </x:c>
      <x:c r="J311" s="23" t="n">
        <x:f>'117_价格概率传导'!D20</x:f>
        <x:v>0.23</x:v>
      </x:c>
      <x:c r="K311" s="23" t="n">
        <x:f>SUM('117_价格概率传导'!$D$16:$D$19)</x:f>
        <x:v>0.71</x:v>
      </x:c>
      <x:c r="L311" s="23" t="n">
        <x:f>SUM('117_价格概率传导'!$D$16:$D$20)</x:f>
        <x:v>0.94</x:v>
      </x:c>
      <x:c r="M311" s="23" t="n">
        <x:f>MAX(0,MIN(H311,L311)-MAX(G311,K311))</x:f>
        <x:v>0.09999999999999987</x:v>
      </x:c>
      <x:c r="N311" s="23" t="n">
        <x:f>B311*D311*M311</x:f>
        <x:v>0.004999999999999994</x:v>
      </x:c>
      <x:c r="O311" s="460" t="n">
        <x:f>MIN(289900,I311+10000)</x:f>
        <x:v>279900</x:v>
      </x:c>
      <x:c r="P311" s="460" t="n">
        <x:f>O311-30000</x:f>
        <x:v>249900</x:v>
      </x:c>
      <x:c r="Q311" s="460" t="str">
        <x:f>""</x:f>
      </x:c>
      <x:c r="R311" s="460" t="n">
        <x:f>O311-E311</x:f>
        <x:v>50000</x:v>
      </x:c>
      <x:c r="S311" s="460" t="n">
        <x:f>IF(P311&gt;0,P311-E311,"")</x:f>
        <x:v>20000</x:v>
      </x:c>
      <x:c r="T311" s="460" t="str">
        <x:f>IF(Q311&gt;0,Q311-E311,"")</x:f>
      </x:c>
      <x:c r="U311" s="23" t="n">
        <x:f>IF(R311&lt;30000,N311,0)</x:f>
        <x:v>0</x:v>
      </x:c>
      <x:c r="V311" s="23" t="n">
        <x:f>IF(P311&gt;0,N311,0)</x:f>
        <x:v>0.004999999999999994</x:v>
      </x:c>
      <x:c r="W311" s="23" t="n">
        <x:f>IF(AND(P311&gt;0,S311&lt;0),N311,0)</x:f>
        <x:v>0</x:v>
      </x:c>
      <x:c r="X311" s="23" t="n">
        <x:f>IF(AND(P311&gt;0,S311=0),N311,0)</x:f>
        <x:v>0</x:v>
      </x:c>
      <x:c r="Y311" s="23" t="n">
        <x:f>IF(Q311&gt;0,N311,0)</x:f>
        <x:v>0</x:v>
      </x:c>
      <x:c r="Z311" s="460" t="n">
        <x:f>IF(P311&gt;0,N311*S311,0)</x:f>
        <x:v>99.99999999999989</x:v>
      </x:c>
      <x:c r="AA311" s="460" t="n">
        <x:f>IF(Q311&gt;0,N311*T311,0)</x:f>
        <x:v>0</x:v>
      </x:c>
      <x:c r="AB311" s="460" t="n">
        <x:f>N311*R311</x:f>
        <x:v>249.99999999999972</x:v>
      </x:c>
      <x:c r="AC311" s="460" t="n">
        <x:f>IF(N311&gt;0,R311,999999)</x:f>
        <x:v>50000</x:v>
      </x:c>
      <x:c r="AD311" s="460" t="n">
        <x:f>IF(AND(N311&gt;0,P311&gt;0),S311,999999)</x:f>
        <x:v>20000</x:v>
      </x:c>
      <x:c r="AE311" s="460" t="n">
        <x:f>IF(AND(N311&gt;0,Q311&gt;0),T311,999999)</x:f>
        <x:v>999999</x:v>
      </x:c>
      <x:c r="AF311" s="23" t="n">
        <x:f>B311*D311*F311*J311</x:f>
        <x:v>0.0014950000000000002</x:v>
      </x:c>
      <x:c r="AG311" s="23" t="n">
        <x:f>IF(P311&gt;0,AF311,0)</x:f>
        <x:v>0.0014950000000000002</x:v>
      </x:c>
      <x:c r="AH311" s="23" t="n">
        <x:f>IF(AND(P311&gt;0,S311&lt;0),AF311,0)</x:f>
        <x:v>0</x:v>
      </x:c>
      <x:c r="AI311" s="23" t="n">
        <x:f>IF(AND(P311&gt;0,S311=0),AF311,0)</x:f>
        <x:v>0</x:v>
      </x:c>
      <x:c r="AJ311" s="23" t="n">
        <x:f>IF(R311&lt;30000,AF311,0)</x:f>
        <x:v>0</x:v>
      </x:c>
      <x:c r="AK311" s="460" t="n">
        <x:f>IF(P311&gt;0,AF311*S311,0)</x:f>
        <x:v>29.900000000000006</x:v>
      </x:c>
    </x:row>
    <x:row r="312" ht="22" customHeight="1">
      <x:c r="A312" s="643" t="str">
        <x:v>中心</x:v>
      </x:c>
      <x:c r="B312" s="648" t="n">
        <x:f>'114_降本系数'!B27</x:f>
        <x:v>0.5</x:v>
      </x:c>
      <x:c r="C312" s="643" t="str">
        <x:v>L1B</x:v>
      </x:c>
      <x:c r="D312" s="648" t="n">
        <x:f>'130_联合算法'!C18</x:f>
        <x:v>0.1</x:v>
      </x:c>
      <x:c r="E312" s="647" t="n">
        <x:f>'117_价格概率传导'!A10</x:f>
        <x:v>229900</x:v>
      </x:c>
      <x:c r="F312" s="648" t="n">
        <x:f>'117_价格概率传导'!D10</x:f>
        <x:v>0.13</x:v>
      </x:c>
      <x:c r="G312" s="648" t="n">
        <x:f>SUM('117_价格概率传导'!$D$6:$D$9)</x:f>
        <x:v>0.8400000000000001</x:v>
      </x:c>
      <x:c r="H312" s="648" t="n">
        <x:f>SUM('117_价格概率传导'!$D$6:$D$10)</x:f>
        <x:v>0.9700000000000001</x:v>
      </x:c>
      <x:c r="I312" s="647" t="n">
        <x:f>'117_价格概率传导'!A21</x:f>
        <x:v>259900</x:v>
      </x:c>
      <x:c r="J312" s="648" t="n">
        <x:f>'117_价格概率传导'!D21</x:f>
        <x:v>0.06</x:v>
      </x:c>
      <x:c r="K312" s="648" t="n">
        <x:f>SUM('117_价格概率传导'!$D$16:$D$20)</x:f>
        <x:v>0.94</x:v>
      </x:c>
      <x:c r="L312" s="648" t="n">
        <x:f>SUM('117_价格概率传导'!$D$16:$D$21)</x:f>
        <x:v>1</x:v>
      </x:c>
      <x:c r="M312" s="648" t="n">
        <x:f>MAX(0,MIN(H312,L312)-MAX(G312,K312))</x:f>
        <x:v>0.030000000000000138</x:v>
      </x:c>
      <x:c r="N312" s="648" t="n">
        <x:f>B312*D312*M312</x:f>
        <x:v>0.001500000000000007</x:v>
      </x:c>
      <x:c r="O312" s="647" t="n">
        <x:f>MIN(289900,I312+10000)</x:f>
        <x:v>269900</x:v>
      </x:c>
      <x:c r="P312" s="647" t="n">
        <x:f>O312-30000</x:f>
        <x:v>239900</x:v>
      </x:c>
      <x:c r="Q312" s="647" t="str">
        <x:f>""</x:f>
      </x:c>
      <x:c r="R312" s="647" t="n">
        <x:f>O312-E312</x:f>
        <x:v>40000</x:v>
      </x:c>
      <x:c r="S312" s="647" t="n">
        <x:f>IF(P312&gt;0,P312-E312,"")</x:f>
        <x:v>10000</x:v>
      </x:c>
      <x:c r="T312" s="647" t="str">
        <x:f>IF(Q312&gt;0,Q312-E312,"")</x:f>
      </x:c>
      <x:c r="U312" s="648" t="n">
        <x:f>IF(R312&lt;30000,N312,0)</x:f>
        <x:v>0</x:v>
      </x:c>
      <x:c r="V312" s="648" t="n">
        <x:f>IF(P312&gt;0,N312,0)</x:f>
        <x:v>0.001500000000000007</x:v>
      </x:c>
      <x:c r="W312" s="648" t="n">
        <x:f>IF(AND(P312&gt;0,S312&lt;0),N312,0)</x:f>
        <x:v>0</x:v>
      </x:c>
      <x:c r="X312" s="648" t="n">
        <x:f>IF(AND(P312&gt;0,S312=0),N312,0)</x:f>
        <x:v>0</x:v>
      </x:c>
      <x:c r="Y312" s="648" t="n">
        <x:f>IF(Q312&gt;0,N312,0)</x:f>
        <x:v>0</x:v>
      </x:c>
      <x:c r="Z312" s="647" t="n">
        <x:f>IF(P312&gt;0,N312*S312,0)</x:f>
        <x:v>15.00000000000007</x:v>
      </x:c>
      <x:c r="AA312" s="647" t="n">
        <x:f>IF(Q312&gt;0,N312*T312,0)</x:f>
        <x:v>0</x:v>
      </x:c>
      <x:c r="AB312" s="647" t="n">
        <x:f>N312*R312</x:f>
        <x:v>60.00000000000028</x:v>
      </x:c>
      <x:c r="AC312" s="647" t="n">
        <x:f>IF(N312&gt;0,R312,999999)</x:f>
        <x:v>40000</x:v>
      </x:c>
      <x:c r="AD312" s="647" t="n">
        <x:f>IF(AND(N312&gt;0,P312&gt;0),S312,999999)</x:f>
        <x:v>10000</x:v>
      </x:c>
      <x:c r="AE312" s="647" t="n">
        <x:f>IF(AND(N312&gt;0,Q312&gt;0),T312,999999)</x:f>
        <x:v>999999</x:v>
      </x:c>
      <x:c r="AF312" s="648" t="n">
        <x:f>B312*D312*F312*J312</x:f>
        <x:v>0.00039</x:v>
      </x:c>
      <x:c r="AG312" s="648" t="n">
        <x:f>IF(P312&gt;0,AF312,0)</x:f>
        <x:v>0.00039</x:v>
      </x:c>
      <x:c r="AH312" s="648" t="n">
        <x:f>IF(AND(P312&gt;0,S312&lt;0),AF312,0)</x:f>
        <x:v>0</x:v>
      </x:c>
      <x:c r="AI312" s="648" t="n">
        <x:f>IF(AND(P312&gt;0,S312=0),AF312,0)</x:f>
        <x:v>0</x:v>
      </x:c>
      <x:c r="AJ312" s="648" t="n">
        <x:f>IF(R312&lt;30000,AF312,0)</x:f>
        <x:v>0</x:v>
      </x:c>
      <x:c r="AK312" s="647" t="n">
        <x:f>IF(P312&gt;0,AF312*S312,0)</x:f>
        <x:v>3.9</x:v>
      </x:c>
    </x:row>
    <x:row r="313" ht="22" customHeight="1">
      <x:c r="A313" s="19" t="str">
        <x:v>中心</x:v>
      </x:c>
      <x:c r="B313" s="23" t="n">
        <x:f>'114_降本系数'!B27</x:f>
        <x:v>0.5</x:v>
      </x:c>
      <x:c r="C313" s="19" t="str">
        <x:v>L1B</x:v>
      </x:c>
      <x:c r="D313" s="23" t="n">
        <x:f>'130_联合算法'!C18</x:f>
        <x:v>0.1</x:v>
      </x:c>
      <x:c r="E313" s="460" t="n">
        <x:f>'117_价格概率传导'!A11</x:f>
        <x:v>219900</x:v>
      </x:c>
      <x:c r="F313" s="23" t="n">
        <x:f>'117_价格概率传导'!D11</x:f>
        <x:v>0.03</x:v>
      </x:c>
      <x:c r="G313" s="23" t="n">
        <x:f>SUM('117_价格概率传导'!$D$6:$D$10)</x:f>
        <x:v>0.9700000000000001</x:v>
      </x:c>
      <x:c r="H313" s="23" t="n">
        <x:f>SUM('117_价格概率传导'!$D$6:$D$11)</x:f>
        <x:v>1</x:v>
      </x:c>
      <x:c r="I313" s="460" t="n">
        <x:f>'117_价格概率传导'!A16</x:f>
        <x:v>299900</x:v>
      </x:c>
      <x:c r="J313" s="23" t="n">
        <x:f>'117_价格概率传导'!D16</x:f>
        <x:v>0.02</x:v>
      </x:c>
      <x:c r="K313" s="23" t="n">
        <x:f>0</x:f>
        <x:v>0</x:v>
      </x:c>
      <x:c r="L313" s="23" t="n">
        <x:f>SUM('117_价格概率传导'!$D$16:$D$16)</x:f>
        <x:v>0.02</x:v>
      </x:c>
      <x:c r="M313" s="23" t="n">
        <x:f>MAX(0,MIN(H313,L313)-MAX(G313,K313))</x:f>
        <x:v>0</x:v>
      </x:c>
      <x:c r="N313" s="23" t="n">
        <x:f>B313*D313*M313</x:f>
        <x:v>0</x:v>
      </x:c>
      <x:c r="O313" s="460" t="n">
        <x:f>MIN(289900,I313+10000)</x:f>
        <x:v>289900</x:v>
      </x:c>
      <x:c r="P313" s="460" t="n">
        <x:f>O313-30000</x:f>
        <x:v>259900</x:v>
      </x:c>
      <x:c r="Q313" s="460" t="str">
        <x:f>""</x:f>
      </x:c>
      <x:c r="R313" s="460" t="n">
        <x:f>O313-E313</x:f>
        <x:v>70000</x:v>
      </x:c>
      <x:c r="S313" s="460" t="n">
        <x:f>IF(P313&gt;0,P313-E313,"")</x:f>
        <x:v>40000</x:v>
      </x:c>
      <x:c r="T313" s="460" t="str">
        <x:f>IF(Q313&gt;0,Q313-E313,"")</x:f>
      </x:c>
      <x:c r="U313" s="23" t="n">
        <x:f>IF(R313&lt;30000,N313,0)</x:f>
        <x:v>0</x:v>
      </x:c>
      <x:c r="V313" s="23" t="n">
        <x:f>IF(P313&gt;0,N313,0)</x:f>
        <x:v>0</x:v>
      </x:c>
      <x:c r="W313" s="23" t="n">
        <x:f>IF(AND(P313&gt;0,S313&lt;0),N313,0)</x:f>
        <x:v>0</x:v>
      </x:c>
      <x:c r="X313" s="23" t="n">
        <x:f>IF(AND(P313&gt;0,S313=0),N313,0)</x:f>
        <x:v>0</x:v>
      </x:c>
      <x:c r="Y313" s="23" t="n">
        <x:f>IF(Q313&gt;0,N313,0)</x:f>
        <x:v>0</x:v>
      </x:c>
      <x:c r="Z313" s="460" t="n">
        <x:f>IF(P313&gt;0,N313*S313,0)</x:f>
        <x:v>0</x:v>
      </x:c>
      <x:c r="AA313" s="460" t="n">
        <x:f>IF(Q313&gt;0,N313*T313,0)</x:f>
        <x:v>0</x:v>
      </x:c>
      <x:c r="AB313" s="460" t="n">
        <x:f>N313*R313</x:f>
        <x:v>0</x:v>
      </x:c>
      <x:c r="AC313" s="460" t="n">
        <x:f>IF(N313&gt;0,R313,999999)</x:f>
        <x:v>999999</x:v>
      </x:c>
      <x:c r="AD313" s="460" t="n">
        <x:f>IF(AND(N313&gt;0,P313&gt;0),S313,999999)</x:f>
        <x:v>999999</x:v>
      </x:c>
      <x:c r="AE313" s="460" t="n">
        <x:f>IF(AND(N313&gt;0,Q313&gt;0),T313,999999)</x:f>
        <x:v>999999</x:v>
      </x:c>
      <x:c r="AF313" s="23" t="n">
        <x:f>B313*D313*F313*J313</x:f>
        <x:v>0.00003</x:v>
      </x:c>
      <x:c r="AG313" s="23" t="n">
        <x:f>IF(P313&gt;0,AF313,0)</x:f>
        <x:v>0.00003</x:v>
      </x:c>
      <x:c r="AH313" s="23" t="n">
        <x:f>IF(AND(P313&gt;0,S313&lt;0),AF313,0)</x:f>
        <x:v>0</x:v>
      </x:c>
      <x:c r="AI313" s="23" t="n">
        <x:f>IF(AND(P313&gt;0,S313=0),AF313,0)</x:f>
        <x:v>0</x:v>
      </x:c>
      <x:c r="AJ313" s="23" t="n">
        <x:f>IF(R313&lt;30000,AF313,0)</x:f>
        <x:v>0</x:v>
      </x:c>
      <x:c r="AK313" s="460" t="n">
        <x:f>IF(P313&gt;0,AF313*S313,0)</x:f>
        <x:v>1.2</x:v>
      </x:c>
    </x:row>
    <x:row r="314" ht="22" customHeight="1">
      <x:c r="A314" s="643" t="str">
        <x:v>中心</x:v>
      </x:c>
      <x:c r="B314" s="648" t="n">
        <x:f>'114_降本系数'!B27</x:f>
        <x:v>0.5</x:v>
      </x:c>
      <x:c r="C314" s="643" t="str">
        <x:v>L1B</x:v>
      </x:c>
      <x:c r="D314" s="648" t="n">
        <x:f>'130_联合算法'!C18</x:f>
        <x:v>0.1</x:v>
      </x:c>
      <x:c r="E314" s="647" t="n">
        <x:f>'117_价格概率传导'!A11</x:f>
        <x:v>219900</x:v>
      </x:c>
      <x:c r="F314" s="648" t="n">
        <x:f>'117_价格概率传导'!D11</x:f>
        <x:v>0.03</x:v>
      </x:c>
      <x:c r="G314" s="648" t="n">
        <x:f>SUM('117_价格概率传导'!$D$6:$D$10)</x:f>
        <x:v>0.9700000000000001</x:v>
      </x:c>
      <x:c r="H314" s="648" t="n">
        <x:f>SUM('117_价格概率传导'!$D$6:$D$11)</x:f>
        <x:v>1</x:v>
      </x:c>
      <x:c r="I314" s="647" t="n">
        <x:f>'117_价格概率传导'!A17</x:f>
        <x:v>293900</x:v>
      </x:c>
      <x:c r="J314" s="648" t="n">
        <x:f>'117_价格概率传导'!D17</x:f>
        <x:v>0.03</x:v>
      </x:c>
      <x:c r="K314" s="648" t="n">
        <x:f>SUM('117_价格概率传导'!$D$16:$D$16)</x:f>
        <x:v>0.02</x:v>
      </x:c>
      <x:c r="L314" s="648" t="n">
        <x:f>SUM('117_价格概率传导'!$D$16:$D$17)</x:f>
        <x:v>0.05</x:v>
      </x:c>
      <x:c r="M314" s="648" t="n">
        <x:f>MAX(0,MIN(H314,L314)-MAX(G314,K314))</x:f>
        <x:v>0</x:v>
      </x:c>
      <x:c r="N314" s="648" t="n">
        <x:f>B314*D314*M314</x:f>
        <x:v>0</x:v>
      </x:c>
      <x:c r="O314" s="647" t="n">
        <x:f>MIN(289900,I314+10000)</x:f>
        <x:v>289900</x:v>
      </x:c>
      <x:c r="P314" s="647" t="n">
        <x:f>O314-30000</x:f>
        <x:v>259900</x:v>
      </x:c>
      <x:c r="Q314" s="647" t="str">
        <x:f>""</x:f>
      </x:c>
      <x:c r="R314" s="647" t="n">
        <x:f>O314-E314</x:f>
        <x:v>70000</x:v>
      </x:c>
      <x:c r="S314" s="647" t="n">
        <x:f>IF(P314&gt;0,P314-E314,"")</x:f>
        <x:v>40000</x:v>
      </x:c>
      <x:c r="T314" s="647" t="str">
        <x:f>IF(Q314&gt;0,Q314-E314,"")</x:f>
      </x:c>
      <x:c r="U314" s="648" t="n">
        <x:f>IF(R314&lt;30000,N314,0)</x:f>
        <x:v>0</x:v>
      </x:c>
      <x:c r="V314" s="648" t="n">
        <x:f>IF(P314&gt;0,N314,0)</x:f>
        <x:v>0</x:v>
      </x:c>
      <x:c r="W314" s="648" t="n">
        <x:f>IF(AND(P314&gt;0,S314&lt;0),N314,0)</x:f>
        <x:v>0</x:v>
      </x:c>
      <x:c r="X314" s="648" t="n">
        <x:f>IF(AND(P314&gt;0,S314=0),N314,0)</x:f>
        <x:v>0</x:v>
      </x:c>
      <x:c r="Y314" s="648" t="n">
        <x:f>IF(Q314&gt;0,N314,0)</x:f>
        <x:v>0</x:v>
      </x:c>
      <x:c r="Z314" s="647" t="n">
        <x:f>IF(P314&gt;0,N314*S314,0)</x:f>
        <x:v>0</x:v>
      </x:c>
      <x:c r="AA314" s="647" t="n">
        <x:f>IF(Q314&gt;0,N314*T314,0)</x:f>
        <x:v>0</x:v>
      </x:c>
      <x:c r="AB314" s="647" t="n">
        <x:f>N314*R314</x:f>
        <x:v>0</x:v>
      </x:c>
      <x:c r="AC314" s="647" t="n">
        <x:f>IF(N314&gt;0,R314,999999)</x:f>
        <x:v>999999</x:v>
      </x:c>
      <x:c r="AD314" s="647" t="n">
        <x:f>IF(AND(N314&gt;0,P314&gt;0),S314,999999)</x:f>
        <x:v>999999</x:v>
      </x:c>
      <x:c r="AE314" s="647" t="n">
        <x:f>IF(AND(N314&gt;0,Q314&gt;0),T314,999999)</x:f>
        <x:v>999999</x:v>
      </x:c>
      <x:c r="AF314" s="648" t="n">
        <x:f>B314*D314*F314*J314</x:f>
        <x:v>0.000044999999999999996</x:v>
      </x:c>
      <x:c r="AG314" s="648" t="n">
        <x:f>IF(P314&gt;0,AF314,0)</x:f>
        <x:v>0.000044999999999999996</x:v>
      </x:c>
      <x:c r="AH314" s="648" t="n">
        <x:f>IF(AND(P314&gt;0,S314&lt;0),AF314,0)</x:f>
        <x:v>0</x:v>
      </x:c>
      <x:c r="AI314" s="648" t="n">
        <x:f>IF(AND(P314&gt;0,S314=0),AF314,0)</x:f>
        <x:v>0</x:v>
      </x:c>
      <x:c r="AJ314" s="648" t="n">
        <x:f>IF(R314&lt;30000,AF314,0)</x:f>
        <x:v>0</x:v>
      </x:c>
      <x:c r="AK314" s="647" t="n">
        <x:f>IF(P314&gt;0,AF314*S314,0)</x:f>
        <x:v>1.7999999999999998</x:v>
      </x:c>
    </x:row>
    <x:row r="315" ht="22" customHeight="1">
      <x:c r="A315" s="19" t="str">
        <x:v>中心</x:v>
      </x:c>
      <x:c r="B315" s="23" t="n">
        <x:f>'114_降本系数'!B27</x:f>
        <x:v>0.5</x:v>
      </x:c>
      <x:c r="C315" s="19" t="str">
        <x:v>L1B</x:v>
      </x:c>
      <x:c r="D315" s="23" t="n">
        <x:f>'130_联合算法'!C18</x:f>
        <x:v>0.1</x:v>
      </x:c>
      <x:c r="E315" s="460" t="n">
        <x:f>'117_价格概率传导'!A11</x:f>
        <x:v>219900</x:v>
      </x:c>
      <x:c r="F315" s="23" t="n">
        <x:f>'117_价格概率传导'!D11</x:f>
        <x:v>0.03</x:v>
      </x:c>
      <x:c r="G315" s="23" t="n">
        <x:f>SUM('117_价格概率传导'!$D$6:$D$10)</x:f>
        <x:v>0.9700000000000001</x:v>
      </x:c>
      <x:c r="H315" s="23" t="n">
        <x:f>SUM('117_价格概率传导'!$D$6:$D$11)</x:f>
        <x:v>1</x:v>
      </x:c>
      <x:c r="I315" s="460" t="n">
        <x:f>'117_价格概率传导'!A18</x:f>
        <x:v>289900</x:v>
      </x:c>
      <x:c r="J315" s="23" t="n">
        <x:f>'117_价格概率传导'!D18</x:f>
        <x:v>0.22</x:v>
      </x:c>
      <x:c r="K315" s="23" t="n">
        <x:f>SUM('117_价格概率传导'!$D$16:$D$17)</x:f>
        <x:v>0.05</x:v>
      </x:c>
      <x:c r="L315" s="23" t="n">
        <x:f>SUM('117_价格概率传导'!$D$16:$D$18)</x:f>
        <x:v>0.27</x:v>
      </x:c>
      <x:c r="M315" s="23" t="n">
        <x:f>MAX(0,MIN(H315,L315)-MAX(G315,K315))</x:f>
        <x:v>0</x:v>
      </x:c>
      <x:c r="N315" s="23" t="n">
        <x:f>B315*D315*M315</x:f>
        <x:v>0</x:v>
      </x:c>
      <x:c r="O315" s="460" t="n">
        <x:f>MIN(289900,I315+10000)</x:f>
        <x:v>289900</x:v>
      </x:c>
      <x:c r="P315" s="460" t="n">
        <x:f>O315-30000</x:f>
        <x:v>259900</x:v>
      </x:c>
      <x:c r="Q315" s="460" t="str">
        <x:f>""</x:f>
      </x:c>
      <x:c r="R315" s="460" t="n">
        <x:f>O315-E315</x:f>
        <x:v>70000</x:v>
      </x:c>
      <x:c r="S315" s="460" t="n">
        <x:f>IF(P315&gt;0,P315-E315,"")</x:f>
        <x:v>40000</x:v>
      </x:c>
      <x:c r="T315" s="460" t="str">
        <x:f>IF(Q315&gt;0,Q315-E315,"")</x:f>
      </x:c>
      <x:c r="U315" s="23" t="n">
        <x:f>IF(R315&lt;30000,N315,0)</x:f>
        <x:v>0</x:v>
      </x:c>
      <x:c r="V315" s="23" t="n">
        <x:f>IF(P315&gt;0,N315,0)</x:f>
        <x:v>0</x:v>
      </x:c>
      <x:c r="W315" s="23" t="n">
        <x:f>IF(AND(P315&gt;0,S315&lt;0),N315,0)</x:f>
        <x:v>0</x:v>
      </x:c>
      <x:c r="X315" s="23" t="n">
        <x:f>IF(AND(P315&gt;0,S315=0),N315,0)</x:f>
        <x:v>0</x:v>
      </x:c>
      <x:c r="Y315" s="23" t="n">
        <x:f>IF(Q315&gt;0,N315,0)</x:f>
        <x:v>0</x:v>
      </x:c>
      <x:c r="Z315" s="460" t="n">
        <x:f>IF(P315&gt;0,N315*S315,0)</x:f>
        <x:v>0</x:v>
      </x:c>
      <x:c r="AA315" s="460" t="n">
        <x:f>IF(Q315&gt;0,N315*T315,0)</x:f>
        <x:v>0</x:v>
      </x:c>
      <x:c r="AB315" s="460" t="n">
        <x:f>N315*R315</x:f>
        <x:v>0</x:v>
      </x:c>
      <x:c r="AC315" s="460" t="n">
        <x:f>IF(N315&gt;0,R315,999999)</x:f>
        <x:v>999999</x:v>
      </x:c>
      <x:c r="AD315" s="460" t="n">
        <x:f>IF(AND(N315&gt;0,P315&gt;0),S315,999999)</x:f>
        <x:v>999999</x:v>
      </x:c>
      <x:c r="AE315" s="460" t="n">
        <x:f>IF(AND(N315&gt;0,Q315&gt;0),T315,999999)</x:f>
        <x:v>999999</x:v>
      </x:c>
      <x:c r="AF315" s="23" t="n">
        <x:f>B315*D315*F315*J315</x:f>
        <x:v>0.00033</x:v>
      </x:c>
      <x:c r="AG315" s="23" t="n">
        <x:f>IF(P315&gt;0,AF315,0)</x:f>
        <x:v>0.00033</x:v>
      </x:c>
      <x:c r="AH315" s="23" t="n">
        <x:f>IF(AND(P315&gt;0,S315&lt;0),AF315,0)</x:f>
        <x:v>0</x:v>
      </x:c>
      <x:c r="AI315" s="23" t="n">
        <x:f>IF(AND(P315&gt;0,S315=0),AF315,0)</x:f>
        <x:v>0</x:v>
      </x:c>
      <x:c r="AJ315" s="23" t="n">
        <x:f>IF(R315&lt;30000,AF315,0)</x:f>
        <x:v>0</x:v>
      </x:c>
      <x:c r="AK315" s="460" t="n">
        <x:f>IF(P315&gt;0,AF315*S315,0)</x:f>
        <x:v>13.2</x:v>
      </x:c>
    </x:row>
    <x:row r="316" ht="22" customHeight="1">
      <x:c r="A316" s="643" t="str">
        <x:v>中心</x:v>
      </x:c>
      <x:c r="B316" s="648" t="n">
        <x:f>'114_降本系数'!B27</x:f>
        <x:v>0.5</x:v>
      </x:c>
      <x:c r="C316" s="643" t="str">
        <x:v>L1B</x:v>
      </x:c>
      <x:c r="D316" s="648" t="n">
        <x:f>'130_联合算法'!C18</x:f>
        <x:v>0.1</x:v>
      </x:c>
      <x:c r="E316" s="647" t="n">
        <x:f>'117_价格概率传导'!A11</x:f>
        <x:v>219900</x:v>
      </x:c>
      <x:c r="F316" s="648" t="n">
        <x:f>'117_价格概率传导'!D11</x:f>
        <x:v>0.03</x:v>
      </x:c>
      <x:c r="G316" s="648" t="n">
        <x:f>SUM('117_价格概率传导'!$D$6:$D$10)</x:f>
        <x:v>0.9700000000000001</x:v>
      </x:c>
      <x:c r="H316" s="648" t="n">
        <x:f>SUM('117_价格概率传导'!$D$6:$D$11)</x:f>
        <x:v>1</x:v>
      </x:c>
      <x:c r="I316" s="647" t="n">
        <x:f>'117_价格概率传导'!A19</x:f>
        <x:v>279900</x:v>
      </x:c>
      <x:c r="J316" s="648" t="n">
        <x:f>'117_价格概率传导'!D19</x:f>
        <x:v>0.44</x:v>
      </x:c>
      <x:c r="K316" s="648" t="n">
        <x:f>SUM('117_价格概率传导'!$D$16:$D$18)</x:f>
        <x:v>0.27</x:v>
      </x:c>
      <x:c r="L316" s="648" t="n">
        <x:f>SUM('117_价格概率传导'!$D$16:$D$19)</x:f>
        <x:v>0.71</x:v>
      </x:c>
      <x:c r="M316" s="648" t="n">
        <x:f>MAX(0,MIN(H316,L316)-MAX(G316,K316))</x:f>
        <x:v>0</x:v>
      </x:c>
      <x:c r="N316" s="648" t="n">
        <x:f>B316*D316*M316</x:f>
        <x:v>0</x:v>
      </x:c>
      <x:c r="O316" s="647" t="n">
        <x:f>MIN(289900,I316+10000)</x:f>
        <x:v>289900</x:v>
      </x:c>
      <x:c r="P316" s="647" t="n">
        <x:f>O316-30000</x:f>
        <x:v>259900</x:v>
      </x:c>
      <x:c r="Q316" s="647" t="str">
        <x:f>""</x:f>
      </x:c>
      <x:c r="R316" s="647" t="n">
        <x:f>O316-E316</x:f>
        <x:v>70000</x:v>
      </x:c>
      <x:c r="S316" s="647" t="n">
        <x:f>IF(P316&gt;0,P316-E316,"")</x:f>
        <x:v>40000</x:v>
      </x:c>
      <x:c r="T316" s="647" t="str">
        <x:f>IF(Q316&gt;0,Q316-E316,"")</x:f>
      </x:c>
      <x:c r="U316" s="648" t="n">
        <x:f>IF(R316&lt;30000,N316,0)</x:f>
        <x:v>0</x:v>
      </x:c>
      <x:c r="V316" s="648" t="n">
        <x:f>IF(P316&gt;0,N316,0)</x:f>
        <x:v>0</x:v>
      </x:c>
      <x:c r="W316" s="648" t="n">
        <x:f>IF(AND(P316&gt;0,S316&lt;0),N316,0)</x:f>
        <x:v>0</x:v>
      </x:c>
      <x:c r="X316" s="648" t="n">
        <x:f>IF(AND(P316&gt;0,S316=0),N316,0)</x:f>
        <x:v>0</x:v>
      </x:c>
      <x:c r="Y316" s="648" t="n">
        <x:f>IF(Q316&gt;0,N316,0)</x:f>
        <x:v>0</x:v>
      </x:c>
      <x:c r="Z316" s="647" t="n">
        <x:f>IF(P316&gt;0,N316*S316,0)</x:f>
        <x:v>0</x:v>
      </x:c>
      <x:c r="AA316" s="647" t="n">
        <x:f>IF(Q316&gt;0,N316*T316,0)</x:f>
        <x:v>0</x:v>
      </x:c>
      <x:c r="AB316" s="647" t="n">
        <x:f>N316*R316</x:f>
        <x:v>0</x:v>
      </x:c>
      <x:c r="AC316" s="647" t="n">
        <x:f>IF(N316&gt;0,R316,999999)</x:f>
        <x:v>999999</x:v>
      </x:c>
      <x:c r="AD316" s="647" t="n">
        <x:f>IF(AND(N316&gt;0,P316&gt;0),S316,999999)</x:f>
        <x:v>999999</x:v>
      </x:c>
      <x:c r="AE316" s="647" t="n">
        <x:f>IF(AND(N316&gt;0,Q316&gt;0),T316,999999)</x:f>
        <x:v>999999</x:v>
      </x:c>
      <x:c r="AF316" s="648" t="n">
        <x:f>B316*D316*F316*J316</x:f>
        <x:v>0.00066</x:v>
      </x:c>
      <x:c r="AG316" s="648" t="n">
        <x:f>IF(P316&gt;0,AF316,0)</x:f>
        <x:v>0.00066</x:v>
      </x:c>
      <x:c r="AH316" s="648" t="n">
        <x:f>IF(AND(P316&gt;0,S316&lt;0),AF316,0)</x:f>
        <x:v>0</x:v>
      </x:c>
      <x:c r="AI316" s="648" t="n">
        <x:f>IF(AND(P316&gt;0,S316=0),AF316,0)</x:f>
        <x:v>0</x:v>
      </x:c>
      <x:c r="AJ316" s="648" t="n">
        <x:f>IF(R316&lt;30000,AF316,0)</x:f>
        <x:v>0</x:v>
      </x:c>
      <x:c r="AK316" s="647" t="n">
        <x:f>IF(P316&gt;0,AF316*S316,0)</x:f>
        <x:v>26.4</x:v>
      </x:c>
    </x:row>
    <x:row r="317" ht="22" customHeight="1">
      <x:c r="A317" s="19" t="str">
        <x:v>中心</x:v>
      </x:c>
      <x:c r="B317" s="23" t="n">
        <x:f>'114_降本系数'!B27</x:f>
        <x:v>0.5</x:v>
      </x:c>
      <x:c r="C317" s="19" t="str">
        <x:v>L1B</x:v>
      </x:c>
      <x:c r="D317" s="23" t="n">
        <x:f>'130_联合算法'!C18</x:f>
        <x:v>0.1</x:v>
      </x:c>
      <x:c r="E317" s="460" t="n">
        <x:f>'117_价格概率传导'!A11</x:f>
        <x:v>219900</x:v>
      </x:c>
      <x:c r="F317" s="23" t="n">
        <x:f>'117_价格概率传导'!D11</x:f>
        <x:v>0.03</x:v>
      </x:c>
      <x:c r="G317" s="23" t="n">
        <x:f>SUM('117_价格概率传导'!$D$6:$D$10)</x:f>
        <x:v>0.9700000000000001</x:v>
      </x:c>
      <x:c r="H317" s="23" t="n">
        <x:f>SUM('117_价格概率传导'!$D$6:$D$11)</x:f>
        <x:v>1</x:v>
      </x:c>
      <x:c r="I317" s="460" t="n">
        <x:f>'117_价格概率传导'!A20</x:f>
        <x:v>269900</x:v>
      </x:c>
      <x:c r="J317" s="23" t="n">
        <x:f>'117_价格概率传导'!D20</x:f>
        <x:v>0.23</x:v>
      </x:c>
      <x:c r="K317" s="23" t="n">
        <x:f>SUM('117_价格概率传导'!$D$16:$D$19)</x:f>
        <x:v>0.71</x:v>
      </x:c>
      <x:c r="L317" s="23" t="n">
        <x:f>SUM('117_价格概率传导'!$D$16:$D$20)</x:f>
        <x:v>0.94</x:v>
      </x:c>
      <x:c r="M317" s="23" t="n">
        <x:f>MAX(0,MIN(H317,L317)-MAX(G317,K317))</x:f>
        <x:v>0</x:v>
      </x:c>
      <x:c r="N317" s="23" t="n">
        <x:f>B317*D317*M317</x:f>
        <x:v>0</x:v>
      </x:c>
      <x:c r="O317" s="460" t="n">
        <x:f>MIN(289900,I317+10000)</x:f>
        <x:v>279900</x:v>
      </x:c>
      <x:c r="P317" s="460" t="n">
        <x:f>O317-30000</x:f>
        <x:v>249900</x:v>
      </x:c>
      <x:c r="Q317" s="460" t="str">
        <x:f>""</x:f>
      </x:c>
      <x:c r="R317" s="460" t="n">
        <x:f>O317-E317</x:f>
        <x:v>60000</x:v>
      </x:c>
      <x:c r="S317" s="460" t="n">
        <x:f>IF(P317&gt;0,P317-E317,"")</x:f>
        <x:v>30000</x:v>
      </x:c>
      <x:c r="T317" s="460" t="str">
        <x:f>IF(Q317&gt;0,Q317-E317,"")</x:f>
      </x:c>
      <x:c r="U317" s="23" t="n">
        <x:f>IF(R317&lt;30000,N317,0)</x:f>
        <x:v>0</x:v>
      </x:c>
      <x:c r="V317" s="23" t="n">
        <x:f>IF(P317&gt;0,N317,0)</x:f>
        <x:v>0</x:v>
      </x:c>
      <x:c r="W317" s="23" t="n">
        <x:f>IF(AND(P317&gt;0,S317&lt;0),N317,0)</x:f>
        <x:v>0</x:v>
      </x:c>
      <x:c r="X317" s="23" t="n">
        <x:f>IF(AND(P317&gt;0,S317=0),N317,0)</x:f>
        <x:v>0</x:v>
      </x:c>
      <x:c r="Y317" s="23" t="n">
        <x:f>IF(Q317&gt;0,N317,0)</x:f>
        <x:v>0</x:v>
      </x:c>
      <x:c r="Z317" s="460" t="n">
        <x:f>IF(P317&gt;0,N317*S317,0)</x:f>
        <x:v>0</x:v>
      </x:c>
      <x:c r="AA317" s="460" t="n">
        <x:f>IF(Q317&gt;0,N317*T317,0)</x:f>
        <x:v>0</x:v>
      </x:c>
      <x:c r="AB317" s="460" t="n">
        <x:f>N317*R317</x:f>
        <x:v>0</x:v>
      </x:c>
      <x:c r="AC317" s="460" t="n">
        <x:f>IF(N317&gt;0,R317,999999)</x:f>
        <x:v>999999</x:v>
      </x:c>
      <x:c r="AD317" s="460" t="n">
        <x:f>IF(AND(N317&gt;0,P317&gt;0),S317,999999)</x:f>
        <x:v>999999</x:v>
      </x:c>
      <x:c r="AE317" s="460" t="n">
        <x:f>IF(AND(N317&gt;0,Q317&gt;0),T317,999999)</x:f>
        <x:v>999999</x:v>
      </x:c>
      <x:c r="AF317" s="23" t="n">
        <x:f>B317*D317*F317*J317</x:f>
        <x:v>0.00034500000000000004</x:v>
      </x:c>
      <x:c r="AG317" s="23" t="n">
        <x:f>IF(P317&gt;0,AF317,0)</x:f>
        <x:v>0.00034500000000000004</x:v>
      </x:c>
      <x:c r="AH317" s="23" t="n">
        <x:f>IF(AND(P317&gt;0,S317&lt;0),AF317,0)</x:f>
        <x:v>0</x:v>
      </x:c>
      <x:c r="AI317" s="23" t="n">
        <x:f>IF(AND(P317&gt;0,S317=0),AF317,0)</x:f>
        <x:v>0</x:v>
      </x:c>
      <x:c r="AJ317" s="23" t="n">
        <x:f>IF(R317&lt;30000,AF317,0)</x:f>
        <x:v>0</x:v>
      </x:c>
      <x:c r="AK317" s="460" t="n">
        <x:f>IF(P317&gt;0,AF317*S317,0)</x:f>
        <x:v>10.350000000000001</x:v>
      </x:c>
    </x:row>
    <x:row r="318" ht="22" customHeight="1">
      <x:c r="A318" s="643" t="str">
        <x:v>中心</x:v>
      </x:c>
      <x:c r="B318" s="648" t="n">
        <x:f>'114_降本系数'!B27</x:f>
        <x:v>0.5</x:v>
      </x:c>
      <x:c r="C318" s="643" t="str">
        <x:v>L1B</x:v>
      </x:c>
      <x:c r="D318" s="648" t="n">
        <x:f>'130_联合算法'!C18</x:f>
        <x:v>0.1</x:v>
      </x:c>
      <x:c r="E318" s="647" t="n">
        <x:f>'117_价格概率传导'!A11</x:f>
        <x:v>219900</x:v>
      </x:c>
      <x:c r="F318" s="648" t="n">
        <x:f>'117_价格概率传导'!D11</x:f>
        <x:v>0.03</x:v>
      </x:c>
      <x:c r="G318" s="648" t="n">
        <x:f>SUM('117_价格概率传导'!$D$6:$D$10)</x:f>
        <x:v>0.9700000000000001</x:v>
      </x:c>
      <x:c r="H318" s="648" t="n">
        <x:f>SUM('117_价格概率传导'!$D$6:$D$11)</x:f>
        <x:v>1</x:v>
      </x:c>
      <x:c r="I318" s="647" t="n">
        <x:f>'117_价格概率传导'!A21</x:f>
        <x:v>259900</x:v>
      </x:c>
      <x:c r="J318" s="648" t="n">
        <x:f>'117_价格概率传导'!D21</x:f>
        <x:v>0.06</x:v>
      </x:c>
      <x:c r="K318" s="648" t="n">
        <x:f>SUM('117_价格概率传导'!$D$16:$D$20)</x:f>
        <x:v>0.94</x:v>
      </x:c>
      <x:c r="L318" s="648" t="n">
        <x:f>SUM('117_价格概率传导'!$D$16:$D$21)</x:f>
        <x:v>1</x:v>
      </x:c>
      <x:c r="M318" s="648" t="n">
        <x:f>MAX(0,MIN(H318,L318)-MAX(G318,K318))</x:f>
        <x:v>0.029999999999999916</x:v>
      </x:c>
      <x:c r="N318" s="648" t="n">
        <x:f>B318*D318*M318</x:f>
        <x:v>0.001499999999999996</x:v>
      </x:c>
      <x:c r="O318" s="647" t="n">
        <x:f>MIN(289900,I318+10000)</x:f>
        <x:v>269900</x:v>
      </x:c>
      <x:c r="P318" s="647" t="n">
        <x:f>O318-30000</x:f>
        <x:v>239900</x:v>
      </x:c>
      <x:c r="Q318" s="647" t="str">
        <x:f>""</x:f>
      </x:c>
      <x:c r="R318" s="647" t="n">
        <x:f>O318-E318</x:f>
        <x:v>50000</x:v>
      </x:c>
      <x:c r="S318" s="647" t="n">
        <x:f>IF(P318&gt;0,P318-E318,"")</x:f>
        <x:v>20000</x:v>
      </x:c>
      <x:c r="T318" s="647" t="str">
        <x:f>IF(Q318&gt;0,Q318-E318,"")</x:f>
      </x:c>
      <x:c r="U318" s="648" t="n">
        <x:f>IF(R318&lt;30000,N318,0)</x:f>
        <x:v>0</x:v>
      </x:c>
      <x:c r="V318" s="648" t="n">
        <x:f>IF(P318&gt;0,N318,0)</x:f>
        <x:v>0.001499999999999996</x:v>
      </x:c>
      <x:c r="W318" s="648" t="n">
        <x:f>IF(AND(P318&gt;0,S318&lt;0),N318,0)</x:f>
        <x:v>0</x:v>
      </x:c>
      <x:c r="X318" s="648" t="n">
        <x:f>IF(AND(P318&gt;0,S318=0),N318,0)</x:f>
        <x:v>0</x:v>
      </x:c>
      <x:c r="Y318" s="648" t="n">
        <x:f>IF(Q318&gt;0,N318,0)</x:f>
        <x:v>0</x:v>
      </x:c>
      <x:c r="Z318" s="647" t="n">
        <x:f>IF(P318&gt;0,N318*S318,0)</x:f>
        <x:v>29.99999999999992</x:v>
      </x:c>
      <x:c r="AA318" s="647" t="n">
        <x:f>IF(Q318&gt;0,N318*T318,0)</x:f>
        <x:v>0</x:v>
      </x:c>
      <x:c r="AB318" s="647" t="n">
        <x:f>N318*R318</x:f>
        <x:v>74.9999999999998</x:v>
      </x:c>
      <x:c r="AC318" s="647" t="n">
        <x:f>IF(N318&gt;0,R318,999999)</x:f>
        <x:v>50000</x:v>
      </x:c>
      <x:c r="AD318" s="647" t="n">
        <x:f>IF(AND(N318&gt;0,P318&gt;0),S318,999999)</x:f>
        <x:v>20000</x:v>
      </x:c>
      <x:c r="AE318" s="647" t="n">
        <x:f>IF(AND(N318&gt;0,Q318&gt;0),T318,999999)</x:f>
        <x:v>999999</x:v>
      </x:c>
      <x:c r="AF318" s="648" t="n">
        <x:f>B318*D318*F318*J318</x:f>
        <x:v>0.00008999999999999999</x:v>
      </x:c>
      <x:c r="AG318" s="648" t="n">
        <x:f>IF(P318&gt;0,AF318,0)</x:f>
        <x:v>0.00008999999999999999</x:v>
      </x:c>
      <x:c r="AH318" s="648" t="n">
        <x:f>IF(AND(P318&gt;0,S318&lt;0),AF318,0)</x:f>
        <x:v>0</x:v>
      </x:c>
      <x:c r="AI318" s="648" t="n">
        <x:f>IF(AND(P318&gt;0,S318=0),AF318,0)</x:f>
        <x:v>0</x:v>
      </x:c>
      <x:c r="AJ318" s="648" t="n">
        <x:f>IF(R318&lt;30000,AF318,0)</x:f>
        <x:v>0</x:v>
      </x:c>
      <x:c r="AK318" s="647" t="n">
        <x:f>IF(P318&gt;0,AF318*S318,0)</x:f>
        <x:v>1.7999999999999998</x:v>
      </x:c>
    </x:row>
    <x:row r="319" ht="22" customHeight="1">
      <x:c r="A319" s="19" t="str">
        <x:v>中心</x:v>
      </x:c>
      <x:c r="B319" s="23" t="n">
        <x:f>'114_降本系数'!B27</x:f>
        <x:v>0.5</x:v>
      </x:c>
      <x:c r="C319" s="19" t="str">
        <x:v>L2</x:v>
      </x:c>
      <x:c r="D319" s="23" t="n">
        <x:f>'130_联合算法'!C19</x:f>
        <x:v>0.05</x:v>
      </x:c>
      <x:c r="E319" s="460" t="n">
        <x:f>'117_价格概率传导'!A6</x:f>
        <x:v>259900</x:v>
      </x:c>
      <x:c r="F319" s="23" t="n">
        <x:f>'117_价格概率传导'!D6</x:f>
        <x:v>0.03</x:v>
      </x:c>
      <x:c r="G319" s="23" t="n">
        <x:f>0</x:f>
        <x:v>0</x:v>
      </x:c>
      <x:c r="H319" s="23" t="n">
        <x:f>SUM('117_价格概率传导'!$D$6:$D$6)</x:f>
        <x:v>0.03</x:v>
      </x:c>
      <x:c r="I319" s="460" t="n">
        <x:f>'117_价格概率传导'!A16</x:f>
        <x:v>299900</x:v>
      </x:c>
      <x:c r="J319" s="23" t="n">
        <x:f>'117_价格概率传导'!D16</x:f>
        <x:v>0.02</x:v>
      </x:c>
      <x:c r="K319" s="23" t="n">
        <x:f>0</x:f>
        <x:v>0</x:v>
      </x:c>
      <x:c r="L319" s="23" t="n">
        <x:f>SUM('117_价格概率传导'!$D$16:$D$16)</x:f>
        <x:v>0.02</x:v>
      </x:c>
      <x:c r="M319" s="23" t="n">
        <x:f>MAX(0,MIN(H319,L319)-MAX(G319,K319))</x:f>
        <x:v>0.02</x:v>
      </x:c>
      <x:c r="N319" s="23" t="n">
        <x:f>B319*D319*M319</x:f>
        <x:v>0.0005</x:v>
      </x:c>
      <x:c r="O319" s="460" t="n">
        <x:f>MIN(299900,I319+20000)</x:f>
        <x:v>299900</x:v>
      </x:c>
      <x:c r="P319" s="460" t="str">
        <x:f>""</x:f>
      </x:c>
      <x:c r="Q319" s="460" t="n">
        <x:f>O319-20000</x:f>
        <x:v>279900</x:v>
      </x:c>
      <x:c r="R319" s="460" t="n">
        <x:f>O319-E319</x:f>
        <x:v>40000</x:v>
      </x:c>
      <x:c r="S319" s="460" t="str">
        <x:f>IF(P319&gt;0,P319-E319,"")</x:f>
      </x:c>
      <x:c r="T319" s="460" t="n">
        <x:f>IF(Q319&gt;0,Q319-E319,"")</x:f>
        <x:v>20000</x:v>
      </x:c>
      <x:c r="U319" s="23" t="n">
        <x:f>IF(R319&lt;30000,N319,0)</x:f>
        <x:v>0</x:v>
      </x:c>
      <x:c r="V319" s="23" t="n">
        <x:f>IF(P319&gt;0,N319,0)</x:f>
        <x:v>0</x:v>
      </x:c>
      <x:c r="W319" s="23" t="n">
        <x:f>IF(AND(P319&gt;0,S319&lt;0),N319,0)</x:f>
        <x:v>0</x:v>
      </x:c>
      <x:c r="X319" s="23" t="n">
        <x:f>IF(AND(P319&gt;0,S319=0),N319,0)</x:f>
        <x:v>0</x:v>
      </x:c>
      <x:c r="Y319" s="23" t="n">
        <x:f>IF(Q319&gt;0,N319,0)</x:f>
        <x:v>0.0005</x:v>
      </x:c>
      <x:c r="Z319" s="460" t="n">
        <x:f>IF(P319&gt;0,N319*S319,0)</x:f>
        <x:v>0</x:v>
      </x:c>
      <x:c r="AA319" s="460" t="n">
        <x:f>IF(Q319&gt;0,N319*T319,0)</x:f>
        <x:v>10</x:v>
      </x:c>
      <x:c r="AB319" s="460" t="n">
        <x:f>N319*R319</x:f>
        <x:v>20</x:v>
      </x:c>
      <x:c r="AC319" s="460" t="n">
        <x:f>IF(N319&gt;0,R319,999999)</x:f>
        <x:v>40000</x:v>
      </x:c>
      <x:c r="AD319" s="460" t="n">
        <x:f>IF(AND(N319&gt;0,P319&gt;0),S319,999999)</x:f>
        <x:v>999999</x:v>
      </x:c>
      <x:c r="AE319" s="460" t="n">
        <x:f>IF(AND(N319&gt;0,Q319&gt;0),T319,999999)</x:f>
        <x:v>20000</x:v>
      </x:c>
      <x:c r="AF319" s="23" t="n">
        <x:f>B319*D319*F319*J319</x:f>
        <x:v>0.000015</x:v>
      </x:c>
      <x:c r="AG319" s="23" t="n">
        <x:f>IF(P319&gt;0,AF319,0)</x:f>
        <x:v>0</x:v>
      </x:c>
      <x:c r="AH319" s="23" t="n">
        <x:f>IF(AND(P319&gt;0,S319&lt;0),AF319,0)</x:f>
        <x:v>0</x:v>
      </x:c>
      <x:c r="AI319" s="23" t="n">
        <x:f>IF(AND(P319&gt;0,S319=0),AF319,0)</x:f>
        <x:v>0</x:v>
      </x:c>
      <x:c r="AJ319" s="23" t="n">
        <x:f>IF(R319&lt;30000,AF319,0)</x:f>
        <x:v>0</x:v>
      </x:c>
      <x:c r="AK319" s="460" t="n">
        <x:f>IF(P319&gt;0,AF319*S319,0)</x:f>
        <x:v>0</x:v>
      </x:c>
    </x:row>
    <x:row r="320" ht="22" customHeight="1">
      <x:c r="A320" s="643" t="str">
        <x:v>中心</x:v>
      </x:c>
      <x:c r="B320" s="648" t="n">
        <x:f>'114_降本系数'!B27</x:f>
        <x:v>0.5</x:v>
      </x:c>
      <x:c r="C320" s="643" t="str">
        <x:v>L2</x:v>
      </x:c>
      <x:c r="D320" s="648" t="n">
        <x:f>'130_联合算法'!C19</x:f>
        <x:v>0.05</x:v>
      </x:c>
      <x:c r="E320" s="647" t="n">
        <x:f>'117_价格概率传导'!A6</x:f>
        <x:v>259900</x:v>
      </x:c>
      <x:c r="F320" s="648" t="n">
        <x:f>'117_价格概率传导'!D6</x:f>
        <x:v>0.03</x:v>
      </x:c>
      <x:c r="G320" s="648" t="n">
        <x:f>0</x:f>
        <x:v>0</x:v>
      </x:c>
      <x:c r="H320" s="648" t="n">
        <x:f>SUM('117_价格概率传导'!$D$6:$D$6)</x:f>
        <x:v>0.03</x:v>
      </x:c>
      <x:c r="I320" s="647" t="n">
        <x:f>'117_价格概率传导'!A17</x:f>
        <x:v>293900</x:v>
      </x:c>
      <x:c r="J320" s="648" t="n">
        <x:f>'117_价格概率传导'!D17</x:f>
        <x:v>0.03</x:v>
      </x:c>
      <x:c r="K320" s="648" t="n">
        <x:f>SUM('117_价格概率传导'!$D$16:$D$16)</x:f>
        <x:v>0.02</x:v>
      </x:c>
      <x:c r="L320" s="648" t="n">
        <x:f>SUM('117_价格概率传导'!$D$16:$D$17)</x:f>
        <x:v>0.05</x:v>
      </x:c>
      <x:c r="M320" s="648" t="n">
        <x:f>MAX(0,MIN(H320,L320)-MAX(G320,K320))</x:f>
        <x:v>0.009999999999999998</x:v>
      </x:c>
      <x:c r="N320" s="648" t="n">
        <x:f>B320*D320*M320</x:f>
        <x:v>0.00024999999999999995</x:v>
      </x:c>
      <x:c r="O320" s="647" t="n">
        <x:f>MIN(299900,I320+20000)</x:f>
        <x:v>299900</x:v>
      </x:c>
      <x:c r="P320" s="647" t="str">
        <x:f>""</x:f>
      </x:c>
      <x:c r="Q320" s="647" t="n">
        <x:f>O320-20000</x:f>
        <x:v>279900</x:v>
      </x:c>
      <x:c r="R320" s="647" t="n">
        <x:f>O320-E320</x:f>
        <x:v>40000</x:v>
      </x:c>
      <x:c r="S320" s="647" t="str">
        <x:f>IF(P320&gt;0,P320-E320,"")</x:f>
      </x:c>
      <x:c r="T320" s="647" t="n">
        <x:f>IF(Q320&gt;0,Q320-E320,"")</x:f>
        <x:v>20000</x:v>
      </x:c>
      <x:c r="U320" s="648" t="n">
        <x:f>IF(R320&lt;30000,N320,0)</x:f>
        <x:v>0</x:v>
      </x:c>
      <x:c r="V320" s="648" t="n">
        <x:f>IF(P320&gt;0,N320,0)</x:f>
        <x:v>0</x:v>
      </x:c>
      <x:c r="W320" s="648" t="n">
        <x:f>IF(AND(P320&gt;0,S320&lt;0),N320,0)</x:f>
        <x:v>0</x:v>
      </x:c>
      <x:c r="X320" s="648" t="n">
        <x:f>IF(AND(P320&gt;0,S320=0),N320,0)</x:f>
        <x:v>0</x:v>
      </x:c>
      <x:c r="Y320" s="648" t="n">
        <x:f>IF(Q320&gt;0,N320,0)</x:f>
        <x:v>0.00024999999999999995</x:v>
      </x:c>
      <x:c r="Z320" s="647" t="n">
        <x:f>IF(P320&gt;0,N320*S320,0)</x:f>
        <x:v>0</x:v>
      </x:c>
      <x:c r="AA320" s="647" t="n">
        <x:f>IF(Q320&gt;0,N320*T320,0)</x:f>
        <x:v>4.999999999999999</x:v>
      </x:c>
      <x:c r="AB320" s="647" t="n">
        <x:f>N320*R320</x:f>
        <x:v>9.999999999999998</x:v>
      </x:c>
      <x:c r="AC320" s="647" t="n">
        <x:f>IF(N320&gt;0,R320,999999)</x:f>
        <x:v>40000</x:v>
      </x:c>
      <x:c r="AD320" s="647" t="n">
        <x:f>IF(AND(N320&gt;0,P320&gt;0),S320,999999)</x:f>
        <x:v>999999</x:v>
      </x:c>
      <x:c r="AE320" s="647" t="n">
        <x:f>IF(AND(N320&gt;0,Q320&gt;0),T320,999999)</x:f>
        <x:v>20000</x:v>
      </x:c>
      <x:c r="AF320" s="648" t="n">
        <x:f>B320*D320*F320*J320</x:f>
        <x:v>0.000022499999999999998</x:v>
      </x:c>
      <x:c r="AG320" s="648" t="n">
        <x:f>IF(P320&gt;0,AF320,0)</x:f>
        <x:v>0</x:v>
      </x:c>
      <x:c r="AH320" s="648" t="n">
        <x:f>IF(AND(P320&gt;0,S320&lt;0),AF320,0)</x:f>
        <x:v>0</x:v>
      </x:c>
      <x:c r="AI320" s="648" t="n">
        <x:f>IF(AND(P320&gt;0,S320=0),AF320,0)</x:f>
        <x:v>0</x:v>
      </x:c>
      <x:c r="AJ320" s="648" t="n">
        <x:f>IF(R320&lt;30000,AF320,0)</x:f>
        <x:v>0</x:v>
      </x:c>
      <x:c r="AK320" s="647" t="n">
        <x:f>IF(P320&gt;0,AF320*S320,0)</x:f>
        <x:v>0</x:v>
      </x:c>
    </x:row>
    <x:row r="321" ht="22" customHeight="1">
      <x:c r="A321" s="19" t="str">
        <x:v>中心</x:v>
      </x:c>
      <x:c r="B321" s="23" t="n">
        <x:f>'114_降本系数'!B27</x:f>
        <x:v>0.5</x:v>
      </x:c>
      <x:c r="C321" s="19" t="str">
        <x:v>L2</x:v>
      </x:c>
      <x:c r="D321" s="23" t="n">
        <x:f>'130_联合算法'!C19</x:f>
        <x:v>0.05</x:v>
      </x:c>
      <x:c r="E321" s="460" t="n">
        <x:f>'117_价格概率传导'!A6</x:f>
        <x:v>259900</x:v>
      </x:c>
      <x:c r="F321" s="23" t="n">
        <x:f>'117_价格概率传导'!D6</x:f>
        <x:v>0.03</x:v>
      </x:c>
      <x:c r="G321" s="23" t="n">
        <x:f>0</x:f>
        <x:v>0</x:v>
      </x:c>
      <x:c r="H321" s="23" t="n">
        <x:f>SUM('117_价格概率传导'!$D$6:$D$6)</x:f>
        <x:v>0.03</x:v>
      </x:c>
      <x:c r="I321" s="460" t="n">
        <x:f>'117_价格概率传导'!A18</x:f>
        <x:v>289900</x:v>
      </x:c>
      <x:c r="J321" s="23" t="n">
        <x:f>'117_价格概率传导'!D18</x:f>
        <x:v>0.22</x:v>
      </x:c>
      <x:c r="K321" s="23" t="n">
        <x:f>SUM('117_价格概率传导'!$D$16:$D$17)</x:f>
        <x:v>0.05</x:v>
      </x:c>
      <x:c r="L321" s="23" t="n">
        <x:f>SUM('117_价格概率传导'!$D$16:$D$18)</x:f>
        <x:v>0.27</x:v>
      </x:c>
      <x:c r="M321" s="23" t="n">
        <x:f>MAX(0,MIN(H321,L321)-MAX(G321,K321))</x:f>
        <x:v>0</x:v>
      </x:c>
      <x:c r="N321" s="23" t="n">
        <x:f>B321*D321*M321</x:f>
        <x:v>0</x:v>
      </x:c>
      <x:c r="O321" s="460" t="n">
        <x:f>MIN(299900,I321+20000)</x:f>
        <x:v>299900</x:v>
      </x:c>
      <x:c r="P321" s="460" t="str">
        <x:f>""</x:f>
      </x:c>
      <x:c r="Q321" s="460" t="n">
        <x:f>O321-20000</x:f>
        <x:v>279900</x:v>
      </x:c>
      <x:c r="R321" s="460" t="n">
        <x:f>O321-E321</x:f>
        <x:v>40000</x:v>
      </x:c>
      <x:c r="S321" s="460" t="str">
        <x:f>IF(P321&gt;0,P321-E321,"")</x:f>
      </x:c>
      <x:c r="T321" s="460" t="n">
        <x:f>IF(Q321&gt;0,Q321-E321,"")</x:f>
        <x:v>20000</x:v>
      </x:c>
      <x:c r="U321" s="23" t="n">
        <x:f>IF(R321&lt;30000,N321,0)</x:f>
        <x:v>0</x:v>
      </x:c>
      <x:c r="V321" s="23" t="n">
        <x:f>IF(P321&gt;0,N321,0)</x:f>
        <x:v>0</x:v>
      </x:c>
      <x:c r="W321" s="23" t="n">
        <x:f>IF(AND(P321&gt;0,S321&lt;0),N321,0)</x:f>
        <x:v>0</x:v>
      </x:c>
      <x:c r="X321" s="23" t="n">
        <x:f>IF(AND(P321&gt;0,S321=0),N321,0)</x:f>
        <x:v>0</x:v>
      </x:c>
      <x:c r="Y321" s="23" t="n">
        <x:f>IF(Q321&gt;0,N321,0)</x:f>
        <x:v>0</x:v>
      </x:c>
      <x:c r="Z321" s="460" t="n">
        <x:f>IF(P321&gt;0,N321*S321,0)</x:f>
        <x:v>0</x:v>
      </x:c>
      <x:c r="AA321" s="460" t="n">
        <x:f>IF(Q321&gt;0,N321*T321,0)</x:f>
        <x:v>0</x:v>
      </x:c>
      <x:c r="AB321" s="460" t="n">
        <x:f>N321*R321</x:f>
        <x:v>0</x:v>
      </x:c>
      <x:c r="AC321" s="460" t="n">
        <x:f>IF(N321&gt;0,R321,999999)</x:f>
        <x:v>999999</x:v>
      </x:c>
      <x:c r="AD321" s="460" t="n">
        <x:f>IF(AND(N321&gt;0,P321&gt;0),S321,999999)</x:f>
        <x:v>999999</x:v>
      </x:c>
      <x:c r="AE321" s="460" t="n">
        <x:f>IF(AND(N321&gt;0,Q321&gt;0),T321,999999)</x:f>
        <x:v>999999</x:v>
      </x:c>
      <x:c r="AF321" s="23" t="n">
        <x:f>B321*D321*F321*J321</x:f>
        <x:v>0.000165</x:v>
      </x:c>
      <x:c r="AG321" s="23" t="n">
        <x:f>IF(P321&gt;0,AF321,0)</x:f>
        <x:v>0</x:v>
      </x:c>
      <x:c r="AH321" s="23" t="n">
        <x:f>IF(AND(P321&gt;0,S321&lt;0),AF321,0)</x:f>
        <x:v>0</x:v>
      </x:c>
      <x:c r="AI321" s="23" t="n">
        <x:f>IF(AND(P321&gt;0,S321=0),AF321,0)</x:f>
        <x:v>0</x:v>
      </x:c>
      <x:c r="AJ321" s="23" t="n">
        <x:f>IF(R321&lt;30000,AF321,0)</x:f>
        <x:v>0</x:v>
      </x:c>
      <x:c r="AK321" s="460" t="n">
        <x:f>IF(P321&gt;0,AF321*S321,0)</x:f>
        <x:v>0</x:v>
      </x:c>
    </x:row>
    <x:row r="322" ht="22" customHeight="1">
      <x:c r="A322" s="643" t="str">
        <x:v>中心</x:v>
      </x:c>
      <x:c r="B322" s="648" t="n">
        <x:f>'114_降本系数'!B27</x:f>
        <x:v>0.5</x:v>
      </x:c>
      <x:c r="C322" s="643" t="str">
        <x:v>L2</x:v>
      </x:c>
      <x:c r="D322" s="648" t="n">
        <x:f>'130_联合算法'!C19</x:f>
        <x:v>0.05</x:v>
      </x:c>
      <x:c r="E322" s="647" t="n">
        <x:f>'117_价格概率传导'!A6</x:f>
        <x:v>259900</x:v>
      </x:c>
      <x:c r="F322" s="648" t="n">
        <x:f>'117_价格概率传导'!D6</x:f>
        <x:v>0.03</x:v>
      </x:c>
      <x:c r="G322" s="648" t="n">
        <x:f>0</x:f>
        <x:v>0</x:v>
      </x:c>
      <x:c r="H322" s="648" t="n">
        <x:f>SUM('117_价格概率传导'!$D$6:$D$6)</x:f>
        <x:v>0.03</x:v>
      </x:c>
      <x:c r="I322" s="647" t="n">
        <x:f>'117_价格概率传导'!A19</x:f>
        <x:v>279900</x:v>
      </x:c>
      <x:c r="J322" s="648" t="n">
        <x:f>'117_价格概率传导'!D19</x:f>
        <x:v>0.44</x:v>
      </x:c>
      <x:c r="K322" s="648" t="n">
        <x:f>SUM('117_价格概率传导'!$D$16:$D$18)</x:f>
        <x:v>0.27</x:v>
      </x:c>
      <x:c r="L322" s="648" t="n">
        <x:f>SUM('117_价格概率传导'!$D$16:$D$19)</x:f>
        <x:v>0.71</x:v>
      </x:c>
      <x:c r="M322" s="648" t="n">
        <x:f>MAX(0,MIN(H322,L322)-MAX(G322,K322))</x:f>
        <x:v>0</x:v>
      </x:c>
      <x:c r="N322" s="648" t="n">
        <x:f>B322*D322*M322</x:f>
        <x:v>0</x:v>
      </x:c>
      <x:c r="O322" s="647" t="n">
        <x:f>MIN(299900,I322+20000)</x:f>
        <x:v>299900</x:v>
      </x:c>
      <x:c r="P322" s="647" t="str">
        <x:f>""</x:f>
      </x:c>
      <x:c r="Q322" s="647" t="n">
        <x:f>O322-20000</x:f>
        <x:v>279900</x:v>
      </x:c>
      <x:c r="R322" s="647" t="n">
        <x:f>O322-E322</x:f>
        <x:v>40000</x:v>
      </x:c>
      <x:c r="S322" s="647" t="str">
        <x:f>IF(P322&gt;0,P322-E322,"")</x:f>
      </x:c>
      <x:c r="T322" s="647" t="n">
        <x:f>IF(Q322&gt;0,Q322-E322,"")</x:f>
        <x:v>20000</x:v>
      </x:c>
      <x:c r="U322" s="648" t="n">
        <x:f>IF(R322&lt;30000,N322,0)</x:f>
        <x:v>0</x:v>
      </x:c>
      <x:c r="V322" s="648" t="n">
        <x:f>IF(P322&gt;0,N322,0)</x:f>
        <x:v>0</x:v>
      </x:c>
      <x:c r="W322" s="648" t="n">
        <x:f>IF(AND(P322&gt;0,S322&lt;0),N322,0)</x:f>
        <x:v>0</x:v>
      </x:c>
      <x:c r="X322" s="648" t="n">
        <x:f>IF(AND(P322&gt;0,S322=0),N322,0)</x:f>
        <x:v>0</x:v>
      </x:c>
      <x:c r="Y322" s="648" t="n">
        <x:f>IF(Q322&gt;0,N322,0)</x:f>
        <x:v>0</x:v>
      </x:c>
      <x:c r="Z322" s="647" t="n">
        <x:f>IF(P322&gt;0,N322*S322,0)</x:f>
        <x:v>0</x:v>
      </x:c>
      <x:c r="AA322" s="647" t="n">
        <x:f>IF(Q322&gt;0,N322*T322,0)</x:f>
        <x:v>0</x:v>
      </x:c>
      <x:c r="AB322" s="647" t="n">
        <x:f>N322*R322</x:f>
        <x:v>0</x:v>
      </x:c>
      <x:c r="AC322" s="647" t="n">
        <x:f>IF(N322&gt;0,R322,999999)</x:f>
        <x:v>999999</x:v>
      </x:c>
      <x:c r="AD322" s="647" t="n">
        <x:f>IF(AND(N322&gt;0,P322&gt;0),S322,999999)</x:f>
        <x:v>999999</x:v>
      </x:c>
      <x:c r="AE322" s="647" t="n">
        <x:f>IF(AND(N322&gt;0,Q322&gt;0),T322,999999)</x:f>
        <x:v>999999</x:v>
      </x:c>
      <x:c r="AF322" s="648" t="n">
        <x:f>B322*D322*F322*J322</x:f>
        <x:v>0.00033</x:v>
      </x:c>
      <x:c r="AG322" s="648" t="n">
        <x:f>IF(P322&gt;0,AF322,0)</x:f>
        <x:v>0</x:v>
      </x:c>
      <x:c r="AH322" s="648" t="n">
        <x:f>IF(AND(P322&gt;0,S322&lt;0),AF322,0)</x:f>
        <x:v>0</x:v>
      </x:c>
      <x:c r="AI322" s="648" t="n">
        <x:f>IF(AND(P322&gt;0,S322=0),AF322,0)</x:f>
        <x:v>0</x:v>
      </x:c>
      <x:c r="AJ322" s="648" t="n">
        <x:f>IF(R322&lt;30000,AF322,0)</x:f>
        <x:v>0</x:v>
      </x:c>
      <x:c r="AK322" s="647" t="n">
        <x:f>IF(P322&gt;0,AF322*S322,0)</x:f>
        <x:v>0</x:v>
      </x:c>
    </x:row>
    <x:row r="323" ht="22" customHeight="1">
      <x:c r="A323" s="19" t="str">
        <x:v>中心</x:v>
      </x:c>
      <x:c r="B323" s="23" t="n">
        <x:f>'114_降本系数'!B27</x:f>
        <x:v>0.5</x:v>
      </x:c>
      <x:c r="C323" s="19" t="str">
        <x:v>L2</x:v>
      </x:c>
      <x:c r="D323" s="23" t="n">
        <x:f>'130_联合算法'!C19</x:f>
        <x:v>0.05</x:v>
      </x:c>
      <x:c r="E323" s="460" t="n">
        <x:f>'117_价格概率传导'!A6</x:f>
        <x:v>259900</x:v>
      </x:c>
      <x:c r="F323" s="23" t="n">
        <x:f>'117_价格概率传导'!D6</x:f>
        <x:v>0.03</x:v>
      </x:c>
      <x:c r="G323" s="23" t="n">
        <x:f>0</x:f>
        <x:v>0</x:v>
      </x:c>
      <x:c r="H323" s="23" t="n">
        <x:f>SUM('117_价格概率传导'!$D$6:$D$6)</x:f>
        <x:v>0.03</x:v>
      </x:c>
      <x:c r="I323" s="460" t="n">
        <x:f>'117_价格概率传导'!A20</x:f>
        <x:v>269900</x:v>
      </x:c>
      <x:c r="J323" s="23" t="n">
        <x:f>'117_价格概率传导'!D20</x:f>
        <x:v>0.23</x:v>
      </x:c>
      <x:c r="K323" s="23" t="n">
        <x:f>SUM('117_价格概率传导'!$D$16:$D$19)</x:f>
        <x:v>0.71</x:v>
      </x:c>
      <x:c r="L323" s="23" t="n">
        <x:f>SUM('117_价格概率传导'!$D$16:$D$20)</x:f>
        <x:v>0.94</x:v>
      </x:c>
      <x:c r="M323" s="23" t="n">
        <x:f>MAX(0,MIN(H323,L323)-MAX(G323,K323))</x:f>
        <x:v>0</x:v>
      </x:c>
      <x:c r="N323" s="23" t="n">
        <x:f>B323*D323*M323</x:f>
        <x:v>0</x:v>
      </x:c>
      <x:c r="O323" s="460" t="n">
        <x:f>MIN(299900,I323+20000)</x:f>
        <x:v>289900</x:v>
      </x:c>
      <x:c r="P323" s="460" t="str">
        <x:f>""</x:f>
      </x:c>
      <x:c r="Q323" s="460" t="n">
        <x:f>O323-20000</x:f>
        <x:v>269900</x:v>
      </x:c>
      <x:c r="R323" s="460" t="n">
        <x:f>O323-E323</x:f>
        <x:v>30000</x:v>
      </x:c>
      <x:c r="S323" s="460" t="str">
        <x:f>IF(P323&gt;0,P323-E323,"")</x:f>
      </x:c>
      <x:c r="T323" s="460" t="n">
        <x:f>IF(Q323&gt;0,Q323-E323,"")</x:f>
        <x:v>10000</x:v>
      </x:c>
      <x:c r="U323" s="23" t="n">
        <x:f>IF(R323&lt;30000,N323,0)</x:f>
        <x:v>0</x:v>
      </x:c>
      <x:c r="V323" s="23" t="n">
        <x:f>IF(P323&gt;0,N323,0)</x:f>
        <x:v>0</x:v>
      </x:c>
      <x:c r="W323" s="23" t="n">
        <x:f>IF(AND(P323&gt;0,S323&lt;0),N323,0)</x:f>
        <x:v>0</x:v>
      </x:c>
      <x:c r="X323" s="23" t="n">
        <x:f>IF(AND(P323&gt;0,S323=0),N323,0)</x:f>
        <x:v>0</x:v>
      </x:c>
      <x:c r="Y323" s="23" t="n">
        <x:f>IF(Q323&gt;0,N323,0)</x:f>
        <x:v>0</x:v>
      </x:c>
      <x:c r="Z323" s="460" t="n">
        <x:f>IF(P323&gt;0,N323*S323,0)</x:f>
        <x:v>0</x:v>
      </x:c>
      <x:c r="AA323" s="460" t="n">
        <x:f>IF(Q323&gt;0,N323*T323,0)</x:f>
        <x:v>0</x:v>
      </x:c>
      <x:c r="AB323" s="460" t="n">
        <x:f>N323*R323</x:f>
        <x:v>0</x:v>
      </x:c>
      <x:c r="AC323" s="460" t="n">
        <x:f>IF(N323&gt;0,R323,999999)</x:f>
        <x:v>999999</x:v>
      </x:c>
      <x:c r="AD323" s="460" t="n">
        <x:f>IF(AND(N323&gt;0,P323&gt;0),S323,999999)</x:f>
        <x:v>999999</x:v>
      </x:c>
      <x:c r="AE323" s="460" t="n">
        <x:f>IF(AND(N323&gt;0,Q323&gt;0),T323,999999)</x:f>
        <x:v>999999</x:v>
      </x:c>
      <x:c r="AF323" s="23" t="n">
        <x:f>B323*D323*F323*J323</x:f>
        <x:v>0.00017250000000000002</x:v>
      </x:c>
      <x:c r="AG323" s="23" t="n">
        <x:f>IF(P323&gt;0,AF323,0)</x:f>
        <x:v>0</x:v>
      </x:c>
      <x:c r="AH323" s="23" t="n">
        <x:f>IF(AND(P323&gt;0,S323&lt;0),AF323,0)</x:f>
        <x:v>0</x:v>
      </x:c>
      <x:c r="AI323" s="23" t="n">
        <x:f>IF(AND(P323&gt;0,S323=0),AF323,0)</x:f>
        <x:v>0</x:v>
      </x:c>
      <x:c r="AJ323" s="23" t="n">
        <x:f>IF(R323&lt;30000,AF323,0)</x:f>
        <x:v>0</x:v>
      </x:c>
      <x:c r="AK323" s="460" t="n">
        <x:f>IF(P323&gt;0,AF323*S323,0)</x:f>
        <x:v>0</x:v>
      </x:c>
    </x:row>
    <x:row r="324" ht="22" customHeight="1">
      <x:c r="A324" s="643" t="str">
        <x:v>中心</x:v>
      </x:c>
      <x:c r="B324" s="648" t="n">
        <x:f>'114_降本系数'!B27</x:f>
        <x:v>0.5</x:v>
      </x:c>
      <x:c r="C324" s="643" t="str">
        <x:v>L2</x:v>
      </x:c>
      <x:c r="D324" s="648" t="n">
        <x:f>'130_联合算法'!C19</x:f>
        <x:v>0.05</x:v>
      </x:c>
      <x:c r="E324" s="647" t="n">
        <x:f>'117_价格概率传导'!A6</x:f>
        <x:v>259900</x:v>
      </x:c>
      <x:c r="F324" s="648" t="n">
        <x:f>'117_价格概率传导'!D6</x:f>
        <x:v>0.03</x:v>
      </x:c>
      <x:c r="G324" s="648" t="n">
        <x:f>0</x:f>
        <x:v>0</x:v>
      </x:c>
      <x:c r="H324" s="648" t="n">
        <x:f>SUM('117_价格概率传导'!$D$6:$D$6)</x:f>
        <x:v>0.03</x:v>
      </x:c>
      <x:c r="I324" s="647" t="n">
        <x:f>'117_价格概率传导'!A21</x:f>
        <x:v>259900</x:v>
      </x:c>
      <x:c r="J324" s="648" t="n">
        <x:f>'117_价格概率传导'!D21</x:f>
        <x:v>0.06</x:v>
      </x:c>
      <x:c r="K324" s="648" t="n">
        <x:f>SUM('117_价格概率传导'!$D$16:$D$20)</x:f>
        <x:v>0.94</x:v>
      </x:c>
      <x:c r="L324" s="648" t="n">
        <x:f>SUM('117_价格概率传导'!$D$16:$D$21)</x:f>
        <x:v>1</x:v>
      </x:c>
      <x:c r="M324" s="648" t="n">
        <x:f>MAX(0,MIN(H324,L324)-MAX(G324,K324))</x:f>
        <x:v>0</x:v>
      </x:c>
      <x:c r="N324" s="648" t="n">
        <x:f>B324*D324*M324</x:f>
        <x:v>0</x:v>
      </x:c>
      <x:c r="O324" s="647" t="n">
        <x:f>MIN(299900,I324+20000)</x:f>
        <x:v>279900</x:v>
      </x:c>
      <x:c r="P324" s="647" t="str">
        <x:f>""</x:f>
      </x:c>
      <x:c r="Q324" s="647" t="n">
        <x:f>O324-20000</x:f>
        <x:v>259900</x:v>
      </x:c>
      <x:c r="R324" s="647" t="n">
        <x:f>O324-E324</x:f>
        <x:v>20000</x:v>
      </x:c>
      <x:c r="S324" s="647" t="str">
        <x:f>IF(P324&gt;0,P324-E324,"")</x:f>
      </x:c>
      <x:c r="T324" s="647" t="n">
        <x:f>IF(Q324&gt;0,Q324-E324,"")</x:f>
        <x:v>0</x:v>
      </x:c>
      <x:c r="U324" s="648" t="n">
        <x:f>IF(R324&lt;30000,N324,0)</x:f>
        <x:v>0</x:v>
      </x:c>
      <x:c r="V324" s="648" t="n">
        <x:f>IF(P324&gt;0,N324,0)</x:f>
        <x:v>0</x:v>
      </x:c>
      <x:c r="W324" s="648" t="n">
        <x:f>IF(AND(P324&gt;0,S324&lt;0),N324,0)</x:f>
        <x:v>0</x:v>
      </x:c>
      <x:c r="X324" s="648" t="n">
        <x:f>IF(AND(P324&gt;0,S324=0),N324,0)</x:f>
        <x:v>0</x:v>
      </x:c>
      <x:c r="Y324" s="648" t="n">
        <x:f>IF(Q324&gt;0,N324,0)</x:f>
        <x:v>0</x:v>
      </x:c>
      <x:c r="Z324" s="647" t="n">
        <x:f>IF(P324&gt;0,N324*S324,0)</x:f>
        <x:v>0</x:v>
      </x:c>
      <x:c r="AA324" s="647" t="n">
        <x:f>IF(Q324&gt;0,N324*T324,0)</x:f>
        <x:v>0</x:v>
      </x:c>
      <x:c r="AB324" s="647" t="n">
        <x:f>N324*R324</x:f>
        <x:v>0</x:v>
      </x:c>
      <x:c r="AC324" s="647" t="n">
        <x:f>IF(N324&gt;0,R324,999999)</x:f>
        <x:v>999999</x:v>
      </x:c>
      <x:c r="AD324" s="647" t="n">
        <x:f>IF(AND(N324&gt;0,P324&gt;0),S324,999999)</x:f>
        <x:v>999999</x:v>
      </x:c>
      <x:c r="AE324" s="647" t="n">
        <x:f>IF(AND(N324&gt;0,Q324&gt;0),T324,999999)</x:f>
        <x:v>999999</x:v>
      </x:c>
      <x:c r="AF324" s="648" t="n">
        <x:f>B324*D324*F324*J324</x:f>
        <x:v>0.000044999999999999996</x:v>
      </x:c>
      <x:c r="AG324" s="648" t="n">
        <x:f>IF(P324&gt;0,AF324,0)</x:f>
        <x:v>0</x:v>
      </x:c>
      <x:c r="AH324" s="648" t="n">
        <x:f>IF(AND(P324&gt;0,S324&lt;0),AF324,0)</x:f>
        <x:v>0</x:v>
      </x:c>
      <x:c r="AI324" s="648" t="n">
        <x:f>IF(AND(P324&gt;0,S324=0),AF324,0)</x:f>
        <x:v>0</x:v>
      </x:c>
      <x:c r="AJ324" s="648" t="n">
        <x:f>IF(R324&lt;30000,AF324,0)</x:f>
        <x:v>0.000044999999999999996</x:v>
      </x:c>
      <x:c r="AK324" s="647" t="n">
        <x:f>IF(P324&gt;0,AF324*S324,0)</x:f>
        <x:v>0</x:v>
      </x:c>
    </x:row>
    <x:row r="325" ht="22" customHeight="1">
      <x:c r="A325" s="19" t="str">
        <x:v>中心</x:v>
      </x:c>
      <x:c r="B325" s="23" t="n">
        <x:f>'114_降本系数'!B27</x:f>
        <x:v>0.5</x:v>
      </x:c>
      <x:c r="C325" s="19" t="str">
        <x:v>L2</x:v>
      </x:c>
      <x:c r="D325" s="23" t="n">
        <x:f>'130_联合算法'!C19</x:f>
        <x:v>0.05</x:v>
      </x:c>
      <x:c r="E325" s="460" t="n">
        <x:f>'117_价格概率传导'!A7</x:f>
        <x:v>253900</x:v>
      </x:c>
      <x:c r="F325" s="23" t="n">
        <x:f>'117_价格概率传导'!D7</x:f>
        <x:v>0.05</x:v>
      </x:c>
      <x:c r="G325" s="23" t="n">
        <x:f>SUM('117_价格概率传导'!$D$6:$D$6)</x:f>
        <x:v>0.03</x:v>
      </x:c>
      <x:c r="H325" s="23" t="n">
        <x:f>SUM('117_价格概率传导'!$D$6:$D$7)</x:f>
        <x:v>0.08</x:v>
      </x:c>
      <x:c r="I325" s="460" t="n">
        <x:f>'117_价格概率传导'!A16</x:f>
        <x:v>299900</x:v>
      </x:c>
      <x:c r="J325" s="23" t="n">
        <x:f>'117_价格概率传导'!D16</x:f>
        <x:v>0.02</x:v>
      </x:c>
      <x:c r="K325" s="23" t="n">
        <x:f>0</x:f>
        <x:v>0</x:v>
      </x:c>
      <x:c r="L325" s="23" t="n">
        <x:f>SUM('117_价格概率传导'!$D$16:$D$16)</x:f>
        <x:v>0.02</x:v>
      </x:c>
      <x:c r="M325" s="23" t="n">
        <x:f>MAX(0,MIN(H325,L325)-MAX(G325,K325))</x:f>
        <x:v>0</x:v>
      </x:c>
      <x:c r="N325" s="23" t="n">
        <x:f>B325*D325*M325</x:f>
        <x:v>0</x:v>
      </x:c>
      <x:c r="O325" s="460" t="n">
        <x:f>MIN(299900,I325+20000)</x:f>
        <x:v>299900</x:v>
      </x:c>
      <x:c r="P325" s="460" t="str">
        <x:f>""</x:f>
      </x:c>
      <x:c r="Q325" s="460" t="n">
        <x:f>O325-20000</x:f>
        <x:v>279900</x:v>
      </x:c>
      <x:c r="R325" s="460" t="n">
        <x:f>O325-E325</x:f>
        <x:v>46000</x:v>
      </x:c>
      <x:c r="S325" s="460" t="str">
        <x:f>IF(P325&gt;0,P325-E325,"")</x:f>
      </x:c>
      <x:c r="T325" s="460" t="n">
        <x:f>IF(Q325&gt;0,Q325-E325,"")</x:f>
        <x:v>26000</x:v>
      </x:c>
      <x:c r="U325" s="23" t="n">
        <x:f>IF(R325&lt;30000,N325,0)</x:f>
        <x:v>0</x:v>
      </x:c>
      <x:c r="V325" s="23" t="n">
        <x:f>IF(P325&gt;0,N325,0)</x:f>
        <x:v>0</x:v>
      </x:c>
      <x:c r="W325" s="23" t="n">
        <x:f>IF(AND(P325&gt;0,S325&lt;0),N325,0)</x:f>
        <x:v>0</x:v>
      </x:c>
      <x:c r="X325" s="23" t="n">
        <x:f>IF(AND(P325&gt;0,S325=0),N325,0)</x:f>
        <x:v>0</x:v>
      </x:c>
      <x:c r="Y325" s="23" t="n">
        <x:f>IF(Q325&gt;0,N325,0)</x:f>
        <x:v>0</x:v>
      </x:c>
      <x:c r="Z325" s="460" t="n">
        <x:f>IF(P325&gt;0,N325*S325,0)</x:f>
        <x:v>0</x:v>
      </x:c>
      <x:c r="AA325" s="460" t="n">
        <x:f>IF(Q325&gt;0,N325*T325,0)</x:f>
        <x:v>0</x:v>
      </x:c>
      <x:c r="AB325" s="460" t="n">
        <x:f>N325*R325</x:f>
        <x:v>0</x:v>
      </x:c>
      <x:c r="AC325" s="460" t="n">
        <x:f>IF(N325&gt;0,R325,999999)</x:f>
        <x:v>999999</x:v>
      </x:c>
      <x:c r="AD325" s="460" t="n">
        <x:f>IF(AND(N325&gt;0,P325&gt;0),S325,999999)</x:f>
        <x:v>999999</x:v>
      </x:c>
      <x:c r="AE325" s="460" t="n">
        <x:f>IF(AND(N325&gt;0,Q325&gt;0),T325,999999)</x:f>
        <x:v>999999</x:v>
      </x:c>
      <x:c r="AF325" s="23" t="n">
        <x:f>B325*D325*F325*J325</x:f>
        <x:v>0.000025000000000000005</x:v>
      </x:c>
      <x:c r="AG325" s="23" t="n">
        <x:f>IF(P325&gt;0,AF325,0)</x:f>
        <x:v>0</x:v>
      </x:c>
      <x:c r="AH325" s="23" t="n">
        <x:f>IF(AND(P325&gt;0,S325&lt;0),AF325,0)</x:f>
        <x:v>0</x:v>
      </x:c>
      <x:c r="AI325" s="23" t="n">
        <x:f>IF(AND(P325&gt;0,S325=0),AF325,0)</x:f>
        <x:v>0</x:v>
      </x:c>
      <x:c r="AJ325" s="23" t="n">
        <x:f>IF(R325&lt;30000,AF325,0)</x:f>
        <x:v>0</x:v>
      </x:c>
      <x:c r="AK325" s="460" t="n">
        <x:f>IF(P325&gt;0,AF325*S325,0)</x:f>
        <x:v>0</x:v>
      </x:c>
    </x:row>
    <x:row r="326" ht="22" customHeight="1">
      <x:c r="A326" s="643" t="str">
        <x:v>中心</x:v>
      </x:c>
      <x:c r="B326" s="648" t="n">
        <x:f>'114_降本系数'!B27</x:f>
        <x:v>0.5</x:v>
      </x:c>
      <x:c r="C326" s="643" t="str">
        <x:v>L2</x:v>
      </x:c>
      <x:c r="D326" s="648" t="n">
        <x:f>'130_联合算法'!C19</x:f>
        <x:v>0.05</x:v>
      </x:c>
      <x:c r="E326" s="647" t="n">
        <x:f>'117_价格概率传导'!A7</x:f>
        <x:v>253900</x:v>
      </x:c>
      <x:c r="F326" s="648" t="n">
        <x:f>'117_价格概率传导'!D7</x:f>
        <x:v>0.05</x:v>
      </x:c>
      <x:c r="G326" s="648" t="n">
        <x:f>SUM('117_价格概率传导'!$D$6:$D$6)</x:f>
        <x:v>0.03</x:v>
      </x:c>
      <x:c r="H326" s="648" t="n">
        <x:f>SUM('117_价格概率传导'!$D$6:$D$7)</x:f>
        <x:v>0.08</x:v>
      </x:c>
      <x:c r="I326" s="647" t="n">
        <x:f>'117_价格概率传导'!A17</x:f>
        <x:v>293900</x:v>
      </x:c>
      <x:c r="J326" s="648" t="n">
        <x:f>'117_价格概率传导'!D17</x:f>
        <x:v>0.03</x:v>
      </x:c>
      <x:c r="K326" s="648" t="n">
        <x:f>SUM('117_价格概率传导'!$D$16:$D$16)</x:f>
        <x:v>0.02</x:v>
      </x:c>
      <x:c r="L326" s="648" t="n">
        <x:f>SUM('117_价格概率传导'!$D$16:$D$17)</x:f>
        <x:v>0.05</x:v>
      </x:c>
      <x:c r="M326" s="648" t="n">
        <x:f>MAX(0,MIN(H326,L326)-MAX(G326,K326))</x:f>
        <x:v>0.020000000000000004</x:v>
      </x:c>
      <x:c r="N326" s="648" t="n">
        <x:f>B326*D326*M326</x:f>
        <x:v>0.0005000000000000001</x:v>
      </x:c>
      <x:c r="O326" s="647" t="n">
        <x:f>MIN(299900,I326+20000)</x:f>
        <x:v>299900</x:v>
      </x:c>
      <x:c r="P326" s="647" t="str">
        <x:f>""</x:f>
      </x:c>
      <x:c r="Q326" s="647" t="n">
        <x:f>O326-20000</x:f>
        <x:v>279900</x:v>
      </x:c>
      <x:c r="R326" s="647" t="n">
        <x:f>O326-E326</x:f>
        <x:v>46000</x:v>
      </x:c>
      <x:c r="S326" s="647" t="str">
        <x:f>IF(P326&gt;0,P326-E326,"")</x:f>
      </x:c>
      <x:c r="T326" s="647" t="n">
        <x:f>IF(Q326&gt;0,Q326-E326,"")</x:f>
        <x:v>26000</x:v>
      </x:c>
      <x:c r="U326" s="648" t="n">
        <x:f>IF(R326&lt;30000,N326,0)</x:f>
        <x:v>0</x:v>
      </x:c>
      <x:c r="V326" s="648" t="n">
        <x:f>IF(P326&gt;0,N326,0)</x:f>
        <x:v>0</x:v>
      </x:c>
      <x:c r="W326" s="648" t="n">
        <x:f>IF(AND(P326&gt;0,S326&lt;0),N326,0)</x:f>
        <x:v>0</x:v>
      </x:c>
      <x:c r="X326" s="648" t="n">
        <x:f>IF(AND(P326&gt;0,S326=0),N326,0)</x:f>
        <x:v>0</x:v>
      </x:c>
      <x:c r="Y326" s="648" t="n">
        <x:f>IF(Q326&gt;0,N326,0)</x:f>
        <x:v>0.0005000000000000001</x:v>
      </x:c>
      <x:c r="Z326" s="647" t="n">
        <x:f>IF(P326&gt;0,N326*S326,0)</x:f>
        <x:v>0</x:v>
      </x:c>
      <x:c r="AA326" s="647" t="n">
        <x:f>IF(Q326&gt;0,N326*T326,0)</x:f>
        <x:v>13.000000000000004</x:v>
      </x:c>
      <x:c r="AB326" s="647" t="n">
        <x:f>N326*R326</x:f>
        <x:v>23.000000000000007</x:v>
      </x:c>
      <x:c r="AC326" s="647" t="n">
        <x:f>IF(N326&gt;0,R326,999999)</x:f>
        <x:v>46000</x:v>
      </x:c>
      <x:c r="AD326" s="647" t="n">
        <x:f>IF(AND(N326&gt;0,P326&gt;0),S326,999999)</x:f>
        <x:v>999999</x:v>
      </x:c>
      <x:c r="AE326" s="647" t="n">
        <x:f>IF(AND(N326&gt;0,Q326&gt;0),T326,999999)</x:f>
        <x:v>26000</x:v>
      </x:c>
      <x:c r="AF326" s="648" t="n">
        <x:f>B326*D326*F326*J326</x:f>
        <x:v>0.000037500000000000003</x:v>
      </x:c>
      <x:c r="AG326" s="648" t="n">
        <x:f>IF(P326&gt;0,AF326,0)</x:f>
        <x:v>0</x:v>
      </x:c>
      <x:c r="AH326" s="648" t="n">
        <x:f>IF(AND(P326&gt;0,S326&lt;0),AF326,0)</x:f>
        <x:v>0</x:v>
      </x:c>
      <x:c r="AI326" s="648" t="n">
        <x:f>IF(AND(P326&gt;0,S326=0),AF326,0)</x:f>
        <x:v>0</x:v>
      </x:c>
      <x:c r="AJ326" s="648" t="n">
        <x:f>IF(R326&lt;30000,AF326,0)</x:f>
        <x:v>0</x:v>
      </x:c>
      <x:c r="AK326" s="647" t="n">
        <x:f>IF(P326&gt;0,AF326*S326,0)</x:f>
        <x:v>0</x:v>
      </x:c>
    </x:row>
    <x:row r="327" ht="22" customHeight="1">
      <x:c r="A327" s="19" t="str">
        <x:v>中心</x:v>
      </x:c>
      <x:c r="B327" s="23" t="n">
        <x:f>'114_降本系数'!B27</x:f>
        <x:v>0.5</x:v>
      </x:c>
      <x:c r="C327" s="19" t="str">
        <x:v>L2</x:v>
      </x:c>
      <x:c r="D327" s="23" t="n">
        <x:f>'130_联合算法'!C19</x:f>
        <x:v>0.05</x:v>
      </x:c>
      <x:c r="E327" s="460" t="n">
        <x:f>'117_价格概率传导'!A7</x:f>
        <x:v>253900</x:v>
      </x:c>
      <x:c r="F327" s="23" t="n">
        <x:f>'117_价格概率传导'!D7</x:f>
        <x:v>0.05</x:v>
      </x:c>
      <x:c r="G327" s="23" t="n">
        <x:f>SUM('117_价格概率传导'!$D$6:$D$6)</x:f>
        <x:v>0.03</x:v>
      </x:c>
      <x:c r="H327" s="23" t="n">
        <x:f>SUM('117_价格概率传导'!$D$6:$D$7)</x:f>
        <x:v>0.08</x:v>
      </x:c>
      <x:c r="I327" s="460" t="n">
        <x:f>'117_价格概率传导'!A18</x:f>
        <x:v>289900</x:v>
      </x:c>
      <x:c r="J327" s="23" t="n">
        <x:f>'117_价格概率传导'!D18</x:f>
        <x:v>0.22</x:v>
      </x:c>
      <x:c r="K327" s="23" t="n">
        <x:f>SUM('117_价格概率传导'!$D$16:$D$17)</x:f>
        <x:v>0.05</x:v>
      </x:c>
      <x:c r="L327" s="23" t="n">
        <x:f>SUM('117_价格概率传导'!$D$16:$D$18)</x:f>
        <x:v>0.27</x:v>
      </x:c>
      <x:c r="M327" s="23" t="n">
        <x:f>MAX(0,MIN(H327,L327)-MAX(G327,K327))</x:f>
        <x:v>0.03</x:v>
      </x:c>
      <x:c r="N327" s="23" t="n">
        <x:f>B327*D327*M327</x:f>
        <x:v>0.00075</x:v>
      </x:c>
      <x:c r="O327" s="460" t="n">
        <x:f>MIN(299900,I327+20000)</x:f>
        <x:v>299900</x:v>
      </x:c>
      <x:c r="P327" s="460" t="str">
        <x:f>""</x:f>
      </x:c>
      <x:c r="Q327" s="460" t="n">
        <x:f>O327-20000</x:f>
        <x:v>279900</x:v>
      </x:c>
      <x:c r="R327" s="460" t="n">
        <x:f>O327-E327</x:f>
        <x:v>46000</x:v>
      </x:c>
      <x:c r="S327" s="460" t="str">
        <x:f>IF(P327&gt;0,P327-E327,"")</x:f>
      </x:c>
      <x:c r="T327" s="460" t="n">
        <x:f>IF(Q327&gt;0,Q327-E327,"")</x:f>
        <x:v>26000</x:v>
      </x:c>
      <x:c r="U327" s="23" t="n">
        <x:f>IF(R327&lt;30000,N327,0)</x:f>
        <x:v>0</x:v>
      </x:c>
      <x:c r="V327" s="23" t="n">
        <x:f>IF(P327&gt;0,N327,0)</x:f>
        <x:v>0</x:v>
      </x:c>
      <x:c r="W327" s="23" t="n">
        <x:f>IF(AND(P327&gt;0,S327&lt;0),N327,0)</x:f>
        <x:v>0</x:v>
      </x:c>
      <x:c r="X327" s="23" t="n">
        <x:f>IF(AND(P327&gt;0,S327=0),N327,0)</x:f>
        <x:v>0</x:v>
      </x:c>
      <x:c r="Y327" s="23" t="n">
        <x:f>IF(Q327&gt;0,N327,0)</x:f>
        <x:v>0.00075</x:v>
      </x:c>
      <x:c r="Z327" s="460" t="n">
        <x:f>IF(P327&gt;0,N327*S327,0)</x:f>
        <x:v>0</x:v>
      </x:c>
      <x:c r="AA327" s="460" t="n">
        <x:f>IF(Q327&gt;0,N327*T327,0)</x:f>
        <x:v>19.5</x:v>
      </x:c>
      <x:c r="AB327" s="460" t="n">
        <x:f>N327*R327</x:f>
        <x:v>34.5</x:v>
      </x:c>
      <x:c r="AC327" s="460" t="n">
        <x:f>IF(N327&gt;0,R327,999999)</x:f>
        <x:v>46000</x:v>
      </x:c>
      <x:c r="AD327" s="460" t="n">
        <x:f>IF(AND(N327&gt;0,P327&gt;0),S327,999999)</x:f>
        <x:v>999999</x:v>
      </x:c>
      <x:c r="AE327" s="460" t="n">
        <x:f>IF(AND(N327&gt;0,Q327&gt;0),T327,999999)</x:f>
        <x:v>26000</x:v>
      </x:c>
      <x:c r="AF327" s="23" t="n">
        <x:f>B327*D327*F327*J327</x:f>
        <x:v>0.00027500000000000007</x:v>
      </x:c>
      <x:c r="AG327" s="23" t="n">
        <x:f>IF(P327&gt;0,AF327,0)</x:f>
        <x:v>0</x:v>
      </x:c>
      <x:c r="AH327" s="23" t="n">
        <x:f>IF(AND(P327&gt;0,S327&lt;0),AF327,0)</x:f>
        <x:v>0</x:v>
      </x:c>
      <x:c r="AI327" s="23" t="n">
        <x:f>IF(AND(P327&gt;0,S327=0),AF327,0)</x:f>
        <x:v>0</x:v>
      </x:c>
      <x:c r="AJ327" s="23" t="n">
        <x:f>IF(R327&lt;30000,AF327,0)</x:f>
        <x:v>0</x:v>
      </x:c>
      <x:c r="AK327" s="460" t="n">
        <x:f>IF(P327&gt;0,AF327*S327,0)</x:f>
        <x:v>0</x:v>
      </x:c>
    </x:row>
    <x:row r="328" ht="22" customHeight="1">
      <x:c r="A328" s="643" t="str">
        <x:v>中心</x:v>
      </x:c>
      <x:c r="B328" s="648" t="n">
        <x:f>'114_降本系数'!B27</x:f>
        <x:v>0.5</x:v>
      </x:c>
      <x:c r="C328" s="643" t="str">
        <x:v>L2</x:v>
      </x:c>
      <x:c r="D328" s="648" t="n">
        <x:f>'130_联合算法'!C19</x:f>
        <x:v>0.05</x:v>
      </x:c>
      <x:c r="E328" s="647" t="n">
        <x:f>'117_价格概率传导'!A7</x:f>
        <x:v>253900</x:v>
      </x:c>
      <x:c r="F328" s="648" t="n">
        <x:f>'117_价格概率传导'!D7</x:f>
        <x:v>0.05</x:v>
      </x:c>
      <x:c r="G328" s="648" t="n">
        <x:f>SUM('117_价格概率传导'!$D$6:$D$6)</x:f>
        <x:v>0.03</x:v>
      </x:c>
      <x:c r="H328" s="648" t="n">
        <x:f>SUM('117_价格概率传导'!$D$6:$D$7)</x:f>
        <x:v>0.08</x:v>
      </x:c>
      <x:c r="I328" s="647" t="n">
        <x:f>'117_价格概率传导'!A19</x:f>
        <x:v>279900</x:v>
      </x:c>
      <x:c r="J328" s="648" t="n">
        <x:f>'117_价格概率传导'!D19</x:f>
        <x:v>0.44</x:v>
      </x:c>
      <x:c r="K328" s="648" t="n">
        <x:f>SUM('117_价格概率传导'!$D$16:$D$18)</x:f>
        <x:v>0.27</x:v>
      </x:c>
      <x:c r="L328" s="648" t="n">
        <x:f>SUM('117_价格概率传导'!$D$16:$D$19)</x:f>
        <x:v>0.71</x:v>
      </x:c>
      <x:c r="M328" s="648" t="n">
        <x:f>MAX(0,MIN(H328,L328)-MAX(G328,K328))</x:f>
        <x:v>0</x:v>
      </x:c>
      <x:c r="N328" s="648" t="n">
        <x:f>B328*D328*M328</x:f>
        <x:v>0</x:v>
      </x:c>
      <x:c r="O328" s="647" t="n">
        <x:f>MIN(299900,I328+20000)</x:f>
        <x:v>299900</x:v>
      </x:c>
      <x:c r="P328" s="647" t="str">
        <x:f>""</x:f>
      </x:c>
      <x:c r="Q328" s="647" t="n">
        <x:f>O328-20000</x:f>
        <x:v>279900</x:v>
      </x:c>
      <x:c r="R328" s="647" t="n">
        <x:f>O328-E328</x:f>
        <x:v>46000</x:v>
      </x:c>
      <x:c r="S328" s="647" t="str">
        <x:f>IF(P328&gt;0,P328-E328,"")</x:f>
      </x:c>
      <x:c r="T328" s="647" t="n">
        <x:f>IF(Q328&gt;0,Q328-E328,"")</x:f>
        <x:v>26000</x:v>
      </x:c>
      <x:c r="U328" s="648" t="n">
        <x:f>IF(R328&lt;30000,N328,0)</x:f>
        <x:v>0</x:v>
      </x:c>
      <x:c r="V328" s="648" t="n">
        <x:f>IF(P328&gt;0,N328,0)</x:f>
        <x:v>0</x:v>
      </x:c>
      <x:c r="W328" s="648" t="n">
        <x:f>IF(AND(P328&gt;0,S328&lt;0),N328,0)</x:f>
        <x:v>0</x:v>
      </x:c>
      <x:c r="X328" s="648" t="n">
        <x:f>IF(AND(P328&gt;0,S328=0),N328,0)</x:f>
        <x:v>0</x:v>
      </x:c>
      <x:c r="Y328" s="648" t="n">
        <x:f>IF(Q328&gt;0,N328,0)</x:f>
        <x:v>0</x:v>
      </x:c>
      <x:c r="Z328" s="647" t="n">
        <x:f>IF(P328&gt;0,N328*S328,0)</x:f>
        <x:v>0</x:v>
      </x:c>
      <x:c r="AA328" s="647" t="n">
        <x:f>IF(Q328&gt;0,N328*T328,0)</x:f>
        <x:v>0</x:v>
      </x:c>
      <x:c r="AB328" s="647" t="n">
        <x:f>N328*R328</x:f>
        <x:v>0</x:v>
      </x:c>
      <x:c r="AC328" s="647" t="n">
        <x:f>IF(N328&gt;0,R328,999999)</x:f>
        <x:v>999999</x:v>
      </x:c>
      <x:c r="AD328" s="647" t="n">
        <x:f>IF(AND(N328&gt;0,P328&gt;0),S328,999999)</x:f>
        <x:v>999999</x:v>
      </x:c>
      <x:c r="AE328" s="647" t="n">
        <x:f>IF(AND(N328&gt;0,Q328&gt;0),T328,999999)</x:f>
        <x:v>999999</x:v>
      </x:c>
      <x:c r="AF328" s="648" t="n">
        <x:f>B328*D328*F328*J328</x:f>
        <x:v>0.0005500000000000001</x:v>
      </x:c>
      <x:c r="AG328" s="648" t="n">
        <x:f>IF(P328&gt;0,AF328,0)</x:f>
        <x:v>0</x:v>
      </x:c>
      <x:c r="AH328" s="648" t="n">
        <x:f>IF(AND(P328&gt;0,S328&lt;0),AF328,0)</x:f>
        <x:v>0</x:v>
      </x:c>
      <x:c r="AI328" s="648" t="n">
        <x:f>IF(AND(P328&gt;0,S328=0),AF328,0)</x:f>
        <x:v>0</x:v>
      </x:c>
      <x:c r="AJ328" s="648" t="n">
        <x:f>IF(R328&lt;30000,AF328,0)</x:f>
        <x:v>0</x:v>
      </x:c>
      <x:c r="AK328" s="647" t="n">
        <x:f>IF(P328&gt;0,AF328*S328,0)</x:f>
        <x:v>0</x:v>
      </x:c>
    </x:row>
    <x:row r="329" ht="22" customHeight="1">
      <x:c r="A329" s="19" t="str">
        <x:v>中心</x:v>
      </x:c>
      <x:c r="B329" s="23" t="n">
        <x:f>'114_降本系数'!B27</x:f>
        <x:v>0.5</x:v>
      </x:c>
      <x:c r="C329" s="19" t="str">
        <x:v>L2</x:v>
      </x:c>
      <x:c r="D329" s="23" t="n">
        <x:f>'130_联合算法'!C19</x:f>
        <x:v>0.05</x:v>
      </x:c>
      <x:c r="E329" s="460" t="n">
        <x:f>'117_价格概率传导'!A7</x:f>
        <x:v>253900</x:v>
      </x:c>
      <x:c r="F329" s="23" t="n">
        <x:f>'117_价格概率传导'!D7</x:f>
        <x:v>0.05</x:v>
      </x:c>
      <x:c r="G329" s="23" t="n">
        <x:f>SUM('117_价格概率传导'!$D$6:$D$6)</x:f>
        <x:v>0.03</x:v>
      </x:c>
      <x:c r="H329" s="23" t="n">
        <x:f>SUM('117_价格概率传导'!$D$6:$D$7)</x:f>
        <x:v>0.08</x:v>
      </x:c>
      <x:c r="I329" s="460" t="n">
        <x:f>'117_价格概率传导'!A20</x:f>
        <x:v>269900</x:v>
      </x:c>
      <x:c r="J329" s="23" t="n">
        <x:f>'117_价格概率传导'!D20</x:f>
        <x:v>0.23</x:v>
      </x:c>
      <x:c r="K329" s="23" t="n">
        <x:f>SUM('117_价格概率传导'!$D$16:$D$19)</x:f>
        <x:v>0.71</x:v>
      </x:c>
      <x:c r="L329" s="23" t="n">
        <x:f>SUM('117_价格概率传导'!$D$16:$D$20)</x:f>
        <x:v>0.94</x:v>
      </x:c>
      <x:c r="M329" s="23" t="n">
        <x:f>MAX(0,MIN(H329,L329)-MAX(G329,K329))</x:f>
        <x:v>0</x:v>
      </x:c>
      <x:c r="N329" s="23" t="n">
        <x:f>B329*D329*M329</x:f>
        <x:v>0</x:v>
      </x:c>
      <x:c r="O329" s="460" t="n">
        <x:f>MIN(299900,I329+20000)</x:f>
        <x:v>289900</x:v>
      </x:c>
      <x:c r="P329" s="460" t="str">
        <x:f>""</x:f>
      </x:c>
      <x:c r="Q329" s="460" t="n">
        <x:f>O329-20000</x:f>
        <x:v>269900</x:v>
      </x:c>
      <x:c r="R329" s="460" t="n">
        <x:f>O329-E329</x:f>
        <x:v>36000</x:v>
      </x:c>
      <x:c r="S329" s="460" t="str">
        <x:f>IF(P329&gt;0,P329-E329,"")</x:f>
      </x:c>
      <x:c r="T329" s="460" t="n">
        <x:f>IF(Q329&gt;0,Q329-E329,"")</x:f>
        <x:v>16000</x:v>
      </x:c>
      <x:c r="U329" s="23" t="n">
        <x:f>IF(R329&lt;30000,N329,0)</x:f>
        <x:v>0</x:v>
      </x:c>
      <x:c r="V329" s="23" t="n">
        <x:f>IF(P329&gt;0,N329,0)</x:f>
        <x:v>0</x:v>
      </x:c>
      <x:c r="W329" s="23" t="n">
        <x:f>IF(AND(P329&gt;0,S329&lt;0),N329,0)</x:f>
        <x:v>0</x:v>
      </x:c>
      <x:c r="X329" s="23" t="n">
        <x:f>IF(AND(P329&gt;0,S329=0),N329,0)</x:f>
        <x:v>0</x:v>
      </x:c>
      <x:c r="Y329" s="23" t="n">
        <x:f>IF(Q329&gt;0,N329,0)</x:f>
        <x:v>0</x:v>
      </x:c>
      <x:c r="Z329" s="460" t="n">
        <x:f>IF(P329&gt;0,N329*S329,0)</x:f>
        <x:v>0</x:v>
      </x:c>
      <x:c r="AA329" s="460" t="n">
        <x:f>IF(Q329&gt;0,N329*T329,0)</x:f>
        <x:v>0</x:v>
      </x:c>
      <x:c r="AB329" s="460" t="n">
        <x:f>N329*R329</x:f>
        <x:v>0</x:v>
      </x:c>
      <x:c r="AC329" s="460" t="n">
        <x:f>IF(N329&gt;0,R329,999999)</x:f>
        <x:v>999999</x:v>
      </x:c>
      <x:c r="AD329" s="460" t="n">
        <x:f>IF(AND(N329&gt;0,P329&gt;0),S329,999999)</x:f>
        <x:v>999999</x:v>
      </x:c>
      <x:c r="AE329" s="460" t="n">
        <x:f>IF(AND(N329&gt;0,Q329&gt;0),T329,999999)</x:f>
        <x:v>999999</x:v>
      </x:c>
      <x:c r="AF329" s="23" t="n">
        <x:f>B329*D329*F329*J329</x:f>
        <x:v>0.00028750000000000005</x:v>
      </x:c>
      <x:c r="AG329" s="23" t="n">
        <x:f>IF(P329&gt;0,AF329,0)</x:f>
        <x:v>0</x:v>
      </x:c>
      <x:c r="AH329" s="23" t="n">
        <x:f>IF(AND(P329&gt;0,S329&lt;0),AF329,0)</x:f>
        <x:v>0</x:v>
      </x:c>
      <x:c r="AI329" s="23" t="n">
        <x:f>IF(AND(P329&gt;0,S329=0),AF329,0)</x:f>
        <x:v>0</x:v>
      </x:c>
      <x:c r="AJ329" s="23" t="n">
        <x:f>IF(R329&lt;30000,AF329,0)</x:f>
        <x:v>0</x:v>
      </x:c>
      <x:c r="AK329" s="460" t="n">
        <x:f>IF(P329&gt;0,AF329*S329,0)</x:f>
        <x:v>0</x:v>
      </x:c>
    </x:row>
    <x:row r="330" ht="22" customHeight="1">
      <x:c r="A330" s="643" t="str">
        <x:v>中心</x:v>
      </x:c>
      <x:c r="B330" s="648" t="n">
        <x:f>'114_降本系数'!B27</x:f>
        <x:v>0.5</x:v>
      </x:c>
      <x:c r="C330" s="643" t="str">
        <x:v>L2</x:v>
      </x:c>
      <x:c r="D330" s="648" t="n">
        <x:f>'130_联合算法'!C19</x:f>
        <x:v>0.05</x:v>
      </x:c>
      <x:c r="E330" s="647" t="n">
        <x:f>'117_价格概率传导'!A7</x:f>
        <x:v>253900</x:v>
      </x:c>
      <x:c r="F330" s="648" t="n">
        <x:f>'117_价格概率传导'!D7</x:f>
        <x:v>0.05</x:v>
      </x:c>
      <x:c r="G330" s="648" t="n">
        <x:f>SUM('117_价格概率传导'!$D$6:$D$6)</x:f>
        <x:v>0.03</x:v>
      </x:c>
      <x:c r="H330" s="648" t="n">
        <x:f>SUM('117_价格概率传导'!$D$6:$D$7)</x:f>
        <x:v>0.08</x:v>
      </x:c>
      <x:c r="I330" s="647" t="n">
        <x:f>'117_价格概率传导'!A21</x:f>
        <x:v>259900</x:v>
      </x:c>
      <x:c r="J330" s="648" t="n">
        <x:f>'117_价格概率传导'!D21</x:f>
        <x:v>0.06</x:v>
      </x:c>
      <x:c r="K330" s="648" t="n">
        <x:f>SUM('117_价格概率传导'!$D$16:$D$20)</x:f>
        <x:v>0.94</x:v>
      </x:c>
      <x:c r="L330" s="648" t="n">
        <x:f>SUM('117_价格概率传导'!$D$16:$D$21)</x:f>
        <x:v>1</x:v>
      </x:c>
      <x:c r="M330" s="648" t="n">
        <x:f>MAX(0,MIN(H330,L330)-MAX(G330,K330))</x:f>
        <x:v>0</x:v>
      </x:c>
      <x:c r="N330" s="648" t="n">
        <x:f>B330*D330*M330</x:f>
        <x:v>0</x:v>
      </x:c>
      <x:c r="O330" s="647" t="n">
        <x:f>MIN(299900,I330+20000)</x:f>
        <x:v>279900</x:v>
      </x:c>
      <x:c r="P330" s="647" t="str">
        <x:f>""</x:f>
      </x:c>
      <x:c r="Q330" s="647" t="n">
        <x:f>O330-20000</x:f>
        <x:v>259900</x:v>
      </x:c>
      <x:c r="R330" s="647" t="n">
        <x:f>O330-E330</x:f>
        <x:v>26000</x:v>
      </x:c>
      <x:c r="S330" s="647" t="str">
        <x:f>IF(P330&gt;0,P330-E330,"")</x:f>
      </x:c>
      <x:c r="T330" s="647" t="n">
        <x:f>IF(Q330&gt;0,Q330-E330,"")</x:f>
        <x:v>6000</x:v>
      </x:c>
      <x:c r="U330" s="648" t="n">
        <x:f>IF(R330&lt;30000,N330,0)</x:f>
        <x:v>0</x:v>
      </x:c>
      <x:c r="V330" s="648" t="n">
        <x:f>IF(P330&gt;0,N330,0)</x:f>
        <x:v>0</x:v>
      </x:c>
      <x:c r="W330" s="648" t="n">
        <x:f>IF(AND(P330&gt;0,S330&lt;0),N330,0)</x:f>
        <x:v>0</x:v>
      </x:c>
      <x:c r="X330" s="648" t="n">
        <x:f>IF(AND(P330&gt;0,S330=0),N330,0)</x:f>
        <x:v>0</x:v>
      </x:c>
      <x:c r="Y330" s="648" t="n">
        <x:f>IF(Q330&gt;0,N330,0)</x:f>
        <x:v>0</x:v>
      </x:c>
      <x:c r="Z330" s="647" t="n">
        <x:f>IF(P330&gt;0,N330*S330,0)</x:f>
        <x:v>0</x:v>
      </x:c>
      <x:c r="AA330" s="647" t="n">
        <x:f>IF(Q330&gt;0,N330*T330,0)</x:f>
        <x:v>0</x:v>
      </x:c>
      <x:c r="AB330" s="647" t="n">
        <x:f>N330*R330</x:f>
        <x:v>0</x:v>
      </x:c>
      <x:c r="AC330" s="647" t="n">
        <x:f>IF(N330&gt;0,R330,999999)</x:f>
        <x:v>999999</x:v>
      </x:c>
      <x:c r="AD330" s="647" t="n">
        <x:f>IF(AND(N330&gt;0,P330&gt;0),S330,999999)</x:f>
        <x:v>999999</x:v>
      </x:c>
      <x:c r="AE330" s="647" t="n">
        <x:f>IF(AND(N330&gt;0,Q330&gt;0),T330,999999)</x:f>
        <x:v>999999</x:v>
      </x:c>
      <x:c r="AF330" s="648" t="n">
        <x:f>B330*D330*F330*J330</x:f>
        <x:v>0.00007500000000000001</x:v>
      </x:c>
      <x:c r="AG330" s="648" t="n">
        <x:f>IF(P330&gt;0,AF330,0)</x:f>
        <x:v>0</x:v>
      </x:c>
      <x:c r="AH330" s="648" t="n">
        <x:f>IF(AND(P330&gt;0,S330&lt;0),AF330,0)</x:f>
        <x:v>0</x:v>
      </x:c>
      <x:c r="AI330" s="648" t="n">
        <x:f>IF(AND(P330&gt;0,S330=0),AF330,0)</x:f>
        <x:v>0</x:v>
      </x:c>
      <x:c r="AJ330" s="648" t="n">
        <x:f>IF(R330&lt;30000,AF330,0)</x:f>
        <x:v>0.00007500000000000001</x:v>
      </x:c>
      <x:c r="AK330" s="647" t="n">
        <x:f>IF(P330&gt;0,AF330*S330,0)</x:f>
        <x:v>0</x:v>
      </x:c>
    </x:row>
    <x:row r="331" ht="22" customHeight="1">
      <x:c r="A331" s="19" t="str">
        <x:v>中心</x:v>
      </x:c>
      <x:c r="B331" s="23" t="n">
        <x:f>'114_降本系数'!B27</x:f>
        <x:v>0.5</x:v>
      </x:c>
      <x:c r="C331" s="19" t="str">
        <x:v>L2</x:v>
      </x:c>
      <x:c r="D331" s="23" t="n">
        <x:f>'130_联合算法'!C19</x:f>
        <x:v>0.05</x:v>
      </x:c>
      <x:c r="E331" s="460" t="n">
        <x:f>'117_价格概率传导'!A8</x:f>
        <x:v>249900</x:v>
      </x:c>
      <x:c r="F331" s="23" t="n">
        <x:f>'117_价格概率传导'!D8</x:f>
        <x:v>0.42</x:v>
      </x:c>
      <x:c r="G331" s="23" t="n">
        <x:f>SUM('117_价格概率传导'!$D$6:$D$7)</x:f>
        <x:v>0.08</x:v>
      </x:c>
      <x:c r="H331" s="23" t="n">
        <x:f>SUM('117_价格概率传导'!$D$6:$D$8)</x:f>
        <x:v>0.5</x:v>
      </x:c>
      <x:c r="I331" s="460" t="n">
        <x:f>'117_价格概率传导'!A16</x:f>
        <x:v>299900</x:v>
      </x:c>
      <x:c r="J331" s="23" t="n">
        <x:f>'117_价格概率传导'!D16</x:f>
        <x:v>0.02</x:v>
      </x:c>
      <x:c r="K331" s="23" t="n">
        <x:f>0</x:f>
        <x:v>0</x:v>
      </x:c>
      <x:c r="L331" s="23" t="n">
        <x:f>SUM('117_价格概率传导'!$D$16:$D$16)</x:f>
        <x:v>0.02</x:v>
      </x:c>
      <x:c r="M331" s="23" t="n">
        <x:f>MAX(0,MIN(H331,L331)-MAX(G331,K331))</x:f>
        <x:v>0</x:v>
      </x:c>
      <x:c r="N331" s="23" t="n">
        <x:f>B331*D331*M331</x:f>
        <x:v>0</x:v>
      </x:c>
      <x:c r="O331" s="460" t="n">
        <x:f>MIN(299900,I331+20000)</x:f>
        <x:v>299900</x:v>
      </x:c>
      <x:c r="P331" s="460" t="str">
        <x:f>""</x:f>
      </x:c>
      <x:c r="Q331" s="460" t="n">
        <x:f>O331-20000</x:f>
        <x:v>279900</x:v>
      </x:c>
      <x:c r="R331" s="460" t="n">
        <x:f>O331-E331</x:f>
        <x:v>50000</x:v>
      </x:c>
      <x:c r="S331" s="460" t="str">
        <x:f>IF(P331&gt;0,P331-E331,"")</x:f>
      </x:c>
      <x:c r="T331" s="460" t="n">
        <x:f>IF(Q331&gt;0,Q331-E331,"")</x:f>
        <x:v>30000</x:v>
      </x:c>
      <x:c r="U331" s="23" t="n">
        <x:f>IF(R331&lt;30000,N331,0)</x:f>
        <x:v>0</x:v>
      </x:c>
      <x:c r="V331" s="23" t="n">
        <x:f>IF(P331&gt;0,N331,0)</x:f>
        <x:v>0</x:v>
      </x:c>
      <x:c r="W331" s="23" t="n">
        <x:f>IF(AND(P331&gt;0,S331&lt;0),N331,0)</x:f>
        <x:v>0</x:v>
      </x:c>
      <x:c r="X331" s="23" t="n">
        <x:f>IF(AND(P331&gt;0,S331=0),N331,0)</x:f>
        <x:v>0</x:v>
      </x:c>
      <x:c r="Y331" s="23" t="n">
        <x:f>IF(Q331&gt;0,N331,0)</x:f>
        <x:v>0</x:v>
      </x:c>
      <x:c r="Z331" s="460" t="n">
        <x:f>IF(P331&gt;0,N331*S331,0)</x:f>
        <x:v>0</x:v>
      </x:c>
      <x:c r="AA331" s="460" t="n">
        <x:f>IF(Q331&gt;0,N331*T331,0)</x:f>
        <x:v>0</x:v>
      </x:c>
      <x:c r="AB331" s="460" t="n">
        <x:f>N331*R331</x:f>
        <x:v>0</x:v>
      </x:c>
      <x:c r="AC331" s="460" t="n">
        <x:f>IF(N331&gt;0,R331,999999)</x:f>
        <x:v>999999</x:v>
      </x:c>
      <x:c r="AD331" s="460" t="n">
        <x:f>IF(AND(N331&gt;0,P331&gt;0),S331,999999)</x:f>
        <x:v>999999</x:v>
      </x:c>
      <x:c r="AE331" s="460" t="n">
        <x:f>IF(AND(N331&gt;0,Q331&gt;0),T331,999999)</x:f>
        <x:v>999999</x:v>
      </x:c>
      <x:c r="AF331" s="23" t="n">
        <x:f>B331*D331*F331*J331</x:f>
        <x:v>0.00021</x:v>
      </x:c>
      <x:c r="AG331" s="23" t="n">
        <x:f>IF(P331&gt;0,AF331,0)</x:f>
        <x:v>0</x:v>
      </x:c>
      <x:c r="AH331" s="23" t="n">
        <x:f>IF(AND(P331&gt;0,S331&lt;0),AF331,0)</x:f>
        <x:v>0</x:v>
      </x:c>
      <x:c r="AI331" s="23" t="n">
        <x:f>IF(AND(P331&gt;0,S331=0),AF331,0)</x:f>
        <x:v>0</x:v>
      </x:c>
      <x:c r="AJ331" s="23" t="n">
        <x:f>IF(R331&lt;30000,AF331,0)</x:f>
        <x:v>0</x:v>
      </x:c>
      <x:c r="AK331" s="460" t="n">
        <x:f>IF(P331&gt;0,AF331*S331,0)</x:f>
        <x:v>0</x:v>
      </x:c>
    </x:row>
    <x:row r="332" ht="22" customHeight="1">
      <x:c r="A332" s="643" t="str">
        <x:v>中心</x:v>
      </x:c>
      <x:c r="B332" s="648" t="n">
        <x:f>'114_降本系数'!B27</x:f>
        <x:v>0.5</x:v>
      </x:c>
      <x:c r="C332" s="643" t="str">
        <x:v>L2</x:v>
      </x:c>
      <x:c r="D332" s="648" t="n">
        <x:f>'130_联合算法'!C19</x:f>
        <x:v>0.05</x:v>
      </x:c>
      <x:c r="E332" s="647" t="n">
        <x:f>'117_价格概率传导'!A8</x:f>
        <x:v>249900</x:v>
      </x:c>
      <x:c r="F332" s="648" t="n">
        <x:f>'117_价格概率传导'!D8</x:f>
        <x:v>0.42</x:v>
      </x:c>
      <x:c r="G332" s="648" t="n">
        <x:f>SUM('117_价格概率传导'!$D$6:$D$7)</x:f>
        <x:v>0.08</x:v>
      </x:c>
      <x:c r="H332" s="648" t="n">
        <x:f>SUM('117_价格概率传导'!$D$6:$D$8)</x:f>
        <x:v>0.5</x:v>
      </x:c>
      <x:c r="I332" s="647" t="n">
        <x:f>'117_价格概率传导'!A17</x:f>
        <x:v>293900</x:v>
      </x:c>
      <x:c r="J332" s="648" t="n">
        <x:f>'117_价格概率传导'!D17</x:f>
        <x:v>0.03</x:v>
      </x:c>
      <x:c r="K332" s="648" t="n">
        <x:f>SUM('117_价格概率传导'!$D$16:$D$16)</x:f>
        <x:v>0.02</x:v>
      </x:c>
      <x:c r="L332" s="648" t="n">
        <x:f>SUM('117_价格概率传导'!$D$16:$D$17)</x:f>
        <x:v>0.05</x:v>
      </x:c>
      <x:c r="M332" s="648" t="n">
        <x:f>MAX(0,MIN(H332,L332)-MAX(G332,K332))</x:f>
        <x:v>0</x:v>
      </x:c>
      <x:c r="N332" s="648" t="n">
        <x:f>B332*D332*M332</x:f>
        <x:v>0</x:v>
      </x:c>
      <x:c r="O332" s="647" t="n">
        <x:f>MIN(299900,I332+20000)</x:f>
        <x:v>299900</x:v>
      </x:c>
      <x:c r="P332" s="647" t="str">
        <x:f>""</x:f>
      </x:c>
      <x:c r="Q332" s="647" t="n">
        <x:f>O332-20000</x:f>
        <x:v>279900</x:v>
      </x:c>
      <x:c r="R332" s="647" t="n">
        <x:f>O332-E332</x:f>
        <x:v>50000</x:v>
      </x:c>
      <x:c r="S332" s="647" t="str">
        <x:f>IF(P332&gt;0,P332-E332,"")</x:f>
      </x:c>
      <x:c r="T332" s="647" t="n">
        <x:f>IF(Q332&gt;0,Q332-E332,"")</x:f>
        <x:v>30000</x:v>
      </x:c>
      <x:c r="U332" s="648" t="n">
        <x:f>IF(R332&lt;30000,N332,0)</x:f>
        <x:v>0</x:v>
      </x:c>
      <x:c r="V332" s="648" t="n">
        <x:f>IF(P332&gt;0,N332,0)</x:f>
        <x:v>0</x:v>
      </x:c>
      <x:c r="W332" s="648" t="n">
        <x:f>IF(AND(P332&gt;0,S332&lt;0),N332,0)</x:f>
        <x:v>0</x:v>
      </x:c>
      <x:c r="X332" s="648" t="n">
        <x:f>IF(AND(P332&gt;0,S332=0),N332,0)</x:f>
        <x:v>0</x:v>
      </x:c>
      <x:c r="Y332" s="648" t="n">
        <x:f>IF(Q332&gt;0,N332,0)</x:f>
        <x:v>0</x:v>
      </x:c>
      <x:c r="Z332" s="647" t="n">
        <x:f>IF(P332&gt;0,N332*S332,0)</x:f>
        <x:v>0</x:v>
      </x:c>
      <x:c r="AA332" s="647" t="n">
        <x:f>IF(Q332&gt;0,N332*T332,0)</x:f>
        <x:v>0</x:v>
      </x:c>
      <x:c r="AB332" s="647" t="n">
        <x:f>N332*R332</x:f>
        <x:v>0</x:v>
      </x:c>
      <x:c r="AC332" s="647" t="n">
        <x:f>IF(N332&gt;0,R332,999999)</x:f>
        <x:v>999999</x:v>
      </x:c>
      <x:c r="AD332" s="647" t="n">
        <x:f>IF(AND(N332&gt;0,P332&gt;0),S332,999999)</x:f>
        <x:v>999999</x:v>
      </x:c>
      <x:c r="AE332" s="647" t="n">
        <x:f>IF(AND(N332&gt;0,Q332&gt;0),T332,999999)</x:f>
        <x:v>999999</x:v>
      </x:c>
      <x:c r="AF332" s="648" t="n">
        <x:f>B332*D332*F332*J332</x:f>
        <x:v>0.000315</x:v>
      </x:c>
      <x:c r="AG332" s="648" t="n">
        <x:f>IF(P332&gt;0,AF332,0)</x:f>
        <x:v>0</x:v>
      </x:c>
      <x:c r="AH332" s="648" t="n">
        <x:f>IF(AND(P332&gt;0,S332&lt;0),AF332,0)</x:f>
        <x:v>0</x:v>
      </x:c>
      <x:c r="AI332" s="648" t="n">
        <x:f>IF(AND(P332&gt;0,S332=0),AF332,0)</x:f>
        <x:v>0</x:v>
      </x:c>
      <x:c r="AJ332" s="648" t="n">
        <x:f>IF(R332&lt;30000,AF332,0)</x:f>
        <x:v>0</x:v>
      </x:c>
      <x:c r="AK332" s="647" t="n">
        <x:f>IF(P332&gt;0,AF332*S332,0)</x:f>
        <x:v>0</x:v>
      </x:c>
    </x:row>
    <x:row r="333" ht="22" customHeight="1">
      <x:c r="A333" s="19" t="str">
        <x:v>中心</x:v>
      </x:c>
      <x:c r="B333" s="23" t="n">
        <x:f>'114_降本系数'!B27</x:f>
        <x:v>0.5</x:v>
      </x:c>
      <x:c r="C333" s="19" t="str">
        <x:v>L2</x:v>
      </x:c>
      <x:c r="D333" s="23" t="n">
        <x:f>'130_联合算法'!C19</x:f>
        <x:v>0.05</x:v>
      </x:c>
      <x:c r="E333" s="460" t="n">
        <x:f>'117_价格概率传导'!A8</x:f>
        <x:v>249900</x:v>
      </x:c>
      <x:c r="F333" s="23" t="n">
        <x:f>'117_价格概率传导'!D8</x:f>
        <x:v>0.42</x:v>
      </x:c>
      <x:c r="G333" s="23" t="n">
        <x:f>SUM('117_价格概率传导'!$D$6:$D$7)</x:f>
        <x:v>0.08</x:v>
      </x:c>
      <x:c r="H333" s="23" t="n">
        <x:f>SUM('117_价格概率传导'!$D$6:$D$8)</x:f>
        <x:v>0.5</x:v>
      </x:c>
      <x:c r="I333" s="460" t="n">
        <x:f>'117_价格概率传导'!A18</x:f>
        <x:v>289900</x:v>
      </x:c>
      <x:c r="J333" s="23" t="n">
        <x:f>'117_价格概率传导'!D18</x:f>
        <x:v>0.22</x:v>
      </x:c>
      <x:c r="K333" s="23" t="n">
        <x:f>SUM('117_价格概率传导'!$D$16:$D$17)</x:f>
        <x:v>0.05</x:v>
      </x:c>
      <x:c r="L333" s="23" t="n">
        <x:f>SUM('117_价格概率传导'!$D$16:$D$18)</x:f>
        <x:v>0.27</x:v>
      </x:c>
      <x:c r="M333" s="23" t="n">
        <x:f>MAX(0,MIN(H333,L333)-MAX(G333,K333))</x:f>
        <x:v>0.19</x:v>
      </x:c>
      <x:c r="N333" s="23" t="n">
        <x:f>B333*D333*M333</x:f>
        <x:v>0.004750000000000001</x:v>
      </x:c>
      <x:c r="O333" s="460" t="n">
        <x:f>MIN(299900,I333+20000)</x:f>
        <x:v>299900</x:v>
      </x:c>
      <x:c r="P333" s="460" t="str">
        <x:f>""</x:f>
      </x:c>
      <x:c r="Q333" s="460" t="n">
        <x:f>O333-20000</x:f>
        <x:v>279900</x:v>
      </x:c>
      <x:c r="R333" s="460" t="n">
        <x:f>O333-E333</x:f>
        <x:v>50000</x:v>
      </x:c>
      <x:c r="S333" s="460" t="str">
        <x:f>IF(P333&gt;0,P333-E333,"")</x:f>
      </x:c>
      <x:c r="T333" s="460" t="n">
        <x:f>IF(Q333&gt;0,Q333-E333,"")</x:f>
        <x:v>30000</x:v>
      </x:c>
      <x:c r="U333" s="23" t="n">
        <x:f>IF(R333&lt;30000,N333,0)</x:f>
        <x:v>0</x:v>
      </x:c>
      <x:c r="V333" s="23" t="n">
        <x:f>IF(P333&gt;0,N333,0)</x:f>
        <x:v>0</x:v>
      </x:c>
      <x:c r="W333" s="23" t="n">
        <x:f>IF(AND(P333&gt;0,S333&lt;0),N333,0)</x:f>
        <x:v>0</x:v>
      </x:c>
      <x:c r="X333" s="23" t="n">
        <x:f>IF(AND(P333&gt;0,S333=0),N333,0)</x:f>
        <x:v>0</x:v>
      </x:c>
      <x:c r="Y333" s="23" t="n">
        <x:f>IF(Q333&gt;0,N333,0)</x:f>
        <x:v>0.004750000000000001</x:v>
      </x:c>
      <x:c r="Z333" s="460" t="n">
        <x:f>IF(P333&gt;0,N333*S333,0)</x:f>
        <x:v>0</x:v>
      </x:c>
      <x:c r="AA333" s="460" t="n">
        <x:f>IF(Q333&gt;0,N333*T333,0)</x:f>
        <x:v>142.50000000000003</x:v>
      </x:c>
      <x:c r="AB333" s="460" t="n">
        <x:f>N333*R333</x:f>
        <x:v>237.50000000000003</x:v>
      </x:c>
      <x:c r="AC333" s="460" t="n">
        <x:f>IF(N333&gt;0,R333,999999)</x:f>
        <x:v>50000</x:v>
      </x:c>
      <x:c r="AD333" s="460" t="n">
        <x:f>IF(AND(N333&gt;0,P333&gt;0),S333,999999)</x:f>
        <x:v>999999</x:v>
      </x:c>
      <x:c r="AE333" s="460" t="n">
        <x:f>IF(AND(N333&gt;0,Q333&gt;0),T333,999999)</x:f>
        <x:v>30000</x:v>
      </x:c>
      <x:c r="AF333" s="23" t="n">
        <x:f>B333*D333*F333*J333</x:f>
        <x:v>0.00231</x:v>
      </x:c>
      <x:c r="AG333" s="23" t="n">
        <x:f>IF(P333&gt;0,AF333,0)</x:f>
        <x:v>0</x:v>
      </x:c>
      <x:c r="AH333" s="23" t="n">
        <x:f>IF(AND(P333&gt;0,S333&lt;0),AF333,0)</x:f>
        <x:v>0</x:v>
      </x:c>
      <x:c r="AI333" s="23" t="n">
        <x:f>IF(AND(P333&gt;0,S333=0),AF333,0)</x:f>
        <x:v>0</x:v>
      </x:c>
      <x:c r="AJ333" s="23" t="n">
        <x:f>IF(R333&lt;30000,AF333,0)</x:f>
        <x:v>0</x:v>
      </x:c>
      <x:c r="AK333" s="460" t="n">
        <x:f>IF(P333&gt;0,AF333*S333,0)</x:f>
        <x:v>0</x:v>
      </x:c>
    </x:row>
    <x:row r="334" ht="22" customHeight="1">
      <x:c r="A334" s="643" t="str">
        <x:v>中心</x:v>
      </x:c>
      <x:c r="B334" s="648" t="n">
        <x:f>'114_降本系数'!B27</x:f>
        <x:v>0.5</x:v>
      </x:c>
      <x:c r="C334" s="643" t="str">
        <x:v>L2</x:v>
      </x:c>
      <x:c r="D334" s="648" t="n">
        <x:f>'130_联合算法'!C19</x:f>
        <x:v>0.05</x:v>
      </x:c>
      <x:c r="E334" s="647" t="n">
        <x:f>'117_价格概率传导'!A8</x:f>
        <x:v>249900</x:v>
      </x:c>
      <x:c r="F334" s="648" t="n">
        <x:f>'117_价格概率传导'!D8</x:f>
        <x:v>0.42</x:v>
      </x:c>
      <x:c r="G334" s="648" t="n">
        <x:f>SUM('117_价格概率传导'!$D$6:$D$7)</x:f>
        <x:v>0.08</x:v>
      </x:c>
      <x:c r="H334" s="648" t="n">
        <x:f>SUM('117_价格概率传导'!$D$6:$D$8)</x:f>
        <x:v>0.5</x:v>
      </x:c>
      <x:c r="I334" s="647" t="n">
        <x:f>'117_价格概率传导'!A19</x:f>
        <x:v>279900</x:v>
      </x:c>
      <x:c r="J334" s="648" t="n">
        <x:f>'117_价格概率传导'!D19</x:f>
        <x:v>0.44</x:v>
      </x:c>
      <x:c r="K334" s="648" t="n">
        <x:f>SUM('117_价格概率传导'!$D$16:$D$18)</x:f>
        <x:v>0.27</x:v>
      </x:c>
      <x:c r="L334" s="648" t="n">
        <x:f>SUM('117_价格概率传导'!$D$16:$D$19)</x:f>
        <x:v>0.71</x:v>
      </x:c>
      <x:c r="M334" s="648" t="n">
        <x:f>MAX(0,MIN(H334,L334)-MAX(G334,K334))</x:f>
        <x:v>0.22999999999999998</x:v>
      </x:c>
      <x:c r="N334" s="648" t="n">
        <x:f>B334*D334*M334</x:f>
        <x:v>0.00575</x:v>
      </x:c>
      <x:c r="O334" s="647" t="n">
        <x:f>MIN(299900,I334+20000)</x:f>
        <x:v>299900</x:v>
      </x:c>
      <x:c r="P334" s="647" t="str">
        <x:f>""</x:f>
      </x:c>
      <x:c r="Q334" s="647" t="n">
        <x:f>O334-20000</x:f>
        <x:v>279900</x:v>
      </x:c>
      <x:c r="R334" s="647" t="n">
        <x:f>O334-E334</x:f>
        <x:v>50000</x:v>
      </x:c>
      <x:c r="S334" s="647" t="str">
        <x:f>IF(P334&gt;0,P334-E334,"")</x:f>
      </x:c>
      <x:c r="T334" s="647" t="n">
        <x:f>IF(Q334&gt;0,Q334-E334,"")</x:f>
        <x:v>30000</x:v>
      </x:c>
      <x:c r="U334" s="648" t="n">
        <x:f>IF(R334&lt;30000,N334,0)</x:f>
        <x:v>0</x:v>
      </x:c>
      <x:c r="V334" s="648" t="n">
        <x:f>IF(P334&gt;0,N334,0)</x:f>
        <x:v>0</x:v>
      </x:c>
      <x:c r="W334" s="648" t="n">
        <x:f>IF(AND(P334&gt;0,S334&lt;0),N334,0)</x:f>
        <x:v>0</x:v>
      </x:c>
      <x:c r="X334" s="648" t="n">
        <x:f>IF(AND(P334&gt;0,S334=0),N334,0)</x:f>
        <x:v>0</x:v>
      </x:c>
      <x:c r="Y334" s="648" t="n">
        <x:f>IF(Q334&gt;0,N334,0)</x:f>
        <x:v>0.00575</x:v>
      </x:c>
      <x:c r="Z334" s="647" t="n">
        <x:f>IF(P334&gt;0,N334*S334,0)</x:f>
        <x:v>0</x:v>
      </x:c>
      <x:c r="AA334" s="647" t="n">
        <x:f>IF(Q334&gt;0,N334*T334,0)</x:f>
        <x:v>172.5</x:v>
      </x:c>
      <x:c r="AB334" s="647" t="n">
        <x:f>N334*R334</x:f>
        <x:v>287.5</x:v>
      </x:c>
      <x:c r="AC334" s="647" t="n">
        <x:f>IF(N334&gt;0,R334,999999)</x:f>
        <x:v>50000</x:v>
      </x:c>
      <x:c r="AD334" s="647" t="n">
        <x:f>IF(AND(N334&gt;0,P334&gt;0),S334,999999)</x:f>
        <x:v>999999</x:v>
      </x:c>
      <x:c r="AE334" s="647" t="n">
        <x:f>IF(AND(N334&gt;0,Q334&gt;0),T334,999999)</x:f>
        <x:v>30000</x:v>
      </x:c>
      <x:c r="AF334" s="648" t="n">
        <x:f>B334*D334*F334*J334</x:f>
        <x:v>0.00462</x:v>
      </x:c>
      <x:c r="AG334" s="648" t="n">
        <x:f>IF(P334&gt;0,AF334,0)</x:f>
        <x:v>0</x:v>
      </x:c>
      <x:c r="AH334" s="648" t="n">
        <x:f>IF(AND(P334&gt;0,S334&lt;0),AF334,0)</x:f>
        <x:v>0</x:v>
      </x:c>
      <x:c r="AI334" s="648" t="n">
        <x:f>IF(AND(P334&gt;0,S334=0),AF334,0)</x:f>
        <x:v>0</x:v>
      </x:c>
      <x:c r="AJ334" s="648" t="n">
        <x:f>IF(R334&lt;30000,AF334,0)</x:f>
        <x:v>0</x:v>
      </x:c>
      <x:c r="AK334" s="647" t="n">
        <x:f>IF(P334&gt;0,AF334*S334,0)</x:f>
        <x:v>0</x:v>
      </x:c>
    </x:row>
    <x:row r="335" ht="22" customHeight="1">
      <x:c r="A335" s="19" t="str">
        <x:v>中心</x:v>
      </x:c>
      <x:c r="B335" s="23" t="n">
        <x:f>'114_降本系数'!B27</x:f>
        <x:v>0.5</x:v>
      </x:c>
      <x:c r="C335" s="19" t="str">
        <x:v>L2</x:v>
      </x:c>
      <x:c r="D335" s="23" t="n">
        <x:f>'130_联合算法'!C19</x:f>
        <x:v>0.05</x:v>
      </x:c>
      <x:c r="E335" s="460" t="n">
        <x:f>'117_价格概率传导'!A8</x:f>
        <x:v>249900</x:v>
      </x:c>
      <x:c r="F335" s="23" t="n">
        <x:f>'117_价格概率传导'!D8</x:f>
        <x:v>0.42</x:v>
      </x:c>
      <x:c r="G335" s="23" t="n">
        <x:f>SUM('117_价格概率传导'!$D$6:$D$7)</x:f>
        <x:v>0.08</x:v>
      </x:c>
      <x:c r="H335" s="23" t="n">
        <x:f>SUM('117_价格概率传导'!$D$6:$D$8)</x:f>
        <x:v>0.5</x:v>
      </x:c>
      <x:c r="I335" s="460" t="n">
        <x:f>'117_价格概率传导'!A20</x:f>
        <x:v>269900</x:v>
      </x:c>
      <x:c r="J335" s="23" t="n">
        <x:f>'117_价格概率传导'!D20</x:f>
        <x:v>0.23</x:v>
      </x:c>
      <x:c r="K335" s="23" t="n">
        <x:f>SUM('117_价格概率传导'!$D$16:$D$19)</x:f>
        <x:v>0.71</x:v>
      </x:c>
      <x:c r="L335" s="23" t="n">
        <x:f>SUM('117_价格概率传导'!$D$16:$D$20)</x:f>
        <x:v>0.94</x:v>
      </x:c>
      <x:c r="M335" s="23" t="n">
        <x:f>MAX(0,MIN(H335,L335)-MAX(G335,K335))</x:f>
        <x:v>0</x:v>
      </x:c>
      <x:c r="N335" s="23" t="n">
        <x:f>B335*D335*M335</x:f>
        <x:v>0</x:v>
      </x:c>
      <x:c r="O335" s="460" t="n">
        <x:f>MIN(299900,I335+20000)</x:f>
        <x:v>289900</x:v>
      </x:c>
      <x:c r="P335" s="460" t="str">
        <x:f>""</x:f>
      </x:c>
      <x:c r="Q335" s="460" t="n">
        <x:f>O335-20000</x:f>
        <x:v>269900</x:v>
      </x:c>
      <x:c r="R335" s="460" t="n">
        <x:f>O335-E335</x:f>
        <x:v>40000</x:v>
      </x:c>
      <x:c r="S335" s="460" t="str">
        <x:f>IF(P335&gt;0,P335-E335,"")</x:f>
      </x:c>
      <x:c r="T335" s="460" t="n">
        <x:f>IF(Q335&gt;0,Q335-E335,"")</x:f>
        <x:v>20000</x:v>
      </x:c>
      <x:c r="U335" s="23" t="n">
        <x:f>IF(R335&lt;30000,N335,0)</x:f>
        <x:v>0</x:v>
      </x:c>
      <x:c r="V335" s="23" t="n">
        <x:f>IF(P335&gt;0,N335,0)</x:f>
        <x:v>0</x:v>
      </x:c>
      <x:c r="W335" s="23" t="n">
        <x:f>IF(AND(P335&gt;0,S335&lt;0),N335,0)</x:f>
        <x:v>0</x:v>
      </x:c>
      <x:c r="X335" s="23" t="n">
        <x:f>IF(AND(P335&gt;0,S335=0),N335,0)</x:f>
        <x:v>0</x:v>
      </x:c>
      <x:c r="Y335" s="23" t="n">
        <x:f>IF(Q335&gt;0,N335,0)</x:f>
        <x:v>0</x:v>
      </x:c>
      <x:c r="Z335" s="460" t="n">
        <x:f>IF(P335&gt;0,N335*S335,0)</x:f>
        <x:v>0</x:v>
      </x:c>
      <x:c r="AA335" s="460" t="n">
        <x:f>IF(Q335&gt;0,N335*T335,0)</x:f>
        <x:v>0</x:v>
      </x:c>
      <x:c r="AB335" s="460" t="n">
        <x:f>N335*R335</x:f>
        <x:v>0</x:v>
      </x:c>
      <x:c r="AC335" s="460" t="n">
        <x:f>IF(N335&gt;0,R335,999999)</x:f>
        <x:v>999999</x:v>
      </x:c>
      <x:c r="AD335" s="460" t="n">
        <x:f>IF(AND(N335&gt;0,P335&gt;0),S335,999999)</x:f>
        <x:v>999999</x:v>
      </x:c>
      <x:c r="AE335" s="460" t="n">
        <x:f>IF(AND(N335&gt;0,Q335&gt;0),T335,999999)</x:f>
        <x:v>999999</x:v>
      </x:c>
      <x:c r="AF335" s="23" t="n">
        <x:f>B335*D335*F335*J335</x:f>
        <x:v>0.002415</x:v>
      </x:c>
      <x:c r="AG335" s="23" t="n">
        <x:f>IF(P335&gt;0,AF335,0)</x:f>
        <x:v>0</x:v>
      </x:c>
      <x:c r="AH335" s="23" t="n">
        <x:f>IF(AND(P335&gt;0,S335&lt;0),AF335,0)</x:f>
        <x:v>0</x:v>
      </x:c>
      <x:c r="AI335" s="23" t="n">
        <x:f>IF(AND(P335&gt;0,S335=0),AF335,0)</x:f>
        <x:v>0</x:v>
      </x:c>
      <x:c r="AJ335" s="23" t="n">
        <x:f>IF(R335&lt;30000,AF335,0)</x:f>
        <x:v>0</x:v>
      </x:c>
      <x:c r="AK335" s="460" t="n">
        <x:f>IF(P335&gt;0,AF335*S335,0)</x:f>
        <x:v>0</x:v>
      </x:c>
    </x:row>
    <x:row r="336" ht="22" customHeight="1">
      <x:c r="A336" s="643" t="str">
        <x:v>中心</x:v>
      </x:c>
      <x:c r="B336" s="648" t="n">
        <x:f>'114_降本系数'!B27</x:f>
        <x:v>0.5</x:v>
      </x:c>
      <x:c r="C336" s="643" t="str">
        <x:v>L2</x:v>
      </x:c>
      <x:c r="D336" s="648" t="n">
        <x:f>'130_联合算法'!C19</x:f>
        <x:v>0.05</x:v>
      </x:c>
      <x:c r="E336" s="647" t="n">
        <x:f>'117_价格概率传导'!A8</x:f>
        <x:v>249900</x:v>
      </x:c>
      <x:c r="F336" s="648" t="n">
        <x:f>'117_价格概率传导'!D8</x:f>
        <x:v>0.42</x:v>
      </x:c>
      <x:c r="G336" s="648" t="n">
        <x:f>SUM('117_价格概率传导'!$D$6:$D$7)</x:f>
        <x:v>0.08</x:v>
      </x:c>
      <x:c r="H336" s="648" t="n">
        <x:f>SUM('117_价格概率传导'!$D$6:$D$8)</x:f>
        <x:v>0.5</x:v>
      </x:c>
      <x:c r="I336" s="647" t="n">
        <x:f>'117_价格概率传导'!A21</x:f>
        <x:v>259900</x:v>
      </x:c>
      <x:c r="J336" s="648" t="n">
        <x:f>'117_价格概率传导'!D21</x:f>
        <x:v>0.06</x:v>
      </x:c>
      <x:c r="K336" s="648" t="n">
        <x:f>SUM('117_价格概率传导'!$D$16:$D$20)</x:f>
        <x:v>0.94</x:v>
      </x:c>
      <x:c r="L336" s="648" t="n">
        <x:f>SUM('117_价格概率传导'!$D$16:$D$21)</x:f>
        <x:v>1</x:v>
      </x:c>
      <x:c r="M336" s="648" t="n">
        <x:f>MAX(0,MIN(H336,L336)-MAX(G336,K336))</x:f>
        <x:v>0</x:v>
      </x:c>
      <x:c r="N336" s="648" t="n">
        <x:f>B336*D336*M336</x:f>
        <x:v>0</x:v>
      </x:c>
      <x:c r="O336" s="647" t="n">
        <x:f>MIN(299900,I336+20000)</x:f>
        <x:v>279900</x:v>
      </x:c>
      <x:c r="P336" s="647" t="str">
        <x:f>""</x:f>
      </x:c>
      <x:c r="Q336" s="647" t="n">
        <x:f>O336-20000</x:f>
        <x:v>259900</x:v>
      </x:c>
      <x:c r="R336" s="647" t="n">
        <x:f>O336-E336</x:f>
        <x:v>30000</x:v>
      </x:c>
      <x:c r="S336" s="647" t="str">
        <x:f>IF(P336&gt;0,P336-E336,"")</x:f>
      </x:c>
      <x:c r="T336" s="647" t="n">
        <x:f>IF(Q336&gt;0,Q336-E336,"")</x:f>
        <x:v>10000</x:v>
      </x:c>
      <x:c r="U336" s="648" t="n">
        <x:f>IF(R336&lt;30000,N336,0)</x:f>
        <x:v>0</x:v>
      </x:c>
      <x:c r="V336" s="648" t="n">
        <x:f>IF(P336&gt;0,N336,0)</x:f>
        <x:v>0</x:v>
      </x:c>
      <x:c r="W336" s="648" t="n">
        <x:f>IF(AND(P336&gt;0,S336&lt;0),N336,0)</x:f>
        <x:v>0</x:v>
      </x:c>
      <x:c r="X336" s="648" t="n">
        <x:f>IF(AND(P336&gt;0,S336=0),N336,0)</x:f>
        <x:v>0</x:v>
      </x:c>
      <x:c r="Y336" s="648" t="n">
        <x:f>IF(Q336&gt;0,N336,0)</x:f>
        <x:v>0</x:v>
      </x:c>
      <x:c r="Z336" s="647" t="n">
        <x:f>IF(P336&gt;0,N336*S336,0)</x:f>
        <x:v>0</x:v>
      </x:c>
      <x:c r="AA336" s="647" t="n">
        <x:f>IF(Q336&gt;0,N336*T336,0)</x:f>
        <x:v>0</x:v>
      </x:c>
      <x:c r="AB336" s="647" t="n">
        <x:f>N336*R336</x:f>
        <x:v>0</x:v>
      </x:c>
      <x:c r="AC336" s="647" t="n">
        <x:f>IF(N336&gt;0,R336,999999)</x:f>
        <x:v>999999</x:v>
      </x:c>
      <x:c r="AD336" s="647" t="n">
        <x:f>IF(AND(N336&gt;0,P336&gt;0),S336,999999)</x:f>
        <x:v>999999</x:v>
      </x:c>
      <x:c r="AE336" s="647" t="n">
        <x:f>IF(AND(N336&gt;0,Q336&gt;0),T336,999999)</x:f>
        <x:v>999999</x:v>
      </x:c>
      <x:c r="AF336" s="648" t="n">
        <x:f>B336*D336*F336*J336</x:f>
        <x:v>0.00063</x:v>
      </x:c>
      <x:c r="AG336" s="648" t="n">
        <x:f>IF(P336&gt;0,AF336,0)</x:f>
        <x:v>0</x:v>
      </x:c>
      <x:c r="AH336" s="648" t="n">
        <x:f>IF(AND(P336&gt;0,S336&lt;0),AF336,0)</x:f>
        <x:v>0</x:v>
      </x:c>
      <x:c r="AI336" s="648" t="n">
        <x:f>IF(AND(P336&gt;0,S336=0),AF336,0)</x:f>
        <x:v>0</x:v>
      </x:c>
      <x:c r="AJ336" s="648" t="n">
        <x:f>IF(R336&lt;30000,AF336,0)</x:f>
        <x:v>0</x:v>
      </x:c>
      <x:c r="AK336" s="647" t="n">
        <x:f>IF(P336&gt;0,AF336*S336,0)</x:f>
        <x:v>0</x:v>
      </x:c>
    </x:row>
    <x:row r="337" ht="22" customHeight="1">
      <x:c r="A337" s="19" t="str">
        <x:v>中心</x:v>
      </x:c>
      <x:c r="B337" s="23" t="n">
        <x:f>'114_降本系数'!B27</x:f>
        <x:v>0.5</x:v>
      </x:c>
      <x:c r="C337" s="19" t="str">
        <x:v>L2</x:v>
      </x:c>
      <x:c r="D337" s="23" t="n">
        <x:f>'130_联合算法'!C19</x:f>
        <x:v>0.05</x:v>
      </x:c>
      <x:c r="E337" s="460" t="n">
        <x:f>'117_价格概率传导'!A9</x:f>
        <x:v>239900</x:v>
      </x:c>
      <x:c r="F337" s="23" t="n">
        <x:f>'117_价格概率传导'!D9</x:f>
        <x:v>0.34</x:v>
      </x:c>
      <x:c r="G337" s="23" t="n">
        <x:f>SUM('117_价格概率传导'!$D$6:$D$8)</x:f>
        <x:v>0.5</x:v>
      </x:c>
      <x:c r="H337" s="23" t="n">
        <x:f>SUM('117_价格概率传导'!$D$6:$D$9)</x:f>
        <x:v>0.8400000000000001</x:v>
      </x:c>
      <x:c r="I337" s="460" t="n">
        <x:f>'117_价格概率传导'!A16</x:f>
        <x:v>299900</x:v>
      </x:c>
      <x:c r="J337" s="23" t="n">
        <x:f>'117_价格概率传导'!D16</x:f>
        <x:v>0.02</x:v>
      </x:c>
      <x:c r="K337" s="23" t="n">
        <x:f>0</x:f>
        <x:v>0</x:v>
      </x:c>
      <x:c r="L337" s="23" t="n">
        <x:f>SUM('117_价格概率传导'!$D$16:$D$16)</x:f>
        <x:v>0.02</x:v>
      </x:c>
      <x:c r="M337" s="23" t="n">
        <x:f>MAX(0,MIN(H337,L337)-MAX(G337,K337))</x:f>
        <x:v>0</x:v>
      </x:c>
      <x:c r="N337" s="23" t="n">
        <x:f>B337*D337*M337</x:f>
        <x:v>0</x:v>
      </x:c>
      <x:c r="O337" s="460" t="n">
        <x:f>MIN(299900,I337+20000)</x:f>
        <x:v>299900</x:v>
      </x:c>
      <x:c r="P337" s="460" t="str">
        <x:f>""</x:f>
      </x:c>
      <x:c r="Q337" s="460" t="n">
        <x:f>O337-20000</x:f>
        <x:v>279900</x:v>
      </x:c>
      <x:c r="R337" s="460" t="n">
        <x:f>O337-E337</x:f>
        <x:v>60000</x:v>
      </x:c>
      <x:c r="S337" s="460" t="str">
        <x:f>IF(P337&gt;0,P337-E337,"")</x:f>
      </x:c>
      <x:c r="T337" s="460" t="n">
        <x:f>IF(Q337&gt;0,Q337-E337,"")</x:f>
        <x:v>40000</x:v>
      </x:c>
      <x:c r="U337" s="23" t="n">
        <x:f>IF(R337&lt;30000,N337,0)</x:f>
        <x:v>0</x:v>
      </x:c>
      <x:c r="V337" s="23" t="n">
        <x:f>IF(P337&gt;0,N337,0)</x:f>
        <x:v>0</x:v>
      </x:c>
      <x:c r="W337" s="23" t="n">
        <x:f>IF(AND(P337&gt;0,S337&lt;0),N337,0)</x:f>
        <x:v>0</x:v>
      </x:c>
      <x:c r="X337" s="23" t="n">
        <x:f>IF(AND(P337&gt;0,S337=0),N337,0)</x:f>
        <x:v>0</x:v>
      </x:c>
      <x:c r="Y337" s="23" t="n">
        <x:f>IF(Q337&gt;0,N337,0)</x:f>
        <x:v>0</x:v>
      </x:c>
      <x:c r="Z337" s="460" t="n">
        <x:f>IF(P337&gt;0,N337*S337,0)</x:f>
        <x:v>0</x:v>
      </x:c>
      <x:c r="AA337" s="460" t="n">
        <x:f>IF(Q337&gt;0,N337*T337,0)</x:f>
        <x:v>0</x:v>
      </x:c>
      <x:c r="AB337" s="460" t="n">
        <x:f>N337*R337</x:f>
        <x:v>0</x:v>
      </x:c>
      <x:c r="AC337" s="460" t="n">
        <x:f>IF(N337&gt;0,R337,999999)</x:f>
        <x:v>999999</x:v>
      </x:c>
      <x:c r="AD337" s="460" t="n">
        <x:f>IF(AND(N337&gt;0,P337&gt;0),S337,999999)</x:f>
        <x:v>999999</x:v>
      </x:c>
      <x:c r="AE337" s="460" t="n">
        <x:f>IF(AND(N337&gt;0,Q337&gt;0),T337,999999)</x:f>
        <x:v>999999</x:v>
      </x:c>
      <x:c r="AF337" s="23" t="n">
        <x:f>B337*D337*F337*J337</x:f>
        <x:v>0.00017</x:v>
      </x:c>
      <x:c r="AG337" s="23" t="n">
        <x:f>IF(P337&gt;0,AF337,0)</x:f>
        <x:v>0</x:v>
      </x:c>
      <x:c r="AH337" s="23" t="n">
        <x:f>IF(AND(P337&gt;0,S337&lt;0),AF337,0)</x:f>
        <x:v>0</x:v>
      </x:c>
      <x:c r="AI337" s="23" t="n">
        <x:f>IF(AND(P337&gt;0,S337=0),AF337,0)</x:f>
        <x:v>0</x:v>
      </x:c>
      <x:c r="AJ337" s="23" t="n">
        <x:f>IF(R337&lt;30000,AF337,0)</x:f>
        <x:v>0</x:v>
      </x:c>
      <x:c r="AK337" s="460" t="n">
        <x:f>IF(P337&gt;0,AF337*S337,0)</x:f>
        <x:v>0</x:v>
      </x:c>
    </x:row>
    <x:row r="338" ht="22" customHeight="1">
      <x:c r="A338" s="643" t="str">
        <x:v>中心</x:v>
      </x:c>
      <x:c r="B338" s="648" t="n">
        <x:f>'114_降本系数'!B27</x:f>
        <x:v>0.5</x:v>
      </x:c>
      <x:c r="C338" s="643" t="str">
        <x:v>L2</x:v>
      </x:c>
      <x:c r="D338" s="648" t="n">
        <x:f>'130_联合算法'!C19</x:f>
        <x:v>0.05</x:v>
      </x:c>
      <x:c r="E338" s="647" t="n">
        <x:f>'117_价格概率传导'!A9</x:f>
        <x:v>239900</x:v>
      </x:c>
      <x:c r="F338" s="648" t="n">
        <x:f>'117_价格概率传导'!D9</x:f>
        <x:v>0.34</x:v>
      </x:c>
      <x:c r="G338" s="648" t="n">
        <x:f>SUM('117_价格概率传导'!$D$6:$D$8)</x:f>
        <x:v>0.5</x:v>
      </x:c>
      <x:c r="H338" s="648" t="n">
        <x:f>SUM('117_价格概率传导'!$D$6:$D$9)</x:f>
        <x:v>0.8400000000000001</x:v>
      </x:c>
      <x:c r="I338" s="647" t="n">
        <x:f>'117_价格概率传导'!A17</x:f>
        <x:v>293900</x:v>
      </x:c>
      <x:c r="J338" s="648" t="n">
        <x:f>'117_价格概率传导'!D17</x:f>
        <x:v>0.03</x:v>
      </x:c>
      <x:c r="K338" s="648" t="n">
        <x:f>SUM('117_价格概率传导'!$D$16:$D$16)</x:f>
        <x:v>0.02</x:v>
      </x:c>
      <x:c r="L338" s="648" t="n">
        <x:f>SUM('117_价格概率传导'!$D$16:$D$17)</x:f>
        <x:v>0.05</x:v>
      </x:c>
      <x:c r="M338" s="648" t="n">
        <x:f>MAX(0,MIN(H338,L338)-MAX(G338,K338))</x:f>
        <x:v>0</x:v>
      </x:c>
      <x:c r="N338" s="648" t="n">
        <x:f>B338*D338*M338</x:f>
        <x:v>0</x:v>
      </x:c>
      <x:c r="O338" s="647" t="n">
        <x:f>MIN(299900,I338+20000)</x:f>
        <x:v>299900</x:v>
      </x:c>
      <x:c r="P338" s="647" t="str">
        <x:f>""</x:f>
      </x:c>
      <x:c r="Q338" s="647" t="n">
        <x:f>O338-20000</x:f>
        <x:v>279900</x:v>
      </x:c>
      <x:c r="R338" s="647" t="n">
        <x:f>O338-E338</x:f>
        <x:v>60000</x:v>
      </x:c>
      <x:c r="S338" s="647" t="str">
        <x:f>IF(P338&gt;0,P338-E338,"")</x:f>
      </x:c>
      <x:c r="T338" s="647" t="n">
        <x:f>IF(Q338&gt;0,Q338-E338,"")</x:f>
        <x:v>40000</x:v>
      </x:c>
      <x:c r="U338" s="648" t="n">
        <x:f>IF(R338&lt;30000,N338,0)</x:f>
        <x:v>0</x:v>
      </x:c>
      <x:c r="V338" s="648" t="n">
        <x:f>IF(P338&gt;0,N338,0)</x:f>
        <x:v>0</x:v>
      </x:c>
      <x:c r="W338" s="648" t="n">
        <x:f>IF(AND(P338&gt;0,S338&lt;0),N338,0)</x:f>
        <x:v>0</x:v>
      </x:c>
      <x:c r="X338" s="648" t="n">
        <x:f>IF(AND(P338&gt;0,S338=0),N338,0)</x:f>
        <x:v>0</x:v>
      </x:c>
      <x:c r="Y338" s="648" t="n">
        <x:f>IF(Q338&gt;0,N338,0)</x:f>
        <x:v>0</x:v>
      </x:c>
      <x:c r="Z338" s="647" t="n">
        <x:f>IF(P338&gt;0,N338*S338,0)</x:f>
        <x:v>0</x:v>
      </x:c>
      <x:c r="AA338" s="647" t="n">
        <x:f>IF(Q338&gt;0,N338*T338,0)</x:f>
        <x:v>0</x:v>
      </x:c>
      <x:c r="AB338" s="647" t="n">
        <x:f>N338*R338</x:f>
        <x:v>0</x:v>
      </x:c>
      <x:c r="AC338" s="647" t="n">
        <x:f>IF(N338&gt;0,R338,999999)</x:f>
        <x:v>999999</x:v>
      </x:c>
      <x:c r="AD338" s="647" t="n">
        <x:f>IF(AND(N338&gt;0,P338&gt;0),S338,999999)</x:f>
        <x:v>999999</x:v>
      </x:c>
      <x:c r="AE338" s="647" t="n">
        <x:f>IF(AND(N338&gt;0,Q338&gt;0),T338,999999)</x:f>
        <x:v>999999</x:v>
      </x:c>
      <x:c r="AF338" s="648" t="n">
        <x:f>B338*D338*F338*J338</x:f>
        <x:v>0.000255</x:v>
      </x:c>
      <x:c r="AG338" s="648" t="n">
        <x:f>IF(P338&gt;0,AF338,0)</x:f>
        <x:v>0</x:v>
      </x:c>
      <x:c r="AH338" s="648" t="n">
        <x:f>IF(AND(P338&gt;0,S338&lt;0),AF338,0)</x:f>
        <x:v>0</x:v>
      </x:c>
      <x:c r="AI338" s="648" t="n">
        <x:f>IF(AND(P338&gt;0,S338=0),AF338,0)</x:f>
        <x:v>0</x:v>
      </x:c>
      <x:c r="AJ338" s="648" t="n">
        <x:f>IF(R338&lt;30000,AF338,0)</x:f>
        <x:v>0</x:v>
      </x:c>
      <x:c r="AK338" s="647" t="n">
        <x:f>IF(P338&gt;0,AF338*S338,0)</x:f>
        <x:v>0</x:v>
      </x:c>
    </x:row>
    <x:row r="339" ht="22" customHeight="1">
      <x:c r="A339" s="19" t="str">
        <x:v>中心</x:v>
      </x:c>
      <x:c r="B339" s="23" t="n">
        <x:f>'114_降本系数'!B27</x:f>
        <x:v>0.5</x:v>
      </x:c>
      <x:c r="C339" s="19" t="str">
        <x:v>L2</x:v>
      </x:c>
      <x:c r="D339" s="23" t="n">
        <x:f>'130_联合算法'!C19</x:f>
        <x:v>0.05</x:v>
      </x:c>
      <x:c r="E339" s="460" t="n">
        <x:f>'117_价格概率传导'!A9</x:f>
        <x:v>239900</x:v>
      </x:c>
      <x:c r="F339" s="23" t="n">
        <x:f>'117_价格概率传导'!D9</x:f>
        <x:v>0.34</x:v>
      </x:c>
      <x:c r="G339" s="23" t="n">
        <x:f>SUM('117_价格概率传导'!$D$6:$D$8)</x:f>
        <x:v>0.5</x:v>
      </x:c>
      <x:c r="H339" s="23" t="n">
        <x:f>SUM('117_价格概率传导'!$D$6:$D$9)</x:f>
        <x:v>0.8400000000000001</x:v>
      </x:c>
      <x:c r="I339" s="460" t="n">
        <x:f>'117_价格概率传导'!A18</x:f>
        <x:v>289900</x:v>
      </x:c>
      <x:c r="J339" s="23" t="n">
        <x:f>'117_价格概率传导'!D18</x:f>
        <x:v>0.22</x:v>
      </x:c>
      <x:c r="K339" s="23" t="n">
        <x:f>SUM('117_价格概率传导'!$D$16:$D$17)</x:f>
        <x:v>0.05</x:v>
      </x:c>
      <x:c r="L339" s="23" t="n">
        <x:f>SUM('117_价格概率传导'!$D$16:$D$18)</x:f>
        <x:v>0.27</x:v>
      </x:c>
      <x:c r="M339" s="23" t="n">
        <x:f>MAX(0,MIN(H339,L339)-MAX(G339,K339))</x:f>
        <x:v>0</x:v>
      </x:c>
      <x:c r="N339" s="23" t="n">
        <x:f>B339*D339*M339</x:f>
        <x:v>0</x:v>
      </x:c>
      <x:c r="O339" s="460" t="n">
        <x:f>MIN(299900,I339+20000)</x:f>
        <x:v>299900</x:v>
      </x:c>
      <x:c r="P339" s="460" t="str">
        <x:f>""</x:f>
      </x:c>
      <x:c r="Q339" s="460" t="n">
        <x:f>O339-20000</x:f>
        <x:v>279900</x:v>
      </x:c>
      <x:c r="R339" s="460" t="n">
        <x:f>O339-E339</x:f>
        <x:v>60000</x:v>
      </x:c>
      <x:c r="S339" s="460" t="str">
        <x:f>IF(P339&gt;0,P339-E339,"")</x:f>
      </x:c>
      <x:c r="T339" s="460" t="n">
        <x:f>IF(Q339&gt;0,Q339-E339,"")</x:f>
        <x:v>40000</x:v>
      </x:c>
      <x:c r="U339" s="23" t="n">
        <x:f>IF(R339&lt;30000,N339,0)</x:f>
        <x:v>0</x:v>
      </x:c>
      <x:c r="V339" s="23" t="n">
        <x:f>IF(P339&gt;0,N339,0)</x:f>
        <x:v>0</x:v>
      </x:c>
      <x:c r="W339" s="23" t="n">
        <x:f>IF(AND(P339&gt;0,S339&lt;0),N339,0)</x:f>
        <x:v>0</x:v>
      </x:c>
      <x:c r="X339" s="23" t="n">
        <x:f>IF(AND(P339&gt;0,S339=0),N339,0)</x:f>
        <x:v>0</x:v>
      </x:c>
      <x:c r="Y339" s="23" t="n">
        <x:f>IF(Q339&gt;0,N339,0)</x:f>
        <x:v>0</x:v>
      </x:c>
      <x:c r="Z339" s="460" t="n">
        <x:f>IF(P339&gt;0,N339*S339,0)</x:f>
        <x:v>0</x:v>
      </x:c>
      <x:c r="AA339" s="460" t="n">
        <x:f>IF(Q339&gt;0,N339*T339,0)</x:f>
        <x:v>0</x:v>
      </x:c>
      <x:c r="AB339" s="460" t="n">
        <x:f>N339*R339</x:f>
        <x:v>0</x:v>
      </x:c>
      <x:c r="AC339" s="460" t="n">
        <x:f>IF(N339&gt;0,R339,999999)</x:f>
        <x:v>999999</x:v>
      </x:c>
      <x:c r="AD339" s="460" t="n">
        <x:f>IF(AND(N339&gt;0,P339&gt;0),S339,999999)</x:f>
        <x:v>999999</x:v>
      </x:c>
      <x:c r="AE339" s="460" t="n">
        <x:f>IF(AND(N339&gt;0,Q339&gt;0),T339,999999)</x:f>
        <x:v>999999</x:v>
      </x:c>
      <x:c r="AF339" s="23" t="n">
        <x:f>B339*D339*F339*J339</x:f>
        <x:v>0.0018700000000000001</x:v>
      </x:c>
      <x:c r="AG339" s="23" t="n">
        <x:f>IF(P339&gt;0,AF339,0)</x:f>
        <x:v>0</x:v>
      </x:c>
      <x:c r="AH339" s="23" t="n">
        <x:f>IF(AND(P339&gt;0,S339&lt;0),AF339,0)</x:f>
        <x:v>0</x:v>
      </x:c>
      <x:c r="AI339" s="23" t="n">
        <x:f>IF(AND(P339&gt;0,S339=0),AF339,0)</x:f>
        <x:v>0</x:v>
      </x:c>
      <x:c r="AJ339" s="23" t="n">
        <x:f>IF(R339&lt;30000,AF339,0)</x:f>
        <x:v>0</x:v>
      </x:c>
      <x:c r="AK339" s="460" t="n">
        <x:f>IF(P339&gt;0,AF339*S339,0)</x:f>
        <x:v>0</x:v>
      </x:c>
    </x:row>
    <x:row r="340" ht="22" customHeight="1">
      <x:c r="A340" s="643" t="str">
        <x:v>中心</x:v>
      </x:c>
      <x:c r="B340" s="648" t="n">
        <x:f>'114_降本系数'!B27</x:f>
        <x:v>0.5</x:v>
      </x:c>
      <x:c r="C340" s="643" t="str">
        <x:v>L2</x:v>
      </x:c>
      <x:c r="D340" s="648" t="n">
        <x:f>'130_联合算法'!C19</x:f>
        <x:v>0.05</x:v>
      </x:c>
      <x:c r="E340" s="647" t="n">
        <x:f>'117_价格概率传导'!A9</x:f>
        <x:v>239900</x:v>
      </x:c>
      <x:c r="F340" s="648" t="n">
        <x:f>'117_价格概率传导'!D9</x:f>
        <x:v>0.34</x:v>
      </x:c>
      <x:c r="G340" s="648" t="n">
        <x:f>SUM('117_价格概率传导'!$D$6:$D$8)</x:f>
        <x:v>0.5</x:v>
      </x:c>
      <x:c r="H340" s="648" t="n">
        <x:f>SUM('117_价格概率传导'!$D$6:$D$9)</x:f>
        <x:v>0.8400000000000001</x:v>
      </x:c>
      <x:c r="I340" s="647" t="n">
        <x:f>'117_价格概率传导'!A19</x:f>
        <x:v>279900</x:v>
      </x:c>
      <x:c r="J340" s="648" t="n">
        <x:f>'117_价格概率传导'!D19</x:f>
        <x:v>0.44</x:v>
      </x:c>
      <x:c r="K340" s="648" t="n">
        <x:f>SUM('117_价格概率传导'!$D$16:$D$18)</x:f>
        <x:v>0.27</x:v>
      </x:c>
      <x:c r="L340" s="648" t="n">
        <x:f>SUM('117_价格概率传导'!$D$16:$D$19)</x:f>
        <x:v>0.71</x:v>
      </x:c>
      <x:c r="M340" s="648" t="n">
        <x:f>MAX(0,MIN(H340,L340)-MAX(G340,K340))</x:f>
        <x:v>0.20999999999999996</x:v>
      </x:c>
      <x:c r="N340" s="648" t="n">
        <x:f>B340*D340*M340</x:f>
        <x:v>0.0052499999999999995</x:v>
      </x:c>
      <x:c r="O340" s="647" t="n">
        <x:f>MIN(299900,I340+20000)</x:f>
        <x:v>299900</x:v>
      </x:c>
      <x:c r="P340" s="647" t="str">
        <x:f>""</x:f>
      </x:c>
      <x:c r="Q340" s="647" t="n">
        <x:f>O340-20000</x:f>
        <x:v>279900</x:v>
      </x:c>
      <x:c r="R340" s="647" t="n">
        <x:f>O340-E340</x:f>
        <x:v>60000</x:v>
      </x:c>
      <x:c r="S340" s="647" t="str">
        <x:f>IF(P340&gt;0,P340-E340,"")</x:f>
      </x:c>
      <x:c r="T340" s="647" t="n">
        <x:f>IF(Q340&gt;0,Q340-E340,"")</x:f>
        <x:v>40000</x:v>
      </x:c>
      <x:c r="U340" s="648" t="n">
        <x:f>IF(R340&lt;30000,N340,0)</x:f>
        <x:v>0</x:v>
      </x:c>
      <x:c r="V340" s="648" t="n">
        <x:f>IF(P340&gt;0,N340,0)</x:f>
        <x:v>0</x:v>
      </x:c>
      <x:c r="W340" s="648" t="n">
        <x:f>IF(AND(P340&gt;0,S340&lt;0),N340,0)</x:f>
        <x:v>0</x:v>
      </x:c>
      <x:c r="X340" s="648" t="n">
        <x:f>IF(AND(P340&gt;0,S340=0),N340,0)</x:f>
        <x:v>0</x:v>
      </x:c>
      <x:c r="Y340" s="648" t="n">
        <x:f>IF(Q340&gt;0,N340,0)</x:f>
        <x:v>0.0052499999999999995</x:v>
      </x:c>
      <x:c r="Z340" s="647" t="n">
        <x:f>IF(P340&gt;0,N340*S340,0)</x:f>
        <x:v>0</x:v>
      </x:c>
      <x:c r="AA340" s="647" t="n">
        <x:f>IF(Q340&gt;0,N340*T340,0)</x:f>
        <x:v>209.99999999999997</x:v>
      </x:c>
      <x:c r="AB340" s="647" t="n">
        <x:f>N340*R340</x:f>
        <x:v>314.99999999999994</x:v>
      </x:c>
      <x:c r="AC340" s="647" t="n">
        <x:f>IF(N340&gt;0,R340,999999)</x:f>
        <x:v>60000</x:v>
      </x:c>
      <x:c r="AD340" s="647" t="n">
        <x:f>IF(AND(N340&gt;0,P340&gt;0),S340,999999)</x:f>
        <x:v>999999</x:v>
      </x:c>
      <x:c r="AE340" s="647" t="n">
        <x:f>IF(AND(N340&gt;0,Q340&gt;0),T340,999999)</x:f>
        <x:v>40000</x:v>
      </x:c>
      <x:c r="AF340" s="648" t="n">
        <x:f>B340*D340*F340*J340</x:f>
        <x:v>0.0037400000000000003</x:v>
      </x:c>
      <x:c r="AG340" s="648" t="n">
        <x:f>IF(P340&gt;0,AF340,0)</x:f>
        <x:v>0</x:v>
      </x:c>
      <x:c r="AH340" s="648" t="n">
        <x:f>IF(AND(P340&gt;0,S340&lt;0),AF340,0)</x:f>
        <x:v>0</x:v>
      </x:c>
      <x:c r="AI340" s="648" t="n">
        <x:f>IF(AND(P340&gt;0,S340=0),AF340,0)</x:f>
        <x:v>0</x:v>
      </x:c>
      <x:c r="AJ340" s="648" t="n">
        <x:f>IF(R340&lt;30000,AF340,0)</x:f>
        <x:v>0</x:v>
      </x:c>
      <x:c r="AK340" s="647" t="n">
        <x:f>IF(P340&gt;0,AF340*S340,0)</x:f>
        <x:v>0</x:v>
      </x:c>
    </x:row>
    <x:row r="341" ht="22" customHeight="1">
      <x:c r="A341" s="19" t="str">
        <x:v>中心</x:v>
      </x:c>
      <x:c r="B341" s="23" t="n">
        <x:f>'114_降本系数'!B27</x:f>
        <x:v>0.5</x:v>
      </x:c>
      <x:c r="C341" s="19" t="str">
        <x:v>L2</x:v>
      </x:c>
      <x:c r="D341" s="23" t="n">
        <x:f>'130_联合算法'!C19</x:f>
        <x:v>0.05</x:v>
      </x:c>
      <x:c r="E341" s="460" t="n">
        <x:f>'117_价格概率传导'!A9</x:f>
        <x:v>239900</x:v>
      </x:c>
      <x:c r="F341" s="23" t="n">
        <x:f>'117_价格概率传导'!D9</x:f>
        <x:v>0.34</x:v>
      </x:c>
      <x:c r="G341" s="23" t="n">
        <x:f>SUM('117_价格概率传导'!$D$6:$D$8)</x:f>
        <x:v>0.5</x:v>
      </x:c>
      <x:c r="H341" s="23" t="n">
        <x:f>SUM('117_价格概率传导'!$D$6:$D$9)</x:f>
        <x:v>0.8400000000000001</x:v>
      </x:c>
      <x:c r="I341" s="460" t="n">
        <x:f>'117_价格概率传导'!A20</x:f>
        <x:v>269900</x:v>
      </x:c>
      <x:c r="J341" s="23" t="n">
        <x:f>'117_价格概率传导'!D20</x:f>
        <x:v>0.23</x:v>
      </x:c>
      <x:c r="K341" s="23" t="n">
        <x:f>SUM('117_价格概率传导'!$D$16:$D$19)</x:f>
        <x:v>0.71</x:v>
      </x:c>
      <x:c r="L341" s="23" t="n">
        <x:f>SUM('117_价格概率传导'!$D$16:$D$20)</x:f>
        <x:v>0.94</x:v>
      </x:c>
      <x:c r="M341" s="23" t="n">
        <x:f>MAX(0,MIN(H341,L341)-MAX(G341,K341))</x:f>
        <x:v>0.13000000000000012</x:v>
      </x:c>
      <x:c r="N341" s="23" t="n">
        <x:f>B341*D341*M341</x:f>
        <x:v>0.003250000000000003</x:v>
      </x:c>
      <x:c r="O341" s="460" t="n">
        <x:f>MIN(299900,I341+20000)</x:f>
        <x:v>289900</x:v>
      </x:c>
      <x:c r="P341" s="460" t="str">
        <x:f>""</x:f>
      </x:c>
      <x:c r="Q341" s="460" t="n">
        <x:f>O341-20000</x:f>
        <x:v>269900</x:v>
      </x:c>
      <x:c r="R341" s="460" t="n">
        <x:f>O341-E341</x:f>
        <x:v>50000</x:v>
      </x:c>
      <x:c r="S341" s="460" t="str">
        <x:f>IF(P341&gt;0,P341-E341,"")</x:f>
      </x:c>
      <x:c r="T341" s="460" t="n">
        <x:f>IF(Q341&gt;0,Q341-E341,"")</x:f>
        <x:v>30000</x:v>
      </x:c>
      <x:c r="U341" s="23" t="n">
        <x:f>IF(R341&lt;30000,N341,0)</x:f>
        <x:v>0</x:v>
      </x:c>
      <x:c r="V341" s="23" t="n">
        <x:f>IF(P341&gt;0,N341,0)</x:f>
        <x:v>0</x:v>
      </x:c>
      <x:c r="W341" s="23" t="n">
        <x:f>IF(AND(P341&gt;0,S341&lt;0),N341,0)</x:f>
        <x:v>0</x:v>
      </x:c>
      <x:c r="X341" s="23" t="n">
        <x:f>IF(AND(P341&gt;0,S341=0),N341,0)</x:f>
        <x:v>0</x:v>
      </x:c>
      <x:c r="Y341" s="23" t="n">
        <x:f>IF(Q341&gt;0,N341,0)</x:f>
        <x:v>0.003250000000000003</x:v>
      </x:c>
      <x:c r="Z341" s="460" t="n">
        <x:f>IF(P341&gt;0,N341*S341,0)</x:f>
        <x:v>0</x:v>
      </x:c>
      <x:c r="AA341" s="460" t="n">
        <x:f>IF(Q341&gt;0,N341*T341,0)</x:f>
        <x:v>97.50000000000009</x:v>
      </x:c>
      <x:c r="AB341" s="460" t="n">
        <x:f>N341*R341</x:f>
        <x:v>162.50000000000014</x:v>
      </x:c>
      <x:c r="AC341" s="460" t="n">
        <x:f>IF(N341&gt;0,R341,999999)</x:f>
        <x:v>50000</x:v>
      </x:c>
      <x:c r="AD341" s="460" t="n">
        <x:f>IF(AND(N341&gt;0,P341&gt;0),S341,999999)</x:f>
        <x:v>999999</x:v>
      </x:c>
      <x:c r="AE341" s="460" t="n">
        <x:f>IF(AND(N341&gt;0,Q341&gt;0),T341,999999)</x:f>
        <x:v>30000</x:v>
      </x:c>
      <x:c r="AF341" s="23" t="n">
        <x:f>B341*D341*F341*J341</x:f>
        <x:v>0.001955</x:v>
      </x:c>
      <x:c r="AG341" s="23" t="n">
        <x:f>IF(P341&gt;0,AF341,0)</x:f>
        <x:v>0</x:v>
      </x:c>
      <x:c r="AH341" s="23" t="n">
        <x:f>IF(AND(P341&gt;0,S341&lt;0),AF341,0)</x:f>
        <x:v>0</x:v>
      </x:c>
      <x:c r="AI341" s="23" t="n">
        <x:f>IF(AND(P341&gt;0,S341=0),AF341,0)</x:f>
        <x:v>0</x:v>
      </x:c>
      <x:c r="AJ341" s="23" t="n">
        <x:f>IF(R341&lt;30000,AF341,0)</x:f>
        <x:v>0</x:v>
      </x:c>
      <x:c r="AK341" s="460" t="n">
        <x:f>IF(P341&gt;0,AF341*S341,0)</x:f>
        <x:v>0</x:v>
      </x:c>
    </x:row>
    <x:row r="342" ht="22" customHeight="1">
      <x:c r="A342" s="643" t="str">
        <x:v>中心</x:v>
      </x:c>
      <x:c r="B342" s="648" t="n">
        <x:f>'114_降本系数'!B27</x:f>
        <x:v>0.5</x:v>
      </x:c>
      <x:c r="C342" s="643" t="str">
        <x:v>L2</x:v>
      </x:c>
      <x:c r="D342" s="648" t="n">
        <x:f>'130_联合算法'!C19</x:f>
        <x:v>0.05</x:v>
      </x:c>
      <x:c r="E342" s="647" t="n">
        <x:f>'117_价格概率传导'!A9</x:f>
        <x:v>239900</x:v>
      </x:c>
      <x:c r="F342" s="648" t="n">
        <x:f>'117_价格概率传导'!D9</x:f>
        <x:v>0.34</x:v>
      </x:c>
      <x:c r="G342" s="648" t="n">
        <x:f>SUM('117_价格概率传导'!$D$6:$D$8)</x:f>
        <x:v>0.5</x:v>
      </x:c>
      <x:c r="H342" s="648" t="n">
        <x:f>SUM('117_价格概率传导'!$D$6:$D$9)</x:f>
        <x:v>0.8400000000000001</x:v>
      </x:c>
      <x:c r="I342" s="647" t="n">
        <x:f>'117_价格概率传导'!A21</x:f>
        <x:v>259900</x:v>
      </x:c>
      <x:c r="J342" s="648" t="n">
        <x:f>'117_价格概率传导'!D21</x:f>
        <x:v>0.06</x:v>
      </x:c>
      <x:c r="K342" s="648" t="n">
        <x:f>SUM('117_价格概率传导'!$D$16:$D$20)</x:f>
        <x:v>0.94</x:v>
      </x:c>
      <x:c r="L342" s="648" t="n">
        <x:f>SUM('117_价格概率传导'!$D$16:$D$21)</x:f>
        <x:v>1</x:v>
      </x:c>
      <x:c r="M342" s="648" t="n">
        <x:f>MAX(0,MIN(H342,L342)-MAX(G342,K342))</x:f>
        <x:v>0</x:v>
      </x:c>
      <x:c r="N342" s="648" t="n">
        <x:f>B342*D342*M342</x:f>
        <x:v>0</x:v>
      </x:c>
      <x:c r="O342" s="647" t="n">
        <x:f>MIN(299900,I342+20000)</x:f>
        <x:v>279900</x:v>
      </x:c>
      <x:c r="P342" s="647" t="str">
        <x:f>""</x:f>
      </x:c>
      <x:c r="Q342" s="647" t="n">
        <x:f>O342-20000</x:f>
        <x:v>259900</x:v>
      </x:c>
      <x:c r="R342" s="647" t="n">
        <x:f>O342-E342</x:f>
        <x:v>40000</x:v>
      </x:c>
      <x:c r="S342" s="647" t="str">
        <x:f>IF(P342&gt;0,P342-E342,"")</x:f>
      </x:c>
      <x:c r="T342" s="647" t="n">
        <x:f>IF(Q342&gt;0,Q342-E342,"")</x:f>
        <x:v>20000</x:v>
      </x:c>
      <x:c r="U342" s="648" t="n">
        <x:f>IF(R342&lt;30000,N342,0)</x:f>
        <x:v>0</x:v>
      </x:c>
      <x:c r="V342" s="648" t="n">
        <x:f>IF(P342&gt;0,N342,0)</x:f>
        <x:v>0</x:v>
      </x:c>
      <x:c r="W342" s="648" t="n">
        <x:f>IF(AND(P342&gt;0,S342&lt;0),N342,0)</x:f>
        <x:v>0</x:v>
      </x:c>
      <x:c r="X342" s="648" t="n">
        <x:f>IF(AND(P342&gt;0,S342=0),N342,0)</x:f>
        <x:v>0</x:v>
      </x:c>
      <x:c r="Y342" s="648" t="n">
        <x:f>IF(Q342&gt;0,N342,0)</x:f>
        <x:v>0</x:v>
      </x:c>
      <x:c r="Z342" s="647" t="n">
        <x:f>IF(P342&gt;0,N342*S342,0)</x:f>
        <x:v>0</x:v>
      </x:c>
      <x:c r="AA342" s="647" t="n">
        <x:f>IF(Q342&gt;0,N342*T342,0)</x:f>
        <x:v>0</x:v>
      </x:c>
      <x:c r="AB342" s="647" t="n">
        <x:f>N342*R342</x:f>
        <x:v>0</x:v>
      </x:c>
      <x:c r="AC342" s="647" t="n">
        <x:f>IF(N342&gt;0,R342,999999)</x:f>
        <x:v>999999</x:v>
      </x:c>
      <x:c r="AD342" s="647" t="n">
        <x:f>IF(AND(N342&gt;0,P342&gt;0),S342,999999)</x:f>
        <x:v>999999</x:v>
      </x:c>
      <x:c r="AE342" s="647" t="n">
        <x:f>IF(AND(N342&gt;0,Q342&gt;0),T342,999999)</x:f>
        <x:v>999999</x:v>
      </x:c>
      <x:c r="AF342" s="648" t="n">
        <x:f>B342*D342*F342*J342</x:f>
        <x:v>0.00051</x:v>
      </x:c>
      <x:c r="AG342" s="648" t="n">
        <x:f>IF(P342&gt;0,AF342,0)</x:f>
        <x:v>0</x:v>
      </x:c>
      <x:c r="AH342" s="648" t="n">
        <x:f>IF(AND(P342&gt;0,S342&lt;0),AF342,0)</x:f>
        <x:v>0</x:v>
      </x:c>
      <x:c r="AI342" s="648" t="n">
        <x:f>IF(AND(P342&gt;0,S342=0),AF342,0)</x:f>
        <x:v>0</x:v>
      </x:c>
      <x:c r="AJ342" s="648" t="n">
        <x:f>IF(R342&lt;30000,AF342,0)</x:f>
        <x:v>0</x:v>
      </x:c>
      <x:c r="AK342" s="647" t="n">
        <x:f>IF(P342&gt;0,AF342*S342,0)</x:f>
        <x:v>0</x:v>
      </x:c>
    </x:row>
    <x:row r="343" ht="22" customHeight="1">
      <x:c r="A343" s="19" t="str">
        <x:v>中心</x:v>
      </x:c>
      <x:c r="B343" s="23" t="n">
        <x:f>'114_降本系数'!B27</x:f>
        <x:v>0.5</x:v>
      </x:c>
      <x:c r="C343" s="19" t="str">
        <x:v>L2</x:v>
      </x:c>
      <x:c r="D343" s="23" t="n">
        <x:f>'130_联合算法'!C19</x:f>
        <x:v>0.05</x:v>
      </x:c>
      <x:c r="E343" s="460" t="n">
        <x:f>'117_价格概率传导'!A10</x:f>
        <x:v>229900</x:v>
      </x:c>
      <x:c r="F343" s="23" t="n">
        <x:f>'117_价格概率传导'!D10</x:f>
        <x:v>0.13</x:v>
      </x:c>
      <x:c r="G343" s="23" t="n">
        <x:f>SUM('117_价格概率传导'!$D$6:$D$9)</x:f>
        <x:v>0.8400000000000001</x:v>
      </x:c>
      <x:c r="H343" s="23" t="n">
        <x:f>SUM('117_价格概率传导'!$D$6:$D$10)</x:f>
        <x:v>0.9700000000000001</x:v>
      </x:c>
      <x:c r="I343" s="460" t="n">
        <x:f>'117_价格概率传导'!A16</x:f>
        <x:v>299900</x:v>
      </x:c>
      <x:c r="J343" s="23" t="n">
        <x:f>'117_价格概率传导'!D16</x:f>
        <x:v>0.02</x:v>
      </x:c>
      <x:c r="K343" s="23" t="n">
        <x:f>0</x:f>
        <x:v>0</x:v>
      </x:c>
      <x:c r="L343" s="23" t="n">
        <x:f>SUM('117_价格概率传导'!$D$16:$D$16)</x:f>
        <x:v>0.02</x:v>
      </x:c>
      <x:c r="M343" s="23" t="n">
        <x:f>MAX(0,MIN(H343,L343)-MAX(G343,K343))</x:f>
        <x:v>0</x:v>
      </x:c>
      <x:c r="N343" s="23" t="n">
        <x:f>B343*D343*M343</x:f>
        <x:v>0</x:v>
      </x:c>
      <x:c r="O343" s="460" t="n">
        <x:f>MIN(299900,I343+20000)</x:f>
        <x:v>299900</x:v>
      </x:c>
      <x:c r="P343" s="460" t="str">
        <x:f>""</x:f>
      </x:c>
      <x:c r="Q343" s="460" t="n">
        <x:f>O343-20000</x:f>
        <x:v>279900</x:v>
      </x:c>
      <x:c r="R343" s="460" t="n">
        <x:f>O343-E343</x:f>
        <x:v>70000</x:v>
      </x:c>
      <x:c r="S343" s="460" t="str">
        <x:f>IF(P343&gt;0,P343-E343,"")</x:f>
      </x:c>
      <x:c r="T343" s="460" t="n">
        <x:f>IF(Q343&gt;0,Q343-E343,"")</x:f>
        <x:v>50000</x:v>
      </x:c>
      <x:c r="U343" s="23" t="n">
        <x:f>IF(R343&lt;30000,N343,0)</x:f>
        <x:v>0</x:v>
      </x:c>
      <x:c r="V343" s="23" t="n">
        <x:f>IF(P343&gt;0,N343,0)</x:f>
        <x:v>0</x:v>
      </x:c>
      <x:c r="W343" s="23" t="n">
        <x:f>IF(AND(P343&gt;0,S343&lt;0),N343,0)</x:f>
        <x:v>0</x:v>
      </x:c>
      <x:c r="X343" s="23" t="n">
        <x:f>IF(AND(P343&gt;0,S343=0),N343,0)</x:f>
        <x:v>0</x:v>
      </x:c>
      <x:c r="Y343" s="23" t="n">
        <x:f>IF(Q343&gt;0,N343,0)</x:f>
        <x:v>0</x:v>
      </x:c>
      <x:c r="Z343" s="460" t="n">
        <x:f>IF(P343&gt;0,N343*S343,0)</x:f>
        <x:v>0</x:v>
      </x:c>
      <x:c r="AA343" s="460" t="n">
        <x:f>IF(Q343&gt;0,N343*T343,0)</x:f>
        <x:v>0</x:v>
      </x:c>
      <x:c r="AB343" s="460" t="n">
        <x:f>N343*R343</x:f>
        <x:v>0</x:v>
      </x:c>
      <x:c r="AC343" s="460" t="n">
        <x:f>IF(N343&gt;0,R343,999999)</x:f>
        <x:v>999999</x:v>
      </x:c>
      <x:c r="AD343" s="460" t="n">
        <x:f>IF(AND(N343&gt;0,P343&gt;0),S343,999999)</x:f>
        <x:v>999999</x:v>
      </x:c>
      <x:c r="AE343" s="460" t="n">
        <x:f>IF(AND(N343&gt;0,Q343&gt;0),T343,999999)</x:f>
        <x:v>999999</x:v>
      </x:c>
      <x:c r="AF343" s="23" t="n">
        <x:f>B343*D343*F343*J343</x:f>
        <x:v>0.00006500000000000001</x:v>
      </x:c>
      <x:c r="AG343" s="23" t="n">
        <x:f>IF(P343&gt;0,AF343,0)</x:f>
        <x:v>0</x:v>
      </x:c>
      <x:c r="AH343" s="23" t="n">
        <x:f>IF(AND(P343&gt;0,S343&lt;0),AF343,0)</x:f>
        <x:v>0</x:v>
      </x:c>
      <x:c r="AI343" s="23" t="n">
        <x:f>IF(AND(P343&gt;0,S343=0),AF343,0)</x:f>
        <x:v>0</x:v>
      </x:c>
      <x:c r="AJ343" s="23" t="n">
        <x:f>IF(R343&lt;30000,AF343,0)</x:f>
        <x:v>0</x:v>
      </x:c>
      <x:c r="AK343" s="460" t="n">
        <x:f>IF(P343&gt;0,AF343*S343,0)</x:f>
        <x:v>0</x:v>
      </x:c>
    </x:row>
    <x:row r="344" ht="22" customHeight="1">
      <x:c r="A344" s="643" t="str">
        <x:v>中心</x:v>
      </x:c>
      <x:c r="B344" s="648" t="n">
        <x:f>'114_降本系数'!B27</x:f>
        <x:v>0.5</x:v>
      </x:c>
      <x:c r="C344" s="643" t="str">
        <x:v>L2</x:v>
      </x:c>
      <x:c r="D344" s="648" t="n">
        <x:f>'130_联合算法'!C19</x:f>
        <x:v>0.05</x:v>
      </x:c>
      <x:c r="E344" s="647" t="n">
        <x:f>'117_价格概率传导'!A10</x:f>
        <x:v>229900</x:v>
      </x:c>
      <x:c r="F344" s="648" t="n">
        <x:f>'117_价格概率传导'!D10</x:f>
        <x:v>0.13</x:v>
      </x:c>
      <x:c r="G344" s="648" t="n">
        <x:f>SUM('117_价格概率传导'!$D$6:$D$9)</x:f>
        <x:v>0.8400000000000001</x:v>
      </x:c>
      <x:c r="H344" s="648" t="n">
        <x:f>SUM('117_价格概率传导'!$D$6:$D$10)</x:f>
        <x:v>0.9700000000000001</x:v>
      </x:c>
      <x:c r="I344" s="647" t="n">
        <x:f>'117_价格概率传导'!A17</x:f>
        <x:v>293900</x:v>
      </x:c>
      <x:c r="J344" s="648" t="n">
        <x:f>'117_价格概率传导'!D17</x:f>
        <x:v>0.03</x:v>
      </x:c>
      <x:c r="K344" s="648" t="n">
        <x:f>SUM('117_价格概率传导'!$D$16:$D$16)</x:f>
        <x:v>0.02</x:v>
      </x:c>
      <x:c r="L344" s="648" t="n">
        <x:f>SUM('117_价格概率传导'!$D$16:$D$17)</x:f>
        <x:v>0.05</x:v>
      </x:c>
      <x:c r="M344" s="648" t="n">
        <x:f>MAX(0,MIN(H344,L344)-MAX(G344,K344))</x:f>
        <x:v>0</x:v>
      </x:c>
      <x:c r="N344" s="648" t="n">
        <x:f>B344*D344*M344</x:f>
        <x:v>0</x:v>
      </x:c>
      <x:c r="O344" s="647" t="n">
        <x:f>MIN(299900,I344+20000)</x:f>
        <x:v>299900</x:v>
      </x:c>
      <x:c r="P344" s="647" t="str">
        <x:f>""</x:f>
      </x:c>
      <x:c r="Q344" s="647" t="n">
        <x:f>O344-20000</x:f>
        <x:v>279900</x:v>
      </x:c>
      <x:c r="R344" s="647" t="n">
        <x:f>O344-E344</x:f>
        <x:v>70000</x:v>
      </x:c>
      <x:c r="S344" s="647" t="str">
        <x:f>IF(P344&gt;0,P344-E344,"")</x:f>
      </x:c>
      <x:c r="T344" s="647" t="n">
        <x:f>IF(Q344&gt;0,Q344-E344,"")</x:f>
        <x:v>50000</x:v>
      </x:c>
      <x:c r="U344" s="648" t="n">
        <x:f>IF(R344&lt;30000,N344,0)</x:f>
        <x:v>0</x:v>
      </x:c>
      <x:c r="V344" s="648" t="n">
        <x:f>IF(P344&gt;0,N344,0)</x:f>
        <x:v>0</x:v>
      </x:c>
      <x:c r="W344" s="648" t="n">
        <x:f>IF(AND(P344&gt;0,S344&lt;0),N344,0)</x:f>
        <x:v>0</x:v>
      </x:c>
      <x:c r="X344" s="648" t="n">
        <x:f>IF(AND(P344&gt;0,S344=0),N344,0)</x:f>
        <x:v>0</x:v>
      </x:c>
      <x:c r="Y344" s="648" t="n">
        <x:f>IF(Q344&gt;0,N344,0)</x:f>
        <x:v>0</x:v>
      </x:c>
      <x:c r="Z344" s="647" t="n">
        <x:f>IF(P344&gt;0,N344*S344,0)</x:f>
        <x:v>0</x:v>
      </x:c>
      <x:c r="AA344" s="647" t="n">
        <x:f>IF(Q344&gt;0,N344*T344,0)</x:f>
        <x:v>0</x:v>
      </x:c>
      <x:c r="AB344" s="647" t="n">
        <x:f>N344*R344</x:f>
        <x:v>0</x:v>
      </x:c>
      <x:c r="AC344" s="647" t="n">
        <x:f>IF(N344&gt;0,R344,999999)</x:f>
        <x:v>999999</x:v>
      </x:c>
      <x:c r="AD344" s="647" t="n">
        <x:f>IF(AND(N344&gt;0,P344&gt;0),S344,999999)</x:f>
        <x:v>999999</x:v>
      </x:c>
      <x:c r="AE344" s="647" t="n">
        <x:f>IF(AND(N344&gt;0,Q344&gt;0),T344,999999)</x:f>
        <x:v>999999</x:v>
      </x:c>
      <x:c r="AF344" s="648" t="n">
        <x:f>B344*D344*F344*J344</x:f>
        <x:v>0.0000975</x:v>
      </x:c>
      <x:c r="AG344" s="648" t="n">
        <x:f>IF(P344&gt;0,AF344,0)</x:f>
        <x:v>0</x:v>
      </x:c>
      <x:c r="AH344" s="648" t="n">
        <x:f>IF(AND(P344&gt;0,S344&lt;0),AF344,0)</x:f>
        <x:v>0</x:v>
      </x:c>
      <x:c r="AI344" s="648" t="n">
        <x:f>IF(AND(P344&gt;0,S344=0),AF344,0)</x:f>
        <x:v>0</x:v>
      </x:c>
      <x:c r="AJ344" s="648" t="n">
        <x:f>IF(R344&lt;30000,AF344,0)</x:f>
        <x:v>0</x:v>
      </x:c>
      <x:c r="AK344" s="647" t="n">
        <x:f>IF(P344&gt;0,AF344*S344,0)</x:f>
        <x:v>0</x:v>
      </x:c>
    </x:row>
    <x:row r="345" ht="22" customHeight="1">
      <x:c r="A345" s="19" t="str">
        <x:v>中心</x:v>
      </x:c>
      <x:c r="B345" s="23" t="n">
        <x:f>'114_降本系数'!B27</x:f>
        <x:v>0.5</x:v>
      </x:c>
      <x:c r="C345" s="19" t="str">
        <x:v>L2</x:v>
      </x:c>
      <x:c r="D345" s="23" t="n">
        <x:f>'130_联合算法'!C19</x:f>
        <x:v>0.05</x:v>
      </x:c>
      <x:c r="E345" s="460" t="n">
        <x:f>'117_价格概率传导'!A10</x:f>
        <x:v>229900</x:v>
      </x:c>
      <x:c r="F345" s="23" t="n">
        <x:f>'117_价格概率传导'!D10</x:f>
        <x:v>0.13</x:v>
      </x:c>
      <x:c r="G345" s="23" t="n">
        <x:f>SUM('117_价格概率传导'!$D$6:$D$9)</x:f>
        <x:v>0.8400000000000001</x:v>
      </x:c>
      <x:c r="H345" s="23" t="n">
        <x:f>SUM('117_价格概率传导'!$D$6:$D$10)</x:f>
        <x:v>0.9700000000000001</x:v>
      </x:c>
      <x:c r="I345" s="460" t="n">
        <x:f>'117_价格概率传导'!A18</x:f>
        <x:v>289900</x:v>
      </x:c>
      <x:c r="J345" s="23" t="n">
        <x:f>'117_价格概率传导'!D18</x:f>
        <x:v>0.22</x:v>
      </x:c>
      <x:c r="K345" s="23" t="n">
        <x:f>SUM('117_价格概率传导'!$D$16:$D$17)</x:f>
        <x:v>0.05</x:v>
      </x:c>
      <x:c r="L345" s="23" t="n">
        <x:f>SUM('117_价格概率传导'!$D$16:$D$18)</x:f>
        <x:v>0.27</x:v>
      </x:c>
      <x:c r="M345" s="23" t="n">
        <x:f>MAX(0,MIN(H345,L345)-MAX(G345,K345))</x:f>
        <x:v>0</x:v>
      </x:c>
      <x:c r="N345" s="23" t="n">
        <x:f>B345*D345*M345</x:f>
        <x:v>0</x:v>
      </x:c>
      <x:c r="O345" s="460" t="n">
        <x:f>MIN(299900,I345+20000)</x:f>
        <x:v>299900</x:v>
      </x:c>
      <x:c r="P345" s="460" t="str">
        <x:f>""</x:f>
      </x:c>
      <x:c r="Q345" s="460" t="n">
        <x:f>O345-20000</x:f>
        <x:v>279900</x:v>
      </x:c>
      <x:c r="R345" s="460" t="n">
        <x:f>O345-E345</x:f>
        <x:v>70000</x:v>
      </x:c>
      <x:c r="S345" s="460" t="str">
        <x:f>IF(P345&gt;0,P345-E345,"")</x:f>
      </x:c>
      <x:c r="T345" s="460" t="n">
        <x:f>IF(Q345&gt;0,Q345-E345,"")</x:f>
        <x:v>50000</x:v>
      </x:c>
      <x:c r="U345" s="23" t="n">
        <x:f>IF(R345&lt;30000,N345,0)</x:f>
        <x:v>0</x:v>
      </x:c>
      <x:c r="V345" s="23" t="n">
        <x:f>IF(P345&gt;0,N345,0)</x:f>
        <x:v>0</x:v>
      </x:c>
      <x:c r="W345" s="23" t="n">
        <x:f>IF(AND(P345&gt;0,S345&lt;0),N345,0)</x:f>
        <x:v>0</x:v>
      </x:c>
      <x:c r="X345" s="23" t="n">
        <x:f>IF(AND(P345&gt;0,S345=0),N345,0)</x:f>
        <x:v>0</x:v>
      </x:c>
      <x:c r="Y345" s="23" t="n">
        <x:f>IF(Q345&gt;0,N345,0)</x:f>
        <x:v>0</x:v>
      </x:c>
      <x:c r="Z345" s="460" t="n">
        <x:f>IF(P345&gt;0,N345*S345,0)</x:f>
        <x:v>0</x:v>
      </x:c>
      <x:c r="AA345" s="460" t="n">
        <x:f>IF(Q345&gt;0,N345*T345,0)</x:f>
        <x:v>0</x:v>
      </x:c>
      <x:c r="AB345" s="460" t="n">
        <x:f>N345*R345</x:f>
        <x:v>0</x:v>
      </x:c>
      <x:c r="AC345" s="460" t="n">
        <x:f>IF(N345&gt;0,R345,999999)</x:f>
        <x:v>999999</x:v>
      </x:c>
      <x:c r="AD345" s="460" t="n">
        <x:f>IF(AND(N345&gt;0,P345&gt;0),S345,999999)</x:f>
        <x:v>999999</x:v>
      </x:c>
      <x:c r="AE345" s="460" t="n">
        <x:f>IF(AND(N345&gt;0,Q345&gt;0),T345,999999)</x:f>
        <x:v>999999</x:v>
      </x:c>
      <x:c r="AF345" s="23" t="n">
        <x:f>B345*D345*F345*J345</x:f>
        <x:v>0.000715</x:v>
      </x:c>
      <x:c r="AG345" s="23" t="n">
        <x:f>IF(P345&gt;0,AF345,0)</x:f>
        <x:v>0</x:v>
      </x:c>
      <x:c r="AH345" s="23" t="n">
        <x:f>IF(AND(P345&gt;0,S345&lt;0),AF345,0)</x:f>
        <x:v>0</x:v>
      </x:c>
      <x:c r="AI345" s="23" t="n">
        <x:f>IF(AND(P345&gt;0,S345=0),AF345,0)</x:f>
        <x:v>0</x:v>
      </x:c>
      <x:c r="AJ345" s="23" t="n">
        <x:f>IF(R345&lt;30000,AF345,0)</x:f>
        <x:v>0</x:v>
      </x:c>
      <x:c r="AK345" s="460" t="n">
        <x:f>IF(P345&gt;0,AF345*S345,0)</x:f>
        <x:v>0</x:v>
      </x:c>
    </x:row>
    <x:row r="346" ht="22" customHeight="1">
      <x:c r="A346" s="643" t="str">
        <x:v>中心</x:v>
      </x:c>
      <x:c r="B346" s="648" t="n">
        <x:f>'114_降本系数'!B27</x:f>
        <x:v>0.5</x:v>
      </x:c>
      <x:c r="C346" s="643" t="str">
        <x:v>L2</x:v>
      </x:c>
      <x:c r="D346" s="648" t="n">
        <x:f>'130_联合算法'!C19</x:f>
        <x:v>0.05</x:v>
      </x:c>
      <x:c r="E346" s="647" t="n">
        <x:f>'117_价格概率传导'!A10</x:f>
        <x:v>229900</x:v>
      </x:c>
      <x:c r="F346" s="648" t="n">
        <x:f>'117_价格概率传导'!D10</x:f>
        <x:v>0.13</x:v>
      </x:c>
      <x:c r="G346" s="648" t="n">
        <x:f>SUM('117_价格概率传导'!$D$6:$D$9)</x:f>
        <x:v>0.8400000000000001</x:v>
      </x:c>
      <x:c r="H346" s="648" t="n">
        <x:f>SUM('117_价格概率传导'!$D$6:$D$10)</x:f>
        <x:v>0.9700000000000001</x:v>
      </x:c>
      <x:c r="I346" s="647" t="n">
        <x:f>'117_价格概率传导'!A19</x:f>
        <x:v>279900</x:v>
      </x:c>
      <x:c r="J346" s="648" t="n">
        <x:f>'117_价格概率传导'!D19</x:f>
        <x:v>0.44</x:v>
      </x:c>
      <x:c r="K346" s="648" t="n">
        <x:f>SUM('117_价格概率传导'!$D$16:$D$18)</x:f>
        <x:v>0.27</x:v>
      </x:c>
      <x:c r="L346" s="648" t="n">
        <x:f>SUM('117_价格概率传导'!$D$16:$D$19)</x:f>
        <x:v>0.71</x:v>
      </x:c>
      <x:c r="M346" s="648" t="n">
        <x:f>MAX(0,MIN(H346,L346)-MAX(G346,K346))</x:f>
        <x:v>0</x:v>
      </x:c>
      <x:c r="N346" s="648" t="n">
        <x:f>B346*D346*M346</x:f>
        <x:v>0</x:v>
      </x:c>
      <x:c r="O346" s="647" t="n">
        <x:f>MIN(299900,I346+20000)</x:f>
        <x:v>299900</x:v>
      </x:c>
      <x:c r="P346" s="647" t="str">
        <x:f>""</x:f>
      </x:c>
      <x:c r="Q346" s="647" t="n">
        <x:f>O346-20000</x:f>
        <x:v>279900</x:v>
      </x:c>
      <x:c r="R346" s="647" t="n">
        <x:f>O346-E346</x:f>
        <x:v>70000</x:v>
      </x:c>
      <x:c r="S346" s="647" t="str">
        <x:f>IF(P346&gt;0,P346-E346,"")</x:f>
      </x:c>
      <x:c r="T346" s="647" t="n">
        <x:f>IF(Q346&gt;0,Q346-E346,"")</x:f>
        <x:v>50000</x:v>
      </x:c>
      <x:c r="U346" s="648" t="n">
        <x:f>IF(R346&lt;30000,N346,0)</x:f>
        <x:v>0</x:v>
      </x:c>
      <x:c r="V346" s="648" t="n">
        <x:f>IF(P346&gt;0,N346,0)</x:f>
        <x:v>0</x:v>
      </x:c>
      <x:c r="W346" s="648" t="n">
        <x:f>IF(AND(P346&gt;0,S346&lt;0),N346,0)</x:f>
        <x:v>0</x:v>
      </x:c>
      <x:c r="X346" s="648" t="n">
        <x:f>IF(AND(P346&gt;0,S346=0),N346,0)</x:f>
        <x:v>0</x:v>
      </x:c>
      <x:c r="Y346" s="648" t="n">
        <x:f>IF(Q346&gt;0,N346,0)</x:f>
        <x:v>0</x:v>
      </x:c>
      <x:c r="Z346" s="647" t="n">
        <x:f>IF(P346&gt;0,N346*S346,0)</x:f>
        <x:v>0</x:v>
      </x:c>
      <x:c r="AA346" s="647" t="n">
        <x:f>IF(Q346&gt;0,N346*T346,0)</x:f>
        <x:v>0</x:v>
      </x:c>
      <x:c r="AB346" s="647" t="n">
        <x:f>N346*R346</x:f>
        <x:v>0</x:v>
      </x:c>
      <x:c r="AC346" s="647" t="n">
        <x:f>IF(N346&gt;0,R346,999999)</x:f>
        <x:v>999999</x:v>
      </x:c>
      <x:c r="AD346" s="647" t="n">
        <x:f>IF(AND(N346&gt;0,P346&gt;0),S346,999999)</x:f>
        <x:v>999999</x:v>
      </x:c>
      <x:c r="AE346" s="647" t="n">
        <x:f>IF(AND(N346&gt;0,Q346&gt;0),T346,999999)</x:f>
        <x:v>999999</x:v>
      </x:c>
      <x:c r="AF346" s="648" t="n">
        <x:f>B346*D346*F346*J346</x:f>
        <x:v>0.00143</x:v>
      </x:c>
      <x:c r="AG346" s="648" t="n">
        <x:f>IF(P346&gt;0,AF346,0)</x:f>
        <x:v>0</x:v>
      </x:c>
      <x:c r="AH346" s="648" t="n">
        <x:f>IF(AND(P346&gt;0,S346&lt;0),AF346,0)</x:f>
        <x:v>0</x:v>
      </x:c>
      <x:c r="AI346" s="648" t="n">
        <x:f>IF(AND(P346&gt;0,S346=0),AF346,0)</x:f>
        <x:v>0</x:v>
      </x:c>
      <x:c r="AJ346" s="648" t="n">
        <x:f>IF(R346&lt;30000,AF346,0)</x:f>
        <x:v>0</x:v>
      </x:c>
      <x:c r="AK346" s="647" t="n">
        <x:f>IF(P346&gt;0,AF346*S346,0)</x:f>
        <x:v>0</x:v>
      </x:c>
    </x:row>
    <x:row r="347" ht="22" customHeight="1">
      <x:c r="A347" s="19" t="str">
        <x:v>中心</x:v>
      </x:c>
      <x:c r="B347" s="23" t="n">
        <x:f>'114_降本系数'!B27</x:f>
        <x:v>0.5</x:v>
      </x:c>
      <x:c r="C347" s="19" t="str">
        <x:v>L2</x:v>
      </x:c>
      <x:c r="D347" s="23" t="n">
        <x:f>'130_联合算法'!C19</x:f>
        <x:v>0.05</x:v>
      </x:c>
      <x:c r="E347" s="460" t="n">
        <x:f>'117_价格概率传导'!A10</x:f>
        <x:v>229900</x:v>
      </x:c>
      <x:c r="F347" s="23" t="n">
        <x:f>'117_价格概率传导'!D10</x:f>
        <x:v>0.13</x:v>
      </x:c>
      <x:c r="G347" s="23" t="n">
        <x:f>SUM('117_价格概率传导'!$D$6:$D$9)</x:f>
        <x:v>0.8400000000000001</x:v>
      </x:c>
      <x:c r="H347" s="23" t="n">
        <x:f>SUM('117_价格概率传导'!$D$6:$D$10)</x:f>
        <x:v>0.9700000000000001</x:v>
      </x:c>
      <x:c r="I347" s="460" t="n">
        <x:f>'117_价格概率传导'!A20</x:f>
        <x:v>269900</x:v>
      </x:c>
      <x:c r="J347" s="23" t="n">
        <x:f>'117_价格概率传导'!D20</x:f>
        <x:v>0.23</x:v>
      </x:c>
      <x:c r="K347" s="23" t="n">
        <x:f>SUM('117_价格概率传导'!$D$16:$D$19)</x:f>
        <x:v>0.71</x:v>
      </x:c>
      <x:c r="L347" s="23" t="n">
        <x:f>SUM('117_价格概率传导'!$D$16:$D$20)</x:f>
        <x:v>0.94</x:v>
      </x:c>
      <x:c r="M347" s="23" t="n">
        <x:f>MAX(0,MIN(H347,L347)-MAX(G347,K347))</x:f>
        <x:v>0.09999999999999987</x:v>
      </x:c>
      <x:c r="N347" s="23" t="n">
        <x:f>B347*D347*M347</x:f>
        <x:v>0.002499999999999997</x:v>
      </x:c>
      <x:c r="O347" s="460" t="n">
        <x:f>MIN(299900,I347+20000)</x:f>
        <x:v>289900</x:v>
      </x:c>
      <x:c r="P347" s="460" t="str">
        <x:f>""</x:f>
      </x:c>
      <x:c r="Q347" s="460" t="n">
        <x:f>O347-20000</x:f>
        <x:v>269900</x:v>
      </x:c>
      <x:c r="R347" s="460" t="n">
        <x:f>O347-E347</x:f>
        <x:v>60000</x:v>
      </x:c>
      <x:c r="S347" s="460" t="str">
        <x:f>IF(P347&gt;0,P347-E347,"")</x:f>
      </x:c>
      <x:c r="T347" s="460" t="n">
        <x:f>IF(Q347&gt;0,Q347-E347,"")</x:f>
        <x:v>40000</x:v>
      </x:c>
      <x:c r="U347" s="23" t="n">
        <x:f>IF(R347&lt;30000,N347,0)</x:f>
        <x:v>0</x:v>
      </x:c>
      <x:c r="V347" s="23" t="n">
        <x:f>IF(P347&gt;0,N347,0)</x:f>
        <x:v>0</x:v>
      </x:c>
      <x:c r="W347" s="23" t="n">
        <x:f>IF(AND(P347&gt;0,S347&lt;0),N347,0)</x:f>
        <x:v>0</x:v>
      </x:c>
      <x:c r="X347" s="23" t="n">
        <x:f>IF(AND(P347&gt;0,S347=0),N347,0)</x:f>
        <x:v>0</x:v>
      </x:c>
      <x:c r="Y347" s="23" t="n">
        <x:f>IF(Q347&gt;0,N347,0)</x:f>
        <x:v>0.002499999999999997</x:v>
      </x:c>
      <x:c r="Z347" s="460" t="n">
        <x:f>IF(P347&gt;0,N347*S347,0)</x:f>
        <x:v>0</x:v>
      </x:c>
      <x:c r="AA347" s="460" t="n">
        <x:f>IF(Q347&gt;0,N347*T347,0)</x:f>
        <x:v>99.99999999999989</x:v>
      </x:c>
      <x:c r="AB347" s="460" t="n">
        <x:f>N347*R347</x:f>
        <x:v>149.99999999999983</x:v>
      </x:c>
      <x:c r="AC347" s="460" t="n">
        <x:f>IF(N347&gt;0,R347,999999)</x:f>
        <x:v>60000</x:v>
      </x:c>
      <x:c r="AD347" s="460" t="n">
        <x:f>IF(AND(N347&gt;0,P347&gt;0),S347,999999)</x:f>
        <x:v>999999</x:v>
      </x:c>
      <x:c r="AE347" s="460" t="n">
        <x:f>IF(AND(N347&gt;0,Q347&gt;0),T347,999999)</x:f>
        <x:v>40000</x:v>
      </x:c>
      <x:c r="AF347" s="23" t="n">
        <x:f>B347*D347*F347*J347</x:f>
        <x:v>0.0007475000000000001</x:v>
      </x:c>
      <x:c r="AG347" s="23" t="n">
        <x:f>IF(P347&gt;0,AF347,0)</x:f>
        <x:v>0</x:v>
      </x:c>
      <x:c r="AH347" s="23" t="n">
        <x:f>IF(AND(P347&gt;0,S347&lt;0),AF347,0)</x:f>
        <x:v>0</x:v>
      </x:c>
      <x:c r="AI347" s="23" t="n">
        <x:f>IF(AND(P347&gt;0,S347=0),AF347,0)</x:f>
        <x:v>0</x:v>
      </x:c>
      <x:c r="AJ347" s="23" t="n">
        <x:f>IF(R347&lt;30000,AF347,0)</x:f>
        <x:v>0</x:v>
      </x:c>
      <x:c r="AK347" s="460" t="n">
        <x:f>IF(P347&gt;0,AF347*S347,0)</x:f>
        <x:v>0</x:v>
      </x:c>
    </x:row>
    <x:row r="348" ht="22" customHeight="1">
      <x:c r="A348" s="643" t="str">
        <x:v>中心</x:v>
      </x:c>
      <x:c r="B348" s="648" t="n">
        <x:f>'114_降本系数'!B27</x:f>
        <x:v>0.5</x:v>
      </x:c>
      <x:c r="C348" s="643" t="str">
        <x:v>L2</x:v>
      </x:c>
      <x:c r="D348" s="648" t="n">
        <x:f>'130_联合算法'!C19</x:f>
        <x:v>0.05</x:v>
      </x:c>
      <x:c r="E348" s="647" t="n">
        <x:f>'117_价格概率传导'!A10</x:f>
        <x:v>229900</x:v>
      </x:c>
      <x:c r="F348" s="648" t="n">
        <x:f>'117_价格概率传导'!D10</x:f>
        <x:v>0.13</x:v>
      </x:c>
      <x:c r="G348" s="648" t="n">
        <x:f>SUM('117_价格概率传导'!$D$6:$D$9)</x:f>
        <x:v>0.8400000000000001</x:v>
      </x:c>
      <x:c r="H348" s="648" t="n">
        <x:f>SUM('117_价格概率传导'!$D$6:$D$10)</x:f>
        <x:v>0.9700000000000001</x:v>
      </x:c>
      <x:c r="I348" s="647" t="n">
        <x:f>'117_价格概率传导'!A21</x:f>
        <x:v>259900</x:v>
      </x:c>
      <x:c r="J348" s="648" t="n">
        <x:f>'117_价格概率传导'!D21</x:f>
        <x:v>0.06</x:v>
      </x:c>
      <x:c r="K348" s="648" t="n">
        <x:f>SUM('117_价格概率传导'!$D$16:$D$20)</x:f>
        <x:v>0.94</x:v>
      </x:c>
      <x:c r="L348" s="648" t="n">
        <x:f>SUM('117_价格概率传导'!$D$16:$D$21)</x:f>
        <x:v>1</x:v>
      </x:c>
      <x:c r="M348" s="648" t="n">
        <x:f>MAX(0,MIN(H348,L348)-MAX(G348,K348))</x:f>
        <x:v>0.030000000000000138</x:v>
      </x:c>
      <x:c r="N348" s="648" t="n">
        <x:f>B348*D348*M348</x:f>
        <x:v>0.0007500000000000035</x:v>
      </x:c>
      <x:c r="O348" s="647" t="n">
        <x:f>MIN(299900,I348+20000)</x:f>
        <x:v>279900</x:v>
      </x:c>
      <x:c r="P348" s="647" t="str">
        <x:f>""</x:f>
      </x:c>
      <x:c r="Q348" s="647" t="n">
        <x:f>O348-20000</x:f>
        <x:v>259900</x:v>
      </x:c>
      <x:c r="R348" s="647" t="n">
        <x:f>O348-E348</x:f>
        <x:v>50000</x:v>
      </x:c>
      <x:c r="S348" s="647" t="str">
        <x:f>IF(P348&gt;0,P348-E348,"")</x:f>
      </x:c>
      <x:c r="T348" s="647" t="n">
        <x:f>IF(Q348&gt;0,Q348-E348,"")</x:f>
        <x:v>30000</x:v>
      </x:c>
      <x:c r="U348" s="648" t="n">
        <x:f>IF(R348&lt;30000,N348,0)</x:f>
        <x:v>0</x:v>
      </x:c>
      <x:c r="V348" s="648" t="n">
        <x:f>IF(P348&gt;0,N348,0)</x:f>
        <x:v>0</x:v>
      </x:c>
      <x:c r="W348" s="648" t="n">
        <x:f>IF(AND(P348&gt;0,S348&lt;0),N348,0)</x:f>
        <x:v>0</x:v>
      </x:c>
      <x:c r="X348" s="648" t="n">
        <x:f>IF(AND(P348&gt;0,S348=0),N348,0)</x:f>
        <x:v>0</x:v>
      </x:c>
      <x:c r="Y348" s="648" t="n">
        <x:f>IF(Q348&gt;0,N348,0)</x:f>
        <x:v>0.0007500000000000035</x:v>
      </x:c>
      <x:c r="Z348" s="647" t="n">
        <x:f>IF(P348&gt;0,N348*S348,0)</x:f>
        <x:v>0</x:v>
      </x:c>
      <x:c r="AA348" s="647" t="n">
        <x:f>IF(Q348&gt;0,N348*T348,0)</x:f>
        <x:v>22.500000000000103</x:v>
      </x:c>
      <x:c r="AB348" s="647" t="n">
        <x:f>N348*R348</x:f>
        <x:v>37.50000000000018</x:v>
      </x:c>
      <x:c r="AC348" s="647" t="n">
        <x:f>IF(N348&gt;0,R348,999999)</x:f>
        <x:v>50000</x:v>
      </x:c>
      <x:c r="AD348" s="647" t="n">
        <x:f>IF(AND(N348&gt;0,P348&gt;0),S348,999999)</x:f>
        <x:v>999999</x:v>
      </x:c>
      <x:c r="AE348" s="647" t="n">
        <x:f>IF(AND(N348&gt;0,Q348&gt;0),T348,999999)</x:f>
        <x:v>30000</x:v>
      </x:c>
      <x:c r="AF348" s="648" t="n">
        <x:f>B348*D348*F348*J348</x:f>
        <x:v>0.000195</x:v>
      </x:c>
      <x:c r="AG348" s="648" t="n">
        <x:f>IF(P348&gt;0,AF348,0)</x:f>
        <x:v>0</x:v>
      </x:c>
      <x:c r="AH348" s="648" t="n">
        <x:f>IF(AND(P348&gt;0,S348&lt;0),AF348,0)</x:f>
        <x:v>0</x:v>
      </x:c>
      <x:c r="AI348" s="648" t="n">
        <x:f>IF(AND(P348&gt;0,S348=0),AF348,0)</x:f>
        <x:v>0</x:v>
      </x:c>
      <x:c r="AJ348" s="648" t="n">
        <x:f>IF(R348&lt;30000,AF348,0)</x:f>
        <x:v>0</x:v>
      </x:c>
      <x:c r="AK348" s="647" t="n">
        <x:f>IF(P348&gt;0,AF348*S348,0)</x:f>
        <x:v>0</x:v>
      </x:c>
    </x:row>
    <x:row r="349" ht="22" customHeight="1">
      <x:c r="A349" s="19" t="str">
        <x:v>中心</x:v>
      </x:c>
      <x:c r="B349" s="23" t="n">
        <x:f>'114_降本系数'!B27</x:f>
        <x:v>0.5</x:v>
      </x:c>
      <x:c r="C349" s="19" t="str">
        <x:v>L2</x:v>
      </x:c>
      <x:c r="D349" s="23" t="n">
        <x:f>'130_联合算法'!C19</x:f>
        <x:v>0.05</x:v>
      </x:c>
      <x:c r="E349" s="460" t="n">
        <x:f>'117_价格概率传导'!A11</x:f>
        <x:v>219900</x:v>
      </x:c>
      <x:c r="F349" s="23" t="n">
        <x:f>'117_价格概率传导'!D11</x:f>
        <x:v>0.03</x:v>
      </x:c>
      <x:c r="G349" s="23" t="n">
        <x:f>SUM('117_价格概率传导'!$D$6:$D$10)</x:f>
        <x:v>0.9700000000000001</x:v>
      </x:c>
      <x:c r="H349" s="23" t="n">
        <x:f>SUM('117_价格概率传导'!$D$6:$D$11)</x:f>
        <x:v>1</x:v>
      </x:c>
      <x:c r="I349" s="460" t="n">
        <x:f>'117_价格概率传导'!A16</x:f>
        <x:v>299900</x:v>
      </x:c>
      <x:c r="J349" s="23" t="n">
        <x:f>'117_价格概率传导'!D16</x:f>
        <x:v>0.02</x:v>
      </x:c>
      <x:c r="K349" s="23" t="n">
        <x:f>0</x:f>
        <x:v>0</x:v>
      </x:c>
      <x:c r="L349" s="23" t="n">
        <x:f>SUM('117_价格概率传导'!$D$16:$D$16)</x:f>
        <x:v>0.02</x:v>
      </x:c>
      <x:c r="M349" s="23" t="n">
        <x:f>MAX(0,MIN(H349,L349)-MAX(G349,K349))</x:f>
        <x:v>0</x:v>
      </x:c>
      <x:c r="N349" s="23" t="n">
        <x:f>B349*D349*M349</x:f>
        <x:v>0</x:v>
      </x:c>
      <x:c r="O349" s="460" t="n">
        <x:f>MIN(299900,I349+20000)</x:f>
        <x:v>299900</x:v>
      </x:c>
      <x:c r="P349" s="460" t="str">
        <x:f>""</x:f>
      </x:c>
      <x:c r="Q349" s="460" t="n">
        <x:f>O349-20000</x:f>
        <x:v>279900</x:v>
      </x:c>
      <x:c r="R349" s="460" t="n">
        <x:f>O349-E349</x:f>
        <x:v>80000</x:v>
      </x:c>
      <x:c r="S349" s="460" t="str">
        <x:f>IF(P349&gt;0,P349-E349,"")</x:f>
      </x:c>
      <x:c r="T349" s="460" t="n">
        <x:f>IF(Q349&gt;0,Q349-E349,"")</x:f>
        <x:v>60000</x:v>
      </x:c>
      <x:c r="U349" s="23" t="n">
        <x:f>IF(R349&lt;30000,N349,0)</x:f>
        <x:v>0</x:v>
      </x:c>
      <x:c r="V349" s="23" t="n">
        <x:f>IF(P349&gt;0,N349,0)</x:f>
        <x:v>0</x:v>
      </x:c>
      <x:c r="W349" s="23" t="n">
        <x:f>IF(AND(P349&gt;0,S349&lt;0),N349,0)</x:f>
        <x:v>0</x:v>
      </x:c>
      <x:c r="X349" s="23" t="n">
        <x:f>IF(AND(P349&gt;0,S349=0),N349,0)</x:f>
        <x:v>0</x:v>
      </x:c>
      <x:c r="Y349" s="23" t="n">
        <x:f>IF(Q349&gt;0,N349,0)</x:f>
        <x:v>0</x:v>
      </x:c>
      <x:c r="Z349" s="460" t="n">
        <x:f>IF(P349&gt;0,N349*S349,0)</x:f>
        <x:v>0</x:v>
      </x:c>
      <x:c r="AA349" s="460" t="n">
        <x:f>IF(Q349&gt;0,N349*T349,0)</x:f>
        <x:v>0</x:v>
      </x:c>
      <x:c r="AB349" s="460" t="n">
        <x:f>N349*R349</x:f>
        <x:v>0</x:v>
      </x:c>
      <x:c r="AC349" s="460" t="n">
        <x:f>IF(N349&gt;0,R349,999999)</x:f>
        <x:v>999999</x:v>
      </x:c>
      <x:c r="AD349" s="460" t="n">
        <x:f>IF(AND(N349&gt;0,P349&gt;0),S349,999999)</x:f>
        <x:v>999999</x:v>
      </x:c>
      <x:c r="AE349" s="460" t="n">
        <x:f>IF(AND(N349&gt;0,Q349&gt;0),T349,999999)</x:f>
        <x:v>999999</x:v>
      </x:c>
      <x:c r="AF349" s="23" t="n">
        <x:f>B349*D349*F349*J349</x:f>
        <x:v>0.000015</x:v>
      </x:c>
      <x:c r="AG349" s="23" t="n">
        <x:f>IF(P349&gt;0,AF349,0)</x:f>
        <x:v>0</x:v>
      </x:c>
      <x:c r="AH349" s="23" t="n">
        <x:f>IF(AND(P349&gt;0,S349&lt;0),AF349,0)</x:f>
        <x:v>0</x:v>
      </x:c>
      <x:c r="AI349" s="23" t="n">
        <x:f>IF(AND(P349&gt;0,S349=0),AF349,0)</x:f>
        <x:v>0</x:v>
      </x:c>
      <x:c r="AJ349" s="23" t="n">
        <x:f>IF(R349&lt;30000,AF349,0)</x:f>
        <x:v>0</x:v>
      </x:c>
      <x:c r="AK349" s="460" t="n">
        <x:f>IF(P349&gt;0,AF349*S349,0)</x:f>
        <x:v>0</x:v>
      </x:c>
    </x:row>
    <x:row r="350" ht="22" customHeight="1">
      <x:c r="A350" s="643" t="str">
        <x:v>中心</x:v>
      </x:c>
      <x:c r="B350" s="648" t="n">
        <x:f>'114_降本系数'!B27</x:f>
        <x:v>0.5</x:v>
      </x:c>
      <x:c r="C350" s="643" t="str">
        <x:v>L2</x:v>
      </x:c>
      <x:c r="D350" s="648" t="n">
        <x:f>'130_联合算法'!C19</x:f>
        <x:v>0.05</x:v>
      </x:c>
      <x:c r="E350" s="647" t="n">
        <x:f>'117_价格概率传导'!A11</x:f>
        <x:v>219900</x:v>
      </x:c>
      <x:c r="F350" s="648" t="n">
        <x:f>'117_价格概率传导'!D11</x:f>
        <x:v>0.03</x:v>
      </x:c>
      <x:c r="G350" s="648" t="n">
        <x:f>SUM('117_价格概率传导'!$D$6:$D$10)</x:f>
        <x:v>0.9700000000000001</x:v>
      </x:c>
      <x:c r="H350" s="648" t="n">
        <x:f>SUM('117_价格概率传导'!$D$6:$D$11)</x:f>
        <x:v>1</x:v>
      </x:c>
      <x:c r="I350" s="647" t="n">
        <x:f>'117_价格概率传导'!A17</x:f>
        <x:v>293900</x:v>
      </x:c>
      <x:c r="J350" s="648" t="n">
        <x:f>'117_价格概率传导'!D17</x:f>
        <x:v>0.03</x:v>
      </x:c>
      <x:c r="K350" s="648" t="n">
        <x:f>SUM('117_价格概率传导'!$D$16:$D$16)</x:f>
        <x:v>0.02</x:v>
      </x:c>
      <x:c r="L350" s="648" t="n">
        <x:f>SUM('117_价格概率传导'!$D$16:$D$17)</x:f>
        <x:v>0.05</x:v>
      </x:c>
      <x:c r="M350" s="648" t="n">
        <x:f>MAX(0,MIN(H350,L350)-MAX(G350,K350))</x:f>
        <x:v>0</x:v>
      </x:c>
      <x:c r="N350" s="648" t="n">
        <x:f>B350*D350*M350</x:f>
        <x:v>0</x:v>
      </x:c>
      <x:c r="O350" s="647" t="n">
        <x:f>MIN(299900,I350+20000)</x:f>
        <x:v>299900</x:v>
      </x:c>
      <x:c r="P350" s="647" t="str">
        <x:f>""</x:f>
      </x:c>
      <x:c r="Q350" s="647" t="n">
        <x:f>O350-20000</x:f>
        <x:v>279900</x:v>
      </x:c>
      <x:c r="R350" s="647" t="n">
        <x:f>O350-E350</x:f>
        <x:v>80000</x:v>
      </x:c>
      <x:c r="S350" s="647" t="str">
        <x:f>IF(P350&gt;0,P350-E350,"")</x:f>
      </x:c>
      <x:c r="T350" s="647" t="n">
        <x:f>IF(Q350&gt;0,Q350-E350,"")</x:f>
        <x:v>60000</x:v>
      </x:c>
      <x:c r="U350" s="648" t="n">
        <x:f>IF(R350&lt;30000,N350,0)</x:f>
        <x:v>0</x:v>
      </x:c>
      <x:c r="V350" s="648" t="n">
        <x:f>IF(P350&gt;0,N350,0)</x:f>
        <x:v>0</x:v>
      </x:c>
      <x:c r="W350" s="648" t="n">
        <x:f>IF(AND(P350&gt;0,S350&lt;0),N350,0)</x:f>
        <x:v>0</x:v>
      </x:c>
      <x:c r="X350" s="648" t="n">
        <x:f>IF(AND(P350&gt;0,S350=0),N350,0)</x:f>
        <x:v>0</x:v>
      </x:c>
      <x:c r="Y350" s="648" t="n">
        <x:f>IF(Q350&gt;0,N350,0)</x:f>
        <x:v>0</x:v>
      </x:c>
      <x:c r="Z350" s="647" t="n">
        <x:f>IF(P350&gt;0,N350*S350,0)</x:f>
        <x:v>0</x:v>
      </x:c>
      <x:c r="AA350" s="647" t="n">
        <x:f>IF(Q350&gt;0,N350*T350,0)</x:f>
        <x:v>0</x:v>
      </x:c>
      <x:c r="AB350" s="647" t="n">
        <x:f>N350*R350</x:f>
        <x:v>0</x:v>
      </x:c>
      <x:c r="AC350" s="647" t="n">
        <x:f>IF(N350&gt;0,R350,999999)</x:f>
        <x:v>999999</x:v>
      </x:c>
      <x:c r="AD350" s="647" t="n">
        <x:f>IF(AND(N350&gt;0,P350&gt;0),S350,999999)</x:f>
        <x:v>999999</x:v>
      </x:c>
      <x:c r="AE350" s="647" t="n">
        <x:f>IF(AND(N350&gt;0,Q350&gt;0),T350,999999)</x:f>
        <x:v>999999</x:v>
      </x:c>
      <x:c r="AF350" s="648" t="n">
        <x:f>B350*D350*F350*J350</x:f>
        <x:v>0.000022499999999999998</x:v>
      </x:c>
      <x:c r="AG350" s="648" t="n">
        <x:f>IF(P350&gt;0,AF350,0)</x:f>
        <x:v>0</x:v>
      </x:c>
      <x:c r="AH350" s="648" t="n">
        <x:f>IF(AND(P350&gt;0,S350&lt;0),AF350,0)</x:f>
        <x:v>0</x:v>
      </x:c>
      <x:c r="AI350" s="648" t="n">
        <x:f>IF(AND(P350&gt;0,S350=0),AF350,0)</x:f>
        <x:v>0</x:v>
      </x:c>
      <x:c r="AJ350" s="648" t="n">
        <x:f>IF(R350&lt;30000,AF350,0)</x:f>
        <x:v>0</x:v>
      </x:c>
      <x:c r="AK350" s="647" t="n">
        <x:f>IF(P350&gt;0,AF350*S350,0)</x:f>
        <x:v>0</x:v>
      </x:c>
    </x:row>
    <x:row r="351" ht="22" customHeight="1">
      <x:c r="A351" s="19" t="str">
        <x:v>中心</x:v>
      </x:c>
      <x:c r="B351" s="23" t="n">
        <x:f>'114_降本系数'!B27</x:f>
        <x:v>0.5</x:v>
      </x:c>
      <x:c r="C351" s="19" t="str">
        <x:v>L2</x:v>
      </x:c>
      <x:c r="D351" s="23" t="n">
        <x:f>'130_联合算法'!C19</x:f>
        <x:v>0.05</x:v>
      </x:c>
      <x:c r="E351" s="460" t="n">
        <x:f>'117_价格概率传导'!A11</x:f>
        <x:v>219900</x:v>
      </x:c>
      <x:c r="F351" s="23" t="n">
        <x:f>'117_价格概率传导'!D11</x:f>
        <x:v>0.03</x:v>
      </x:c>
      <x:c r="G351" s="23" t="n">
        <x:f>SUM('117_价格概率传导'!$D$6:$D$10)</x:f>
        <x:v>0.9700000000000001</x:v>
      </x:c>
      <x:c r="H351" s="23" t="n">
        <x:f>SUM('117_价格概率传导'!$D$6:$D$11)</x:f>
        <x:v>1</x:v>
      </x:c>
      <x:c r="I351" s="460" t="n">
        <x:f>'117_价格概率传导'!A18</x:f>
        <x:v>289900</x:v>
      </x:c>
      <x:c r="J351" s="23" t="n">
        <x:f>'117_价格概率传导'!D18</x:f>
        <x:v>0.22</x:v>
      </x:c>
      <x:c r="K351" s="23" t="n">
        <x:f>SUM('117_价格概率传导'!$D$16:$D$17)</x:f>
        <x:v>0.05</x:v>
      </x:c>
      <x:c r="L351" s="23" t="n">
        <x:f>SUM('117_价格概率传导'!$D$16:$D$18)</x:f>
        <x:v>0.27</x:v>
      </x:c>
      <x:c r="M351" s="23" t="n">
        <x:f>MAX(0,MIN(H351,L351)-MAX(G351,K351))</x:f>
        <x:v>0</x:v>
      </x:c>
      <x:c r="N351" s="23" t="n">
        <x:f>B351*D351*M351</x:f>
        <x:v>0</x:v>
      </x:c>
      <x:c r="O351" s="460" t="n">
        <x:f>MIN(299900,I351+20000)</x:f>
        <x:v>299900</x:v>
      </x:c>
      <x:c r="P351" s="460" t="str">
        <x:f>""</x:f>
      </x:c>
      <x:c r="Q351" s="460" t="n">
        <x:f>O351-20000</x:f>
        <x:v>279900</x:v>
      </x:c>
      <x:c r="R351" s="460" t="n">
        <x:f>O351-E351</x:f>
        <x:v>80000</x:v>
      </x:c>
      <x:c r="S351" s="460" t="str">
        <x:f>IF(P351&gt;0,P351-E351,"")</x:f>
      </x:c>
      <x:c r="T351" s="460" t="n">
        <x:f>IF(Q351&gt;0,Q351-E351,"")</x:f>
        <x:v>60000</x:v>
      </x:c>
      <x:c r="U351" s="23" t="n">
        <x:f>IF(R351&lt;30000,N351,0)</x:f>
        <x:v>0</x:v>
      </x:c>
      <x:c r="V351" s="23" t="n">
        <x:f>IF(P351&gt;0,N351,0)</x:f>
        <x:v>0</x:v>
      </x:c>
      <x:c r="W351" s="23" t="n">
        <x:f>IF(AND(P351&gt;0,S351&lt;0),N351,0)</x:f>
        <x:v>0</x:v>
      </x:c>
      <x:c r="X351" s="23" t="n">
        <x:f>IF(AND(P351&gt;0,S351=0),N351,0)</x:f>
        <x:v>0</x:v>
      </x:c>
      <x:c r="Y351" s="23" t="n">
        <x:f>IF(Q351&gt;0,N351,0)</x:f>
        <x:v>0</x:v>
      </x:c>
      <x:c r="Z351" s="460" t="n">
        <x:f>IF(P351&gt;0,N351*S351,0)</x:f>
        <x:v>0</x:v>
      </x:c>
      <x:c r="AA351" s="460" t="n">
        <x:f>IF(Q351&gt;0,N351*T351,0)</x:f>
        <x:v>0</x:v>
      </x:c>
      <x:c r="AB351" s="460" t="n">
        <x:f>N351*R351</x:f>
        <x:v>0</x:v>
      </x:c>
      <x:c r="AC351" s="460" t="n">
        <x:f>IF(N351&gt;0,R351,999999)</x:f>
        <x:v>999999</x:v>
      </x:c>
      <x:c r="AD351" s="460" t="n">
        <x:f>IF(AND(N351&gt;0,P351&gt;0),S351,999999)</x:f>
        <x:v>999999</x:v>
      </x:c>
      <x:c r="AE351" s="460" t="n">
        <x:f>IF(AND(N351&gt;0,Q351&gt;0),T351,999999)</x:f>
        <x:v>999999</x:v>
      </x:c>
      <x:c r="AF351" s="23" t="n">
        <x:f>B351*D351*F351*J351</x:f>
        <x:v>0.000165</x:v>
      </x:c>
      <x:c r="AG351" s="23" t="n">
        <x:f>IF(P351&gt;0,AF351,0)</x:f>
        <x:v>0</x:v>
      </x:c>
      <x:c r="AH351" s="23" t="n">
        <x:f>IF(AND(P351&gt;0,S351&lt;0),AF351,0)</x:f>
        <x:v>0</x:v>
      </x:c>
      <x:c r="AI351" s="23" t="n">
        <x:f>IF(AND(P351&gt;0,S351=0),AF351,0)</x:f>
        <x:v>0</x:v>
      </x:c>
      <x:c r="AJ351" s="23" t="n">
        <x:f>IF(R351&lt;30000,AF351,0)</x:f>
        <x:v>0</x:v>
      </x:c>
      <x:c r="AK351" s="460" t="n">
        <x:f>IF(P351&gt;0,AF351*S351,0)</x:f>
        <x:v>0</x:v>
      </x:c>
    </x:row>
    <x:row r="352" ht="22" customHeight="1">
      <x:c r="A352" s="643" t="str">
        <x:v>中心</x:v>
      </x:c>
      <x:c r="B352" s="648" t="n">
        <x:f>'114_降本系数'!B27</x:f>
        <x:v>0.5</x:v>
      </x:c>
      <x:c r="C352" s="643" t="str">
        <x:v>L2</x:v>
      </x:c>
      <x:c r="D352" s="648" t="n">
        <x:f>'130_联合算法'!C19</x:f>
        <x:v>0.05</x:v>
      </x:c>
      <x:c r="E352" s="647" t="n">
        <x:f>'117_价格概率传导'!A11</x:f>
        <x:v>219900</x:v>
      </x:c>
      <x:c r="F352" s="648" t="n">
        <x:f>'117_价格概率传导'!D11</x:f>
        <x:v>0.03</x:v>
      </x:c>
      <x:c r="G352" s="648" t="n">
        <x:f>SUM('117_价格概率传导'!$D$6:$D$10)</x:f>
        <x:v>0.9700000000000001</x:v>
      </x:c>
      <x:c r="H352" s="648" t="n">
        <x:f>SUM('117_价格概率传导'!$D$6:$D$11)</x:f>
        <x:v>1</x:v>
      </x:c>
      <x:c r="I352" s="647" t="n">
        <x:f>'117_价格概率传导'!A19</x:f>
        <x:v>279900</x:v>
      </x:c>
      <x:c r="J352" s="648" t="n">
        <x:f>'117_价格概率传导'!D19</x:f>
        <x:v>0.44</x:v>
      </x:c>
      <x:c r="K352" s="648" t="n">
        <x:f>SUM('117_价格概率传导'!$D$16:$D$18)</x:f>
        <x:v>0.27</x:v>
      </x:c>
      <x:c r="L352" s="648" t="n">
        <x:f>SUM('117_价格概率传导'!$D$16:$D$19)</x:f>
        <x:v>0.71</x:v>
      </x:c>
      <x:c r="M352" s="648" t="n">
        <x:f>MAX(0,MIN(H352,L352)-MAX(G352,K352))</x:f>
        <x:v>0</x:v>
      </x:c>
      <x:c r="N352" s="648" t="n">
        <x:f>B352*D352*M352</x:f>
        <x:v>0</x:v>
      </x:c>
      <x:c r="O352" s="647" t="n">
        <x:f>MIN(299900,I352+20000)</x:f>
        <x:v>299900</x:v>
      </x:c>
      <x:c r="P352" s="647" t="str">
        <x:f>""</x:f>
      </x:c>
      <x:c r="Q352" s="647" t="n">
        <x:f>O352-20000</x:f>
        <x:v>279900</x:v>
      </x:c>
      <x:c r="R352" s="647" t="n">
        <x:f>O352-E352</x:f>
        <x:v>80000</x:v>
      </x:c>
      <x:c r="S352" s="647" t="str">
        <x:f>IF(P352&gt;0,P352-E352,"")</x:f>
      </x:c>
      <x:c r="T352" s="647" t="n">
        <x:f>IF(Q352&gt;0,Q352-E352,"")</x:f>
        <x:v>60000</x:v>
      </x:c>
      <x:c r="U352" s="648" t="n">
        <x:f>IF(R352&lt;30000,N352,0)</x:f>
        <x:v>0</x:v>
      </x:c>
      <x:c r="V352" s="648" t="n">
        <x:f>IF(P352&gt;0,N352,0)</x:f>
        <x:v>0</x:v>
      </x:c>
      <x:c r="W352" s="648" t="n">
        <x:f>IF(AND(P352&gt;0,S352&lt;0),N352,0)</x:f>
        <x:v>0</x:v>
      </x:c>
      <x:c r="X352" s="648" t="n">
        <x:f>IF(AND(P352&gt;0,S352=0),N352,0)</x:f>
        <x:v>0</x:v>
      </x:c>
      <x:c r="Y352" s="648" t="n">
        <x:f>IF(Q352&gt;0,N352,0)</x:f>
        <x:v>0</x:v>
      </x:c>
      <x:c r="Z352" s="647" t="n">
        <x:f>IF(P352&gt;0,N352*S352,0)</x:f>
        <x:v>0</x:v>
      </x:c>
      <x:c r="AA352" s="647" t="n">
        <x:f>IF(Q352&gt;0,N352*T352,0)</x:f>
        <x:v>0</x:v>
      </x:c>
      <x:c r="AB352" s="647" t="n">
        <x:f>N352*R352</x:f>
        <x:v>0</x:v>
      </x:c>
      <x:c r="AC352" s="647" t="n">
        <x:f>IF(N352&gt;0,R352,999999)</x:f>
        <x:v>999999</x:v>
      </x:c>
      <x:c r="AD352" s="647" t="n">
        <x:f>IF(AND(N352&gt;0,P352&gt;0),S352,999999)</x:f>
        <x:v>999999</x:v>
      </x:c>
      <x:c r="AE352" s="647" t="n">
        <x:f>IF(AND(N352&gt;0,Q352&gt;0),T352,999999)</x:f>
        <x:v>999999</x:v>
      </x:c>
      <x:c r="AF352" s="648" t="n">
        <x:f>B352*D352*F352*J352</x:f>
        <x:v>0.00033</x:v>
      </x:c>
      <x:c r="AG352" s="648" t="n">
        <x:f>IF(P352&gt;0,AF352,0)</x:f>
        <x:v>0</x:v>
      </x:c>
      <x:c r="AH352" s="648" t="n">
        <x:f>IF(AND(P352&gt;0,S352&lt;0),AF352,0)</x:f>
        <x:v>0</x:v>
      </x:c>
      <x:c r="AI352" s="648" t="n">
        <x:f>IF(AND(P352&gt;0,S352=0),AF352,0)</x:f>
        <x:v>0</x:v>
      </x:c>
      <x:c r="AJ352" s="648" t="n">
        <x:f>IF(R352&lt;30000,AF352,0)</x:f>
        <x:v>0</x:v>
      </x:c>
      <x:c r="AK352" s="647" t="n">
        <x:f>IF(P352&gt;0,AF352*S352,0)</x:f>
        <x:v>0</x:v>
      </x:c>
    </x:row>
    <x:row r="353" ht="22" customHeight="1">
      <x:c r="A353" s="19" t="str">
        <x:v>中心</x:v>
      </x:c>
      <x:c r="B353" s="23" t="n">
        <x:f>'114_降本系数'!B27</x:f>
        <x:v>0.5</x:v>
      </x:c>
      <x:c r="C353" s="19" t="str">
        <x:v>L2</x:v>
      </x:c>
      <x:c r="D353" s="23" t="n">
        <x:f>'130_联合算法'!C19</x:f>
        <x:v>0.05</x:v>
      </x:c>
      <x:c r="E353" s="460" t="n">
        <x:f>'117_价格概率传导'!A11</x:f>
        <x:v>219900</x:v>
      </x:c>
      <x:c r="F353" s="23" t="n">
        <x:f>'117_价格概率传导'!D11</x:f>
        <x:v>0.03</x:v>
      </x:c>
      <x:c r="G353" s="23" t="n">
        <x:f>SUM('117_价格概率传导'!$D$6:$D$10)</x:f>
        <x:v>0.9700000000000001</x:v>
      </x:c>
      <x:c r="H353" s="23" t="n">
        <x:f>SUM('117_价格概率传导'!$D$6:$D$11)</x:f>
        <x:v>1</x:v>
      </x:c>
      <x:c r="I353" s="460" t="n">
        <x:f>'117_价格概率传导'!A20</x:f>
        <x:v>269900</x:v>
      </x:c>
      <x:c r="J353" s="23" t="n">
        <x:f>'117_价格概率传导'!D20</x:f>
        <x:v>0.23</x:v>
      </x:c>
      <x:c r="K353" s="23" t="n">
        <x:f>SUM('117_价格概率传导'!$D$16:$D$19)</x:f>
        <x:v>0.71</x:v>
      </x:c>
      <x:c r="L353" s="23" t="n">
        <x:f>SUM('117_价格概率传导'!$D$16:$D$20)</x:f>
        <x:v>0.94</x:v>
      </x:c>
      <x:c r="M353" s="23" t="n">
        <x:f>MAX(0,MIN(H353,L353)-MAX(G353,K353))</x:f>
        <x:v>0</x:v>
      </x:c>
      <x:c r="N353" s="23" t="n">
        <x:f>B353*D353*M353</x:f>
        <x:v>0</x:v>
      </x:c>
      <x:c r="O353" s="460" t="n">
        <x:f>MIN(299900,I353+20000)</x:f>
        <x:v>289900</x:v>
      </x:c>
      <x:c r="P353" s="460" t="str">
        <x:f>""</x:f>
      </x:c>
      <x:c r="Q353" s="460" t="n">
        <x:f>O353-20000</x:f>
        <x:v>269900</x:v>
      </x:c>
      <x:c r="R353" s="460" t="n">
        <x:f>O353-E353</x:f>
        <x:v>70000</x:v>
      </x:c>
      <x:c r="S353" s="460" t="str">
        <x:f>IF(P353&gt;0,P353-E353,"")</x:f>
      </x:c>
      <x:c r="T353" s="460" t="n">
        <x:f>IF(Q353&gt;0,Q353-E353,"")</x:f>
        <x:v>50000</x:v>
      </x:c>
      <x:c r="U353" s="23" t="n">
        <x:f>IF(R353&lt;30000,N353,0)</x:f>
        <x:v>0</x:v>
      </x:c>
      <x:c r="V353" s="23" t="n">
        <x:f>IF(P353&gt;0,N353,0)</x:f>
        <x:v>0</x:v>
      </x:c>
      <x:c r="W353" s="23" t="n">
        <x:f>IF(AND(P353&gt;0,S353&lt;0),N353,0)</x:f>
        <x:v>0</x:v>
      </x:c>
      <x:c r="X353" s="23" t="n">
        <x:f>IF(AND(P353&gt;0,S353=0),N353,0)</x:f>
        <x:v>0</x:v>
      </x:c>
      <x:c r="Y353" s="23" t="n">
        <x:f>IF(Q353&gt;0,N353,0)</x:f>
        <x:v>0</x:v>
      </x:c>
      <x:c r="Z353" s="460" t="n">
        <x:f>IF(P353&gt;0,N353*S353,0)</x:f>
        <x:v>0</x:v>
      </x:c>
      <x:c r="AA353" s="460" t="n">
        <x:f>IF(Q353&gt;0,N353*T353,0)</x:f>
        <x:v>0</x:v>
      </x:c>
      <x:c r="AB353" s="460" t="n">
        <x:f>N353*R353</x:f>
        <x:v>0</x:v>
      </x:c>
      <x:c r="AC353" s="460" t="n">
        <x:f>IF(N353&gt;0,R353,999999)</x:f>
        <x:v>999999</x:v>
      </x:c>
      <x:c r="AD353" s="460" t="n">
        <x:f>IF(AND(N353&gt;0,P353&gt;0),S353,999999)</x:f>
        <x:v>999999</x:v>
      </x:c>
      <x:c r="AE353" s="460" t="n">
        <x:f>IF(AND(N353&gt;0,Q353&gt;0),T353,999999)</x:f>
        <x:v>999999</x:v>
      </x:c>
      <x:c r="AF353" s="23" t="n">
        <x:f>B353*D353*F353*J353</x:f>
        <x:v>0.00017250000000000002</x:v>
      </x:c>
      <x:c r="AG353" s="23" t="n">
        <x:f>IF(P353&gt;0,AF353,0)</x:f>
        <x:v>0</x:v>
      </x:c>
      <x:c r="AH353" s="23" t="n">
        <x:f>IF(AND(P353&gt;0,S353&lt;0),AF353,0)</x:f>
        <x:v>0</x:v>
      </x:c>
      <x:c r="AI353" s="23" t="n">
        <x:f>IF(AND(P353&gt;0,S353=0),AF353,0)</x:f>
        <x:v>0</x:v>
      </x:c>
      <x:c r="AJ353" s="23" t="n">
        <x:f>IF(R353&lt;30000,AF353,0)</x:f>
        <x:v>0</x:v>
      </x:c>
      <x:c r="AK353" s="460" t="n">
        <x:f>IF(P353&gt;0,AF353*S353,0)</x:f>
        <x:v>0</x:v>
      </x:c>
    </x:row>
    <x:row r="354" ht="22" customHeight="1">
      <x:c r="A354" s="643" t="str">
        <x:v>中心</x:v>
      </x:c>
      <x:c r="B354" s="648" t="n">
        <x:f>'114_降本系数'!B27</x:f>
        <x:v>0.5</x:v>
      </x:c>
      <x:c r="C354" s="643" t="str">
        <x:v>L2</x:v>
      </x:c>
      <x:c r="D354" s="648" t="n">
        <x:f>'130_联合算法'!C19</x:f>
        <x:v>0.05</x:v>
      </x:c>
      <x:c r="E354" s="647" t="n">
        <x:f>'117_价格概率传导'!A11</x:f>
        <x:v>219900</x:v>
      </x:c>
      <x:c r="F354" s="648" t="n">
        <x:f>'117_价格概率传导'!D11</x:f>
        <x:v>0.03</x:v>
      </x:c>
      <x:c r="G354" s="648" t="n">
        <x:f>SUM('117_价格概率传导'!$D$6:$D$10)</x:f>
        <x:v>0.9700000000000001</x:v>
      </x:c>
      <x:c r="H354" s="648" t="n">
        <x:f>SUM('117_价格概率传导'!$D$6:$D$11)</x:f>
        <x:v>1</x:v>
      </x:c>
      <x:c r="I354" s="647" t="n">
        <x:f>'117_价格概率传导'!A21</x:f>
        <x:v>259900</x:v>
      </x:c>
      <x:c r="J354" s="648" t="n">
        <x:f>'117_价格概率传导'!D21</x:f>
        <x:v>0.06</x:v>
      </x:c>
      <x:c r="K354" s="648" t="n">
        <x:f>SUM('117_价格概率传导'!$D$16:$D$20)</x:f>
        <x:v>0.94</x:v>
      </x:c>
      <x:c r="L354" s="648" t="n">
        <x:f>SUM('117_价格概率传导'!$D$16:$D$21)</x:f>
        <x:v>1</x:v>
      </x:c>
      <x:c r="M354" s="648" t="n">
        <x:f>MAX(0,MIN(H354,L354)-MAX(G354,K354))</x:f>
        <x:v>0.029999999999999916</x:v>
      </x:c>
      <x:c r="N354" s="648" t="n">
        <x:f>B354*D354*M354</x:f>
        <x:v>0.000749999999999998</x:v>
      </x:c>
      <x:c r="O354" s="647" t="n">
        <x:f>MIN(299900,I354+20000)</x:f>
        <x:v>279900</x:v>
      </x:c>
      <x:c r="P354" s="647" t="str">
        <x:f>""</x:f>
      </x:c>
      <x:c r="Q354" s="647" t="n">
        <x:f>O354-20000</x:f>
        <x:v>259900</x:v>
      </x:c>
      <x:c r="R354" s="647" t="n">
        <x:f>O354-E354</x:f>
        <x:v>60000</x:v>
      </x:c>
      <x:c r="S354" s="647" t="str">
        <x:f>IF(P354&gt;0,P354-E354,"")</x:f>
      </x:c>
      <x:c r="T354" s="647" t="n">
        <x:f>IF(Q354&gt;0,Q354-E354,"")</x:f>
        <x:v>40000</x:v>
      </x:c>
      <x:c r="U354" s="648" t="n">
        <x:f>IF(R354&lt;30000,N354,0)</x:f>
        <x:v>0</x:v>
      </x:c>
      <x:c r="V354" s="648" t="n">
        <x:f>IF(P354&gt;0,N354,0)</x:f>
        <x:v>0</x:v>
      </x:c>
      <x:c r="W354" s="648" t="n">
        <x:f>IF(AND(P354&gt;0,S354&lt;0),N354,0)</x:f>
        <x:v>0</x:v>
      </x:c>
      <x:c r="X354" s="648" t="n">
        <x:f>IF(AND(P354&gt;0,S354=0),N354,0)</x:f>
        <x:v>0</x:v>
      </x:c>
      <x:c r="Y354" s="648" t="n">
        <x:f>IF(Q354&gt;0,N354,0)</x:f>
        <x:v>0.000749999999999998</x:v>
      </x:c>
      <x:c r="Z354" s="647" t="n">
        <x:f>IF(P354&gt;0,N354*S354,0)</x:f>
        <x:v>0</x:v>
      </x:c>
      <x:c r="AA354" s="647" t="n">
        <x:f>IF(Q354&gt;0,N354*T354,0)</x:f>
        <x:v>29.99999999999992</x:v>
      </x:c>
      <x:c r="AB354" s="647" t="n">
        <x:f>N354*R354</x:f>
        <x:v>44.99999999999988</x:v>
      </x:c>
      <x:c r="AC354" s="647" t="n">
        <x:f>IF(N354&gt;0,R354,999999)</x:f>
        <x:v>60000</x:v>
      </x:c>
      <x:c r="AD354" s="647" t="n">
        <x:f>IF(AND(N354&gt;0,P354&gt;0),S354,999999)</x:f>
        <x:v>999999</x:v>
      </x:c>
      <x:c r="AE354" s="647" t="n">
        <x:f>IF(AND(N354&gt;0,Q354&gt;0),T354,999999)</x:f>
        <x:v>40000</x:v>
      </x:c>
      <x:c r="AF354" s="648" t="n">
        <x:f>B354*D354*F354*J354</x:f>
        <x:v>0.000044999999999999996</x:v>
      </x:c>
      <x:c r="AG354" s="648" t="n">
        <x:f>IF(P354&gt;0,AF354,0)</x:f>
        <x:v>0</x:v>
      </x:c>
      <x:c r="AH354" s="648" t="n">
        <x:f>IF(AND(P354&gt;0,S354&lt;0),AF354,0)</x:f>
        <x:v>0</x:v>
      </x:c>
      <x:c r="AI354" s="648" t="n">
        <x:f>IF(AND(P354&gt;0,S354=0),AF354,0)</x:f>
        <x:v>0</x:v>
      </x:c>
      <x:c r="AJ354" s="648" t="n">
        <x:f>IF(R354&lt;30000,AF354,0)</x:f>
        <x:v>0</x:v>
      </x:c>
      <x:c r="AK354" s="647" t="n">
        <x:f>IF(P354&gt;0,AF354*S354,0)</x:f>
        <x:v>0</x:v>
      </x:c>
    </x:row>
    <x:row r="355" ht="22" customHeight="1">
      <x:c r="A355" s="19" t="str">
        <x:v>中心</x:v>
      </x:c>
      <x:c r="B355" s="23" t="n">
        <x:f>'114_降本系数'!B27</x:f>
        <x:v>0.5</x:v>
      </x:c>
      <x:c r="C355" s="19" t="str">
        <x:v>L3</x:v>
      </x:c>
      <x:c r="D355" s="23" t="n">
        <x:f>'130_联合算法'!C20</x:f>
        <x:v>0.1</x:v>
      </x:c>
      <x:c r="E355" s="460" t="n">
        <x:f>'117_价格概率传导'!A6</x:f>
        <x:v>259900</x:v>
      </x:c>
      <x:c r="F355" s="23" t="n">
        <x:f>'117_价格概率传导'!D6</x:f>
        <x:v>0.03</x:v>
      </x:c>
      <x:c r="G355" s="23" t="n">
        <x:f>0</x:f>
        <x:v>0</x:v>
      </x:c>
      <x:c r="H355" s="23" t="n">
        <x:f>SUM('117_价格概率传导'!$D$6:$D$6)</x:f>
        <x:v>0.03</x:v>
      </x:c>
      <x:c r="I355" s="460" t="n">
        <x:f>'117_价格概率传导'!A16</x:f>
        <x:v>299900</x:v>
      </x:c>
      <x:c r="J355" s="23" t="n">
        <x:f>'117_价格概率传导'!D16</x:f>
        <x:v>0.02</x:v>
      </x:c>
      <x:c r="K355" s="23" t="n">
        <x:f>0</x:f>
        <x:v>0</x:v>
      </x:c>
      <x:c r="L355" s="23" t="n">
        <x:f>SUM('117_价格概率传导'!$D$16:$D$16)</x:f>
        <x:v>0.02</x:v>
      </x:c>
      <x:c r="M355" s="23" t="n">
        <x:f>MAX(0,MIN(H355,L355)-MAX(G355,K355))</x:f>
        <x:v>0.02</x:v>
      </x:c>
      <x:c r="N355" s="23" t="n">
        <x:f>B355*D355*M355</x:f>
        <x:v>0.001</x:v>
      </x:c>
      <x:c r="O355" s="460" t="n">
        <x:f>MIN(299900,I355+20000)</x:f>
        <x:v>299900</x:v>
      </x:c>
      <x:c r="P355" s="460" t="n">
        <x:f>O355-40000</x:f>
        <x:v>259900</x:v>
      </x:c>
      <x:c r="Q355" s="460" t="n">
        <x:f>O355-20000</x:f>
        <x:v>279900</x:v>
      </x:c>
      <x:c r="R355" s="460" t="n">
        <x:f>O355-E355</x:f>
        <x:v>40000</x:v>
      </x:c>
      <x:c r="S355" s="460" t="n">
        <x:f>IF(P355&gt;0,P355-E355,"")</x:f>
        <x:v>0</x:v>
      </x:c>
      <x:c r="T355" s="460" t="n">
        <x:f>IF(Q355&gt;0,Q355-E355,"")</x:f>
        <x:v>20000</x:v>
      </x:c>
      <x:c r="U355" s="23" t="n">
        <x:f>IF(R355&lt;30000,N355,0)</x:f>
        <x:v>0</x:v>
      </x:c>
      <x:c r="V355" s="23" t="n">
        <x:f>IF(P355&gt;0,N355,0)</x:f>
        <x:v>0.001</x:v>
      </x:c>
      <x:c r="W355" s="23" t="n">
        <x:f>IF(AND(P355&gt;0,S355&lt;0),N355,0)</x:f>
        <x:v>0</x:v>
      </x:c>
      <x:c r="X355" s="23" t="n">
        <x:f>IF(AND(P355&gt;0,S355=0),N355,0)</x:f>
        <x:v>0.001</x:v>
      </x:c>
      <x:c r="Y355" s="23" t="n">
        <x:f>IF(Q355&gt;0,N355,0)</x:f>
        <x:v>0.001</x:v>
      </x:c>
      <x:c r="Z355" s="460" t="n">
        <x:f>IF(P355&gt;0,N355*S355,0)</x:f>
        <x:v>0</x:v>
      </x:c>
      <x:c r="AA355" s="460" t="n">
        <x:f>IF(Q355&gt;0,N355*T355,0)</x:f>
        <x:v>20</x:v>
      </x:c>
      <x:c r="AB355" s="460" t="n">
        <x:f>N355*R355</x:f>
        <x:v>40</x:v>
      </x:c>
      <x:c r="AC355" s="460" t="n">
        <x:f>IF(N355&gt;0,R355,999999)</x:f>
        <x:v>40000</x:v>
      </x:c>
      <x:c r="AD355" s="460" t="n">
        <x:f>IF(AND(N355&gt;0,P355&gt;0),S355,999999)</x:f>
        <x:v>0</x:v>
      </x:c>
      <x:c r="AE355" s="460" t="n">
        <x:f>IF(AND(N355&gt;0,Q355&gt;0),T355,999999)</x:f>
        <x:v>20000</x:v>
      </x:c>
      <x:c r="AF355" s="23" t="n">
        <x:f>B355*D355*F355*J355</x:f>
        <x:v>0.00003</x:v>
      </x:c>
      <x:c r="AG355" s="23" t="n">
        <x:f>IF(P355&gt;0,AF355,0)</x:f>
        <x:v>0.00003</x:v>
      </x:c>
      <x:c r="AH355" s="23" t="n">
        <x:f>IF(AND(P355&gt;0,S355&lt;0),AF355,0)</x:f>
        <x:v>0</x:v>
      </x:c>
      <x:c r="AI355" s="23" t="n">
        <x:f>IF(AND(P355&gt;0,S355=0),AF355,0)</x:f>
        <x:v>0.00003</x:v>
      </x:c>
      <x:c r="AJ355" s="23" t="n">
        <x:f>IF(R355&lt;30000,AF355,0)</x:f>
        <x:v>0</x:v>
      </x:c>
      <x:c r="AK355" s="460" t="n">
        <x:f>IF(P355&gt;0,AF355*S355,0)</x:f>
        <x:v>0</x:v>
      </x:c>
    </x:row>
    <x:row r="356" ht="22" customHeight="1">
      <x:c r="A356" s="643" t="str">
        <x:v>中心</x:v>
      </x:c>
      <x:c r="B356" s="648" t="n">
        <x:f>'114_降本系数'!B27</x:f>
        <x:v>0.5</x:v>
      </x:c>
      <x:c r="C356" s="643" t="str">
        <x:v>L3</x:v>
      </x:c>
      <x:c r="D356" s="648" t="n">
        <x:f>'130_联合算法'!C20</x:f>
        <x:v>0.1</x:v>
      </x:c>
      <x:c r="E356" s="647" t="n">
        <x:f>'117_价格概率传导'!A6</x:f>
        <x:v>259900</x:v>
      </x:c>
      <x:c r="F356" s="648" t="n">
        <x:f>'117_价格概率传导'!D6</x:f>
        <x:v>0.03</x:v>
      </x:c>
      <x:c r="G356" s="648" t="n">
        <x:f>0</x:f>
        <x:v>0</x:v>
      </x:c>
      <x:c r="H356" s="648" t="n">
        <x:f>SUM('117_价格概率传导'!$D$6:$D$6)</x:f>
        <x:v>0.03</x:v>
      </x:c>
      <x:c r="I356" s="647" t="n">
        <x:f>'117_价格概率传导'!A17</x:f>
        <x:v>293900</x:v>
      </x:c>
      <x:c r="J356" s="648" t="n">
        <x:f>'117_价格概率传导'!D17</x:f>
        <x:v>0.03</x:v>
      </x:c>
      <x:c r="K356" s="648" t="n">
        <x:f>SUM('117_价格概率传导'!$D$16:$D$16)</x:f>
        <x:v>0.02</x:v>
      </x:c>
      <x:c r="L356" s="648" t="n">
        <x:f>SUM('117_价格概率传导'!$D$16:$D$17)</x:f>
        <x:v>0.05</x:v>
      </x:c>
      <x:c r="M356" s="648" t="n">
        <x:f>MAX(0,MIN(H356,L356)-MAX(G356,K356))</x:f>
        <x:v>0.009999999999999998</x:v>
      </x:c>
      <x:c r="N356" s="648" t="n">
        <x:f>B356*D356*M356</x:f>
        <x:v>0.0004999999999999999</x:v>
      </x:c>
      <x:c r="O356" s="647" t="n">
        <x:f>MIN(299900,I356+20000)</x:f>
        <x:v>299900</x:v>
      </x:c>
      <x:c r="P356" s="647" t="n">
        <x:f>O356-40000</x:f>
        <x:v>259900</x:v>
      </x:c>
      <x:c r="Q356" s="647" t="n">
        <x:f>O356-20000</x:f>
        <x:v>279900</x:v>
      </x:c>
      <x:c r="R356" s="647" t="n">
        <x:f>O356-E356</x:f>
        <x:v>40000</x:v>
      </x:c>
      <x:c r="S356" s="647" t="n">
        <x:f>IF(P356&gt;0,P356-E356,"")</x:f>
        <x:v>0</x:v>
      </x:c>
      <x:c r="T356" s="647" t="n">
        <x:f>IF(Q356&gt;0,Q356-E356,"")</x:f>
        <x:v>20000</x:v>
      </x:c>
      <x:c r="U356" s="648" t="n">
        <x:f>IF(R356&lt;30000,N356,0)</x:f>
        <x:v>0</x:v>
      </x:c>
      <x:c r="V356" s="648" t="n">
        <x:f>IF(P356&gt;0,N356,0)</x:f>
        <x:v>0.0004999999999999999</x:v>
      </x:c>
      <x:c r="W356" s="648" t="n">
        <x:f>IF(AND(P356&gt;0,S356&lt;0),N356,0)</x:f>
        <x:v>0</x:v>
      </x:c>
      <x:c r="X356" s="648" t="n">
        <x:f>IF(AND(P356&gt;0,S356=0),N356,0)</x:f>
        <x:v>0.0004999999999999999</x:v>
      </x:c>
      <x:c r="Y356" s="648" t="n">
        <x:f>IF(Q356&gt;0,N356,0)</x:f>
        <x:v>0.0004999999999999999</x:v>
      </x:c>
      <x:c r="Z356" s="647" t="n">
        <x:f>IF(P356&gt;0,N356*S356,0)</x:f>
        <x:v>0</x:v>
      </x:c>
      <x:c r="AA356" s="647" t="n">
        <x:f>IF(Q356&gt;0,N356*T356,0)</x:f>
        <x:v>9.999999999999998</x:v>
      </x:c>
      <x:c r="AB356" s="647" t="n">
        <x:f>N356*R356</x:f>
        <x:v>19.999999999999996</x:v>
      </x:c>
      <x:c r="AC356" s="647" t="n">
        <x:f>IF(N356&gt;0,R356,999999)</x:f>
        <x:v>40000</x:v>
      </x:c>
      <x:c r="AD356" s="647" t="n">
        <x:f>IF(AND(N356&gt;0,P356&gt;0),S356,999999)</x:f>
        <x:v>0</x:v>
      </x:c>
      <x:c r="AE356" s="647" t="n">
        <x:f>IF(AND(N356&gt;0,Q356&gt;0),T356,999999)</x:f>
        <x:v>20000</x:v>
      </x:c>
      <x:c r="AF356" s="648" t="n">
        <x:f>B356*D356*F356*J356</x:f>
        <x:v>0.000044999999999999996</x:v>
      </x:c>
      <x:c r="AG356" s="648" t="n">
        <x:f>IF(P356&gt;0,AF356,0)</x:f>
        <x:v>0.000044999999999999996</x:v>
      </x:c>
      <x:c r="AH356" s="648" t="n">
        <x:f>IF(AND(P356&gt;0,S356&lt;0),AF356,0)</x:f>
        <x:v>0</x:v>
      </x:c>
      <x:c r="AI356" s="648" t="n">
        <x:f>IF(AND(P356&gt;0,S356=0),AF356,0)</x:f>
        <x:v>0.000044999999999999996</x:v>
      </x:c>
      <x:c r="AJ356" s="648" t="n">
        <x:f>IF(R356&lt;30000,AF356,0)</x:f>
        <x:v>0</x:v>
      </x:c>
      <x:c r="AK356" s="647" t="n">
        <x:f>IF(P356&gt;0,AF356*S356,0)</x:f>
        <x:v>0</x:v>
      </x:c>
    </x:row>
    <x:row r="357" ht="22" customHeight="1">
      <x:c r="A357" s="19" t="str">
        <x:v>中心</x:v>
      </x:c>
      <x:c r="B357" s="23" t="n">
        <x:f>'114_降本系数'!B27</x:f>
        <x:v>0.5</x:v>
      </x:c>
      <x:c r="C357" s="19" t="str">
        <x:v>L3</x:v>
      </x:c>
      <x:c r="D357" s="23" t="n">
        <x:f>'130_联合算法'!C20</x:f>
        <x:v>0.1</x:v>
      </x:c>
      <x:c r="E357" s="460" t="n">
        <x:f>'117_价格概率传导'!A6</x:f>
        <x:v>259900</x:v>
      </x:c>
      <x:c r="F357" s="23" t="n">
        <x:f>'117_价格概率传导'!D6</x:f>
        <x:v>0.03</x:v>
      </x:c>
      <x:c r="G357" s="23" t="n">
        <x:f>0</x:f>
        <x:v>0</x:v>
      </x:c>
      <x:c r="H357" s="23" t="n">
        <x:f>SUM('117_价格概率传导'!$D$6:$D$6)</x:f>
        <x:v>0.03</x:v>
      </x:c>
      <x:c r="I357" s="460" t="n">
        <x:f>'117_价格概率传导'!A18</x:f>
        <x:v>289900</x:v>
      </x:c>
      <x:c r="J357" s="23" t="n">
        <x:f>'117_价格概率传导'!D18</x:f>
        <x:v>0.22</x:v>
      </x:c>
      <x:c r="K357" s="23" t="n">
        <x:f>SUM('117_价格概率传导'!$D$16:$D$17)</x:f>
        <x:v>0.05</x:v>
      </x:c>
      <x:c r="L357" s="23" t="n">
        <x:f>SUM('117_价格概率传导'!$D$16:$D$18)</x:f>
        <x:v>0.27</x:v>
      </x:c>
      <x:c r="M357" s="23" t="n">
        <x:f>MAX(0,MIN(H357,L357)-MAX(G357,K357))</x:f>
        <x:v>0</x:v>
      </x:c>
      <x:c r="N357" s="23" t="n">
        <x:f>B357*D357*M357</x:f>
        <x:v>0</x:v>
      </x:c>
      <x:c r="O357" s="460" t="n">
        <x:f>MIN(299900,I357+20000)</x:f>
        <x:v>299900</x:v>
      </x:c>
      <x:c r="P357" s="460" t="n">
        <x:f>O357-40000</x:f>
        <x:v>259900</x:v>
      </x:c>
      <x:c r="Q357" s="460" t="n">
        <x:f>O357-20000</x:f>
        <x:v>279900</x:v>
      </x:c>
      <x:c r="R357" s="460" t="n">
        <x:f>O357-E357</x:f>
        <x:v>40000</x:v>
      </x:c>
      <x:c r="S357" s="460" t="n">
        <x:f>IF(P357&gt;0,P357-E357,"")</x:f>
        <x:v>0</x:v>
      </x:c>
      <x:c r="T357" s="460" t="n">
        <x:f>IF(Q357&gt;0,Q357-E357,"")</x:f>
        <x:v>20000</x:v>
      </x:c>
      <x:c r="U357" s="23" t="n">
        <x:f>IF(R357&lt;30000,N357,0)</x:f>
        <x:v>0</x:v>
      </x:c>
      <x:c r="V357" s="23" t="n">
        <x:f>IF(P357&gt;0,N357,0)</x:f>
        <x:v>0</x:v>
      </x:c>
      <x:c r="W357" s="23" t="n">
        <x:f>IF(AND(P357&gt;0,S357&lt;0),N357,0)</x:f>
        <x:v>0</x:v>
      </x:c>
      <x:c r="X357" s="23" t="n">
        <x:f>IF(AND(P357&gt;0,S357=0),N357,0)</x:f>
        <x:v>0</x:v>
      </x:c>
      <x:c r="Y357" s="23" t="n">
        <x:f>IF(Q357&gt;0,N357,0)</x:f>
        <x:v>0</x:v>
      </x:c>
      <x:c r="Z357" s="460" t="n">
        <x:f>IF(P357&gt;0,N357*S357,0)</x:f>
        <x:v>0</x:v>
      </x:c>
      <x:c r="AA357" s="460" t="n">
        <x:f>IF(Q357&gt;0,N357*T357,0)</x:f>
        <x:v>0</x:v>
      </x:c>
      <x:c r="AB357" s="460" t="n">
        <x:f>N357*R357</x:f>
        <x:v>0</x:v>
      </x:c>
      <x:c r="AC357" s="460" t="n">
        <x:f>IF(N357&gt;0,R357,999999)</x:f>
        <x:v>999999</x:v>
      </x:c>
      <x:c r="AD357" s="460" t="n">
        <x:f>IF(AND(N357&gt;0,P357&gt;0),S357,999999)</x:f>
        <x:v>999999</x:v>
      </x:c>
      <x:c r="AE357" s="460" t="n">
        <x:f>IF(AND(N357&gt;0,Q357&gt;0),T357,999999)</x:f>
        <x:v>999999</x:v>
      </x:c>
      <x:c r="AF357" s="23" t="n">
        <x:f>B357*D357*F357*J357</x:f>
        <x:v>0.00033</x:v>
      </x:c>
      <x:c r="AG357" s="23" t="n">
        <x:f>IF(P357&gt;0,AF357,0)</x:f>
        <x:v>0.00033</x:v>
      </x:c>
      <x:c r="AH357" s="23" t="n">
        <x:f>IF(AND(P357&gt;0,S357&lt;0),AF357,0)</x:f>
        <x:v>0</x:v>
      </x:c>
      <x:c r="AI357" s="23" t="n">
        <x:f>IF(AND(P357&gt;0,S357=0),AF357,0)</x:f>
        <x:v>0.00033</x:v>
      </x:c>
      <x:c r="AJ357" s="23" t="n">
        <x:f>IF(R357&lt;30000,AF357,0)</x:f>
        <x:v>0</x:v>
      </x:c>
      <x:c r="AK357" s="460" t="n">
        <x:f>IF(P357&gt;0,AF357*S357,0)</x:f>
        <x:v>0</x:v>
      </x:c>
    </x:row>
    <x:row r="358" ht="22" customHeight="1">
      <x:c r="A358" s="643" t="str">
        <x:v>中心</x:v>
      </x:c>
      <x:c r="B358" s="648" t="n">
        <x:f>'114_降本系数'!B27</x:f>
        <x:v>0.5</x:v>
      </x:c>
      <x:c r="C358" s="643" t="str">
        <x:v>L3</x:v>
      </x:c>
      <x:c r="D358" s="648" t="n">
        <x:f>'130_联合算法'!C20</x:f>
        <x:v>0.1</x:v>
      </x:c>
      <x:c r="E358" s="647" t="n">
        <x:f>'117_价格概率传导'!A6</x:f>
        <x:v>259900</x:v>
      </x:c>
      <x:c r="F358" s="648" t="n">
        <x:f>'117_价格概率传导'!D6</x:f>
        <x:v>0.03</x:v>
      </x:c>
      <x:c r="G358" s="648" t="n">
        <x:f>0</x:f>
        <x:v>0</x:v>
      </x:c>
      <x:c r="H358" s="648" t="n">
        <x:f>SUM('117_价格概率传导'!$D$6:$D$6)</x:f>
        <x:v>0.03</x:v>
      </x:c>
      <x:c r="I358" s="647" t="n">
        <x:f>'117_价格概率传导'!A19</x:f>
        <x:v>279900</x:v>
      </x:c>
      <x:c r="J358" s="648" t="n">
        <x:f>'117_价格概率传导'!D19</x:f>
        <x:v>0.44</x:v>
      </x:c>
      <x:c r="K358" s="648" t="n">
        <x:f>SUM('117_价格概率传导'!$D$16:$D$18)</x:f>
        <x:v>0.27</x:v>
      </x:c>
      <x:c r="L358" s="648" t="n">
        <x:f>SUM('117_价格概率传导'!$D$16:$D$19)</x:f>
        <x:v>0.71</x:v>
      </x:c>
      <x:c r="M358" s="648" t="n">
        <x:f>MAX(0,MIN(H358,L358)-MAX(G358,K358))</x:f>
        <x:v>0</x:v>
      </x:c>
      <x:c r="N358" s="648" t="n">
        <x:f>B358*D358*M358</x:f>
        <x:v>0</x:v>
      </x:c>
      <x:c r="O358" s="647" t="n">
        <x:f>MIN(299900,I358+20000)</x:f>
        <x:v>299900</x:v>
      </x:c>
      <x:c r="P358" s="647" t="n">
        <x:f>O358-40000</x:f>
        <x:v>259900</x:v>
      </x:c>
      <x:c r="Q358" s="647" t="n">
        <x:f>O358-20000</x:f>
        <x:v>279900</x:v>
      </x:c>
      <x:c r="R358" s="647" t="n">
        <x:f>O358-E358</x:f>
        <x:v>40000</x:v>
      </x:c>
      <x:c r="S358" s="647" t="n">
        <x:f>IF(P358&gt;0,P358-E358,"")</x:f>
        <x:v>0</x:v>
      </x:c>
      <x:c r="T358" s="647" t="n">
        <x:f>IF(Q358&gt;0,Q358-E358,"")</x:f>
        <x:v>20000</x:v>
      </x:c>
      <x:c r="U358" s="648" t="n">
        <x:f>IF(R358&lt;30000,N358,0)</x:f>
        <x:v>0</x:v>
      </x:c>
      <x:c r="V358" s="648" t="n">
        <x:f>IF(P358&gt;0,N358,0)</x:f>
        <x:v>0</x:v>
      </x:c>
      <x:c r="W358" s="648" t="n">
        <x:f>IF(AND(P358&gt;0,S358&lt;0),N358,0)</x:f>
        <x:v>0</x:v>
      </x:c>
      <x:c r="X358" s="648" t="n">
        <x:f>IF(AND(P358&gt;0,S358=0),N358,0)</x:f>
        <x:v>0</x:v>
      </x:c>
      <x:c r="Y358" s="648" t="n">
        <x:f>IF(Q358&gt;0,N358,0)</x:f>
        <x:v>0</x:v>
      </x:c>
      <x:c r="Z358" s="647" t="n">
        <x:f>IF(P358&gt;0,N358*S358,0)</x:f>
        <x:v>0</x:v>
      </x:c>
      <x:c r="AA358" s="647" t="n">
        <x:f>IF(Q358&gt;0,N358*T358,0)</x:f>
        <x:v>0</x:v>
      </x:c>
      <x:c r="AB358" s="647" t="n">
        <x:f>N358*R358</x:f>
        <x:v>0</x:v>
      </x:c>
      <x:c r="AC358" s="647" t="n">
        <x:f>IF(N358&gt;0,R358,999999)</x:f>
        <x:v>999999</x:v>
      </x:c>
      <x:c r="AD358" s="647" t="n">
        <x:f>IF(AND(N358&gt;0,P358&gt;0),S358,999999)</x:f>
        <x:v>999999</x:v>
      </x:c>
      <x:c r="AE358" s="647" t="n">
        <x:f>IF(AND(N358&gt;0,Q358&gt;0),T358,999999)</x:f>
        <x:v>999999</x:v>
      </x:c>
      <x:c r="AF358" s="648" t="n">
        <x:f>B358*D358*F358*J358</x:f>
        <x:v>0.00066</x:v>
      </x:c>
      <x:c r="AG358" s="648" t="n">
        <x:f>IF(P358&gt;0,AF358,0)</x:f>
        <x:v>0.00066</x:v>
      </x:c>
      <x:c r="AH358" s="648" t="n">
        <x:f>IF(AND(P358&gt;0,S358&lt;0),AF358,0)</x:f>
        <x:v>0</x:v>
      </x:c>
      <x:c r="AI358" s="648" t="n">
        <x:f>IF(AND(P358&gt;0,S358=0),AF358,0)</x:f>
        <x:v>0.00066</x:v>
      </x:c>
      <x:c r="AJ358" s="648" t="n">
        <x:f>IF(R358&lt;30000,AF358,0)</x:f>
        <x:v>0</x:v>
      </x:c>
      <x:c r="AK358" s="647" t="n">
        <x:f>IF(P358&gt;0,AF358*S358,0)</x:f>
        <x:v>0</x:v>
      </x:c>
    </x:row>
    <x:row r="359" ht="22" customHeight="1">
      <x:c r="A359" s="19" t="str">
        <x:v>中心</x:v>
      </x:c>
      <x:c r="B359" s="23" t="n">
        <x:f>'114_降本系数'!B27</x:f>
        <x:v>0.5</x:v>
      </x:c>
      <x:c r="C359" s="19" t="str">
        <x:v>L3</x:v>
      </x:c>
      <x:c r="D359" s="23" t="n">
        <x:f>'130_联合算法'!C20</x:f>
        <x:v>0.1</x:v>
      </x:c>
      <x:c r="E359" s="460" t="n">
        <x:f>'117_价格概率传导'!A6</x:f>
        <x:v>259900</x:v>
      </x:c>
      <x:c r="F359" s="23" t="n">
        <x:f>'117_价格概率传导'!D6</x:f>
        <x:v>0.03</x:v>
      </x:c>
      <x:c r="G359" s="23" t="n">
        <x:f>0</x:f>
        <x:v>0</x:v>
      </x:c>
      <x:c r="H359" s="23" t="n">
        <x:f>SUM('117_价格概率传导'!$D$6:$D$6)</x:f>
        <x:v>0.03</x:v>
      </x:c>
      <x:c r="I359" s="460" t="n">
        <x:f>'117_价格概率传导'!A20</x:f>
        <x:v>269900</x:v>
      </x:c>
      <x:c r="J359" s="23" t="n">
        <x:f>'117_价格概率传导'!D20</x:f>
        <x:v>0.23</x:v>
      </x:c>
      <x:c r="K359" s="23" t="n">
        <x:f>SUM('117_价格概率传导'!$D$16:$D$19)</x:f>
        <x:v>0.71</x:v>
      </x:c>
      <x:c r="L359" s="23" t="n">
        <x:f>SUM('117_价格概率传导'!$D$16:$D$20)</x:f>
        <x:v>0.94</x:v>
      </x:c>
      <x:c r="M359" s="23" t="n">
        <x:f>MAX(0,MIN(H359,L359)-MAX(G359,K359))</x:f>
        <x:v>0</x:v>
      </x:c>
      <x:c r="N359" s="23" t="n">
        <x:f>B359*D359*M359</x:f>
        <x:v>0</x:v>
      </x:c>
      <x:c r="O359" s="460" t="n">
        <x:f>MIN(299900,I359+20000)</x:f>
        <x:v>289900</x:v>
      </x:c>
      <x:c r="P359" s="460" t="n">
        <x:f>O359-40000</x:f>
        <x:v>249900</x:v>
      </x:c>
      <x:c r="Q359" s="460" t="n">
        <x:f>O359-20000</x:f>
        <x:v>269900</x:v>
      </x:c>
      <x:c r="R359" s="460" t="n">
        <x:f>O359-E359</x:f>
        <x:v>30000</x:v>
      </x:c>
      <x:c r="S359" s="460" t="n">
        <x:f>IF(P359&gt;0,P359-E359,"")</x:f>
        <x:v>-10000</x:v>
      </x:c>
      <x:c r="T359" s="460" t="n">
        <x:f>IF(Q359&gt;0,Q359-E359,"")</x:f>
        <x:v>10000</x:v>
      </x:c>
      <x:c r="U359" s="23" t="n">
        <x:f>IF(R359&lt;30000,N359,0)</x:f>
        <x:v>0</x:v>
      </x:c>
      <x:c r="V359" s="23" t="n">
        <x:f>IF(P359&gt;0,N359,0)</x:f>
        <x:v>0</x:v>
      </x:c>
      <x:c r="W359" s="23" t="n">
        <x:f>IF(AND(P359&gt;0,S359&lt;0),N359,0)</x:f>
        <x:v>0</x:v>
      </x:c>
      <x:c r="X359" s="23" t="n">
        <x:f>IF(AND(P359&gt;0,S359=0),N359,0)</x:f>
        <x:v>0</x:v>
      </x:c>
      <x:c r="Y359" s="23" t="n">
        <x:f>IF(Q359&gt;0,N359,0)</x:f>
        <x:v>0</x:v>
      </x:c>
      <x:c r="Z359" s="460" t="n">
        <x:f>IF(P359&gt;0,N359*S359,0)</x:f>
        <x:v>0</x:v>
      </x:c>
      <x:c r="AA359" s="460" t="n">
        <x:f>IF(Q359&gt;0,N359*T359,0)</x:f>
        <x:v>0</x:v>
      </x:c>
      <x:c r="AB359" s="460" t="n">
        <x:f>N359*R359</x:f>
        <x:v>0</x:v>
      </x:c>
      <x:c r="AC359" s="460" t="n">
        <x:f>IF(N359&gt;0,R359,999999)</x:f>
        <x:v>999999</x:v>
      </x:c>
      <x:c r="AD359" s="460" t="n">
        <x:f>IF(AND(N359&gt;0,P359&gt;0),S359,999999)</x:f>
        <x:v>999999</x:v>
      </x:c>
      <x:c r="AE359" s="460" t="n">
        <x:f>IF(AND(N359&gt;0,Q359&gt;0),T359,999999)</x:f>
        <x:v>999999</x:v>
      </x:c>
      <x:c r="AF359" s="23" t="n">
        <x:f>B359*D359*F359*J359</x:f>
        <x:v>0.00034500000000000004</x:v>
      </x:c>
      <x:c r="AG359" s="23" t="n">
        <x:f>IF(P359&gt;0,AF359,0)</x:f>
        <x:v>0.00034500000000000004</x:v>
      </x:c>
      <x:c r="AH359" s="23" t="n">
        <x:f>IF(AND(P359&gt;0,S359&lt;0),AF359,0)</x:f>
        <x:v>0.00034500000000000004</x:v>
      </x:c>
      <x:c r="AI359" s="23" t="n">
        <x:f>IF(AND(P359&gt;0,S359=0),AF359,0)</x:f>
        <x:v>0</x:v>
      </x:c>
      <x:c r="AJ359" s="23" t="n">
        <x:f>IF(R359&lt;30000,AF359,0)</x:f>
        <x:v>0</x:v>
      </x:c>
      <x:c r="AK359" s="460" t="n">
        <x:f>IF(P359&gt;0,AF359*S359,0)</x:f>
        <x:v>-3.45</x:v>
      </x:c>
    </x:row>
    <x:row r="360" ht="22" customHeight="1">
      <x:c r="A360" s="643" t="str">
        <x:v>中心</x:v>
      </x:c>
      <x:c r="B360" s="648" t="n">
        <x:f>'114_降本系数'!B27</x:f>
        <x:v>0.5</x:v>
      </x:c>
      <x:c r="C360" s="643" t="str">
        <x:v>L3</x:v>
      </x:c>
      <x:c r="D360" s="648" t="n">
        <x:f>'130_联合算法'!C20</x:f>
        <x:v>0.1</x:v>
      </x:c>
      <x:c r="E360" s="647" t="n">
        <x:f>'117_价格概率传导'!A6</x:f>
        <x:v>259900</x:v>
      </x:c>
      <x:c r="F360" s="648" t="n">
        <x:f>'117_价格概率传导'!D6</x:f>
        <x:v>0.03</x:v>
      </x:c>
      <x:c r="G360" s="648" t="n">
        <x:f>0</x:f>
        <x:v>0</x:v>
      </x:c>
      <x:c r="H360" s="648" t="n">
        <x:f>SUM('117_价格概率传导'!$D$6:$D$6)</x:f>
        <x:v>0.03</x:v>
      </x:c>
      <x:c r="I360" s="647" t="n">
        <x:f>'117_价格概率传导'!A21</x:f>
        <x:v>259900</x:v>
      </x:c>
      <x:c r="J360" s="648" t="n">
        <x:f>'117_价格概率传导'!D21</x:f>
        <x:v>0.06</x:v>
      </x:c>
      <x:c r="K360" s="648" t="n">
        <x:f>SUM('117_价格概率传导'!$D$16:$D$20)</x:f>
        <x:v>0.94</x:v>
      </x:c>
      <x:c r="L360" s="648" t="n">
        <x:f>SUM('117_价格概率传导'!$D$16:$D$21)</x:f>
        <x:v>1</x:v>
      </x:c>
      <x:c r="M360" s="648" t="n">
        <x:f>MAX(0,MIN(H360,L360)-MAX(G360,K360))</x:f>
        <x:v>0</x:v>
      </x:c>
      <x:c r="N360" s="648" t="n">
        <x:f>B360*D360*M360</x:f>
        <x:v>0</x:v>
      </x:c>
      <x:c r="O360" s="647" t="n">
        <x:f>MIN(299900,I360+20000)</x:f>
        <x:v>279900</x:v>
      </x:c>
      <x:c r="P360" s="647" t="n">
        <x:f>O360-40000</x:f>
        <x:v>239900</x:v>
      </x:c>
      <x:c r="Q360" s="647" t="n">
        <x:f>O360-20000</x:f>
        <x:v>259900</x:v>
      </x:c>
      <x:c r="R360" s="647" t="n">
        <x:f>O360-E360</x:f>
        <x:v>20000</x:v>
      </x:c>
      <x:c r="S360" s="647" t="n">
        <x:f>IF(P360&gt;0,P360-E360,"")</x:f>
        <x:v>-20000</x:v>
      </x:c>
      <x:c r="T360" s="647" t="n">
        <x:f>IF(Q360&gt;0,Q360-E360,"")</x:f>
        <x:v>0</x:v>
      </x:c>
      <x:c r="U360" s="648" t="n">
        <x:f>IF(R360&lt;30000,N360,0)</x:f>
        <x:v>0</x:v>
      </x:c>
      <x:c r="V360" s="648" t="n">
        <x:f>IF(P360&gt;0,N360,0)</x:f>
        <x:v>0</x:v>
      </x:c>
      <x:c r="W360" s="648" t="n">
        <x:f>IF(AND(P360&gt;0,S360&lt;0),N360,0)</x:f>
        <x:v>0</x:v>
      </x:c>
      <x:c r="X360" s="648" t="n">
        <x:f>IF(AND(P360&gt;0,S360=0),N360,0)</x:f>
        <x:v>0</x:v>
      </x:c>
      <x:c r="Y360" s="648" t="n">
        <x:f>IF(Q360&gt;0,N360,0)</x:f>
        <x:v>0</x:v>
      </x:c>
      <x:c r="Z360" s="647" t="n">
        <x:f>IF(P360&gt;0,N360*S360,0)</x:f>
        <x:v>0</x:v>
      </x:c>
      <x:c r="AA360" s="647" t="n">
        <x:f>IF(Q360&gt;0,N360*T360,0)</x:f>
        <x:v>0</x:v>
      </x:c>
      <x:c r="AB360" s="647" t="n">
        <x:f>N360*R360</x:f>
        <x:v>0</x:v>
      </x:c>
      <x:c r="AC360" s="647" t="n">
        <x:f>IF(N360&gt;0,R360,999999)</x:f>
        <x:v>999999</x:v>
      </x:c>
      <x:c r="AD360" s="647" t="n">
        <x:f>IF(AND(N360&gt;0,P360&gt;0),S360,999999)</x:f>
        <x:v>999999</x:v>
      </x:c>
      <x:c r="AE360" s="647" t="n">
        <x:f>IF(AND(N360&gt;0,Q360&gt;0),T360,999999)</x:f>
        <x:v>999999</x:v>
      </x:c>
      <x:c r="AF360" s="648" t="n">
        <x:f>B360*D360*F360*J360</x:f>
        <x:v>0.00008999999999999999</x:v>
      </x:c>
      <x:c r="AG360" s="648" t="n">
        <x:f>IF(P360&gt;0,AF360,0)</x:f>
        <x:v>0.00008999999999999999</x:v>
      </x:c>
      <x:c r="AH360" s="648" t="n">
        <x:f>IF(AND(P360&gt;0,S360&lt;0),AF360,0)</x:f>
        <x:v>0.00008999999999999999</x:v>
      </x:c>
      <x:c r="AI360" s="648" t="n">
        <x:f>IF(AND(P360&gt;0,S360=0),AF360,0)</x:f>
        <x:v>0</x:v>
      </x:c>
      <x:c r="AJ360" s="648" t="n">
        <x:f>IF(R360&lt;30000,AF360,0)</x:f>
        <x:v>0.00008999999999999999</x:v>
      </x:c>
      <x:c r="AK360" s="647" t="n">
        <x:f>IF(P360&gt;0,AF360*S360,0)</x:f>
        <x:v>-1.7999999999999998</x:v>
      </x:c>
    </x:row>
    <x:row r="361" ht="22" customHeight="1">
      <x:c r="A361" s="19" t="str">
        <x:v>中心</x:v>
      </x:c>
      <x:c r="B361" s="23" t="n">
        <x:f>'114_降本系数'!B27</x:f>
        <x:v>0.5</x:v>
      </x:c>
      <x:c r="C361" s="19" t="str">
        <x:v>L3</x:v>
      </x:c>
      <x:c r="D361" s="23" t="n">
        <x:f>'130_联合算法'!C20</x:f>
        <x:v>0.1</x:v>
      </x:c>
      <x:c r="E361" s="460" t="n">
        <x:f>'117_价格概率传导'!A7</x:f>
        <x:v>253900</x:v>
      </x:c>
      <x:c r="F361" s="23" t="n">
        <x:f>'117_价格概率传导'!D7</x:f>
        <x:v>0.05</x:v>
      </x:c>
      <x:c r="G361" s="23" t="n">
        <x:f>SUM('117_价格概率传导'!$D$6:$D$6)</x:f>
        <x:v>0.03</x:v>
      </x:c>
      <x:c r="H361" s="23" t="n">
        <x:f>SUM('117_价格概率传导'!$D$6:$D$7)</x:f>
        <x:v>0.08</x:v>
      </x:c>
      <x:c r="I361" s="460" t="n">
        <x:f>'117_价格概率传导'!A16</x:f>
        <x:v>299900</x:v>
      </x:c>
      <x:c r="J361" s="23" t="n">
        <x:f>'117_价格概率传导'!D16</x:f>
        <x:v>0.02</x:v>
      </x:c>
      <x:c r="K361" s="23" t="n">
        <x:f>0</x:f>
        <x:v>0</x:v>
      </x:c>
      <x:c r="L361" s="23" t="n">
        <x:f>SUM('117_价格概率传导'!$D$16:$D$16)</x:f>
        <x:v>0.02</x:v>
      </x:c>
      <x:c r="M361" s="23" t="n">
        <x:f>MAX(0,MIN(H361,L361)-MAX(G361,K361))</x:f>
        <x:v>0</x:v>
      </x:c>
      <x:c r="N361" s="23" t="n">
        <x:f>B361*D361*M361</x:f>
        <x:v>0</x:v>
      </x:c>
      <x:c r="O361" s="460" t="n">
        <x:f>MIN(299900,I361+20000)</x:f>
        <x:v>299900</x:v>
      </x:c>
      <x:c r="P361" s="460" t="n">
        <x:f>O361-40000</x:f>
        <x:v>259900</x:v>
      </x:c>
      <x:c r="Q361" s="460" t="n">
        <x:f>O361-20000</x:f>
        <x:v>279900</x:v>
      </x:c>
      <x:c r="R361" s="460" t="n">
        <x:f>O361-E361</x:f>
        <x:v>46000</x:v>
      </x:c>
      <x:c r="S361" s="460" t="n">
        <x:f>IF(P361&gt;0,P361-E361,"")</x:f>
        <x:v>6000</x:v>
      </x:c>
      <x:c r="T361" s="460" t="n">
        <x:f>IF(Q361&gt;0,Q361-E361,"")</x:f>
        <x:v>26000</x:v>
      </x:c>
      <x:c r="U361" s="23" t="n">
        <x:f>IF(R361&lt;30000,N361,0)</x:f>
        <x:v>0</x:v>
      </x:c>
      <x:c r="V361" s="23" t="n">
        <x:f>IF(P361&gt;0,N361,0)</x:f>
        <x:v>0</x:v>
      </x:c>
      <x:c r="W361" s="23" t="n">
        <x:f>IF(AND(P361&gt;0,S361&lt;0),N361,0)</x:f>
        <x:v>0</x:v>
      </x:c>
      <x:c r="X361" s="23" t="n">
        <x:f>IF(AND(P361&gt;0,S361=0),N361,0)</x:f>
        <x:v>0</x:v>
      </x:c>
      <x:c r="Y361" s="23" t="n">
        <x:f>IF(Q361&gt;0,N361,0)</x:f>
        <x:v>0</x:v>
      </x:c>
      <x:c r="Z361" s="460" t="n">
        <x:f>IF(P361&gt;0,N361*S361,0)</x:f>
        <x:v>0</x:v>
      </x:c>
      <x:c r="AA361" s="460" t="n">
        <x:f>IF(Q361&gt;0,N361*T361,0)</x:f>
        <x:v>0</x:v>
      </x:c>
      <x:c r="AB361" s="460" t="n">
        <x:f>N361*R361</x:f>
        <x:v>0</x:v>
      </x:c>
      <x:c r="AC361" s="460" t="n">
        <x:f>IF(N361&gt;0,R361,999999)</x:f>
        <x:v>999999</x:v>
      </x:c>
      <x:c r="AD361" s="460" t="n">
        <x:f>IF(AND(N361&gt;0,P361&gt;0),S361,999999)</x:f>
        <x:v>999999</x:v>
      </x:c>
      <x:c r="AE361" s="460" t="n">
        <x:f>IF(AND(N361&gt;0,Q361&gt;0),T361,999999)</x:f>
        <x:v>999999</x:v>
      </x:c>
      <x:c r="AF361" s="23" t="n">
        <x:f>B361*D361*F361*J361</x:f>
        <x:v>0.00005000000000000001</x:v>
      </x:c>
      <x:c r="AG361" s="23" t="n">
        <x:f>IF(P361&gt;0,AF361,0)</x:f>
        <x:v>0.00005000000000000001</x:v>
      </x:c>
      <x:c r="AH361" s="23" t="n">
        <x:f>IF(AND(P361&gt;0,S361&lt;0),AF361,0)</x:f>
        <x:v>0</x:v>
      </x:c>
      <x:c r="AI361" s="23" t="n">
        <x:f>IF(AND(P361&gt;0,S361=0),AF361,0)</x:f>
        <x:v>0</x:v>
      </x:c>
      <x:c r="AJ361" s="23" t="n">
        <x:f>IF(R361&lt;30000,AF361,0)</x:f>
        <x:v>0</x:v>
      </x:c>
      <x:c r="AK361" s="460" t="n">
        <x:f>IF(P361&gt;0,AF361*S361,0)</x:f>
        <x:v>0.30000000000000004</x:v>
      </x:c>
    </x:row>
    <x:row r="362" ht="22" customHeight="1">
      <x:c r="A362" s="643" t="str">
        <x:v>中心</x:v>
      </x:c>
      <x:c r="B362" s="648" t="n">
        <x:f>'114_降本系数'!B27</x:f>
        <x:v>0.5</x:v>
      </x:c>
      <x:c r="C362" s="643" t="str">
        <x:v>L3</x:v>
      </x:c>
      <x:c r="D362" s="648" t="n">
        <x:f>'130_联合算法'!C20</x:f>
        <x:v>0.1</x:v>
      </x:c>
      <x:c r="E362" s="647" t="n">
        <x:f>'117_价格概率传导'!A7</x:f>
        <x:v>253900</x:v>
      </x:c>
      <x:c r="F362" s="648" t="n">
        <x:f>'117_价格概率传导'!D7</x:f>
        <x:v>0.05</x:v>
      </x:c>
      <x:c r="G362" s="648" t="n">
        <x:f>SUM('117_价格概率传导'!$D$6:$D$6)</x:f>
        <x:v>0.03</x:v>
      </x:c>
      <x:c r="H362" s="648" t="n">
        <x:f>SUM('117_价格概率传导'!$D$6:$D$7)</x:f>
        <x:v>0.08</x:v>
      </x:c>
      <x:c r="I362" s="647" t="n">
        <x:f>'117_价格概率传导'!A17</x:f>
        <x:v>293900</x:v>
      </x:c>
      <x:c r="J362" s="648" t="n">
        <x:f>'117_价格概率传导'!D17</x:f>
        <x:v>0.03</x:v>
      </x:c>
      <x:c r="K362" s="648" t="n">
        <x:f>SUM('117_价格概率传导'!$D$16:$D$16)</x:f>
        <x:v>0.02</x:v>
      </x:c>
      <x:c r="L362" s="648" t="n">
        <x:f>SUM('117_价格概率传导'!$D$16:$D$17)</x:f>
        <x:v>0.05</x:v>
      </x:c>
      <x:c r="M362" s="648" t="n">
        <x:f>MAX(0,MIN(H362,L362)-MAX(G362,K362))</x:f>
        <x:v>0.020000000000000004</x:v>
      </x:c>
      <x:c r="N362" s="648" t="n">
        <x:f>B362*D362*M362</x:f>
        <x:v>0.0010000000000000002</x:v>
      </x:c>
      <x:c r="O362" s="647" t="n">
        <x:f>MIN(299900,I362+20000)</x:f>
        <x:v>299900</x:v>
      </x:c>
      <x:c r="P362" s="647" t="n">
        <x:f>O362-40000</x:f>
        <x:v>259900</x:v>
      </x:c>
      <x:c r="Q362" s="647" t="n">
        <x:f>O362-20000</x:f>
        <x:v>279900</x:v>
      </x:c>
      <x:c r="R362" s="647" t="n">
        <x:f>O362-E362</x:f>
        <x:v>46000</x:v>
      </x:c>
      <x:c r="S362" s="647" t="n">
        <x:f>IF(P362&gt;0,P362-E362,"")</x:f>
        <x:v>6000</x:v>
      </x:c>
      <x:c r="T362" s="647" t="n">
        <x:f>IF(Q362&gt;0,Q362-E362,"")</x:f>
        <x:v>26000</x:v>
      </x:c>
      <x:c r="U362" s="648" t="n">
        <x:f>IF(R362&lt;30000,N362,0)</x:f>
        <x:v>0</x:v>
      </x:c>
      <x:c r="V362" s="648" t="n">
        <x:f>IF(P362&gt;0,N362,0)</x:f>
        <x:v>0.0010000000000000002</x:v>
      </x:c>
      <x:c r="W362" s="648" t="n">
        <x:f>IF(AND(P362&gt;0,S362&lt;0),N362,0)</x:f>
        <x:v>0</x:v>
      </x:c>
      <x:c r="X362" s="648" t="n">
        <x:f>IF(AND(P362&gt;0,S362=0),N362,0)</x:f>
        <x:v>0</x:v>
      </x:c>
      <x:c r="Y362" s="648" t="n">
        <x:f>IF(Q362&gt;0,N362,0)</x:f>
        <x:v>0.0010000000000000002</x:v>
      </x:c>
      <x:c r="Z362" s="647" t="n">
        <x:f>IF(P362&gt;0,N362*S362,0)</x:f>
        <x:v>6.000000000000002</x:v>
      </x:c>
      <x:c r="AA362" s="647" t="n">
        <x:f>IF(Q362&gt;0,N362*T362,0)</x:f>
        <x:v>26.000000000000007</x:v>
      </x:c>
      <x:c r="AB362" s="647" t="n">
        <x:f>N362*R362</x:f>
        <x:v>46.000000000000014</x:v>
      </x:c>
      <x:c r="AC362" s="647" t="n">
        <x:f>IF(N362&gt;0,R362,999999)</x:f>
        <x:v>46000</x:v>
      </x:c>
      <x:c r="AD362" s="647" t="n">
        <x:f>IF(AND(N362&gt;0,P362&gt;0),S362,999999)</x:f>
        <x:v>6000</x:v>
      </x:c>
      <x:c r="AE362" s="647" t="n">
        <x:f>IF(AND(N362&gt;0,Q362&gt;0),T362,999999)</x:f>
        <x:v>26000</x:v>
      </x:c>
      <x:c r="AF362" s="648" t="n">
        <x:f>B362*D362*F362*J362</x:f>
        <x:v>0.00007500000000000001</x:v>
      </x:c>
      <x:c r="AG362" s="648" t="n">
        <x:f>IF(P362&gt;0,AF362,0)</x:f>
        <x:v>0.00007500000000000001</x:v>
      </x:c>
      <x:c r="AH362" s="648" t="n">
        <x:f>IF(AND(P362&gt;0,S362&lt;0),AF362,0)</x:f>
        <x:v>0</x:v>
      </x:c>
      <x:c r="AI362" s="648" t="n">
        <x:f>IF(AND(P362&gt;0,S362=0),AF362,0)</x:f>
        <x:v>0</x:v>
      </x:c>
      <x:c r="AJ362" s="648" t="n">
        <x:f>IF(R362&lt;30000,AF362,0)</x:f>
        <x:v>0</x:v>
      </x:c>
      <x:c r="AK362" s="647" t="n">
        <x:f>IF(P362&gt;0,AF362*S362,0)</x:f>
        <x:v>0.45000000000000007</x:v>
      </x:c>
    </x:row>
    <x:row r="363" ht="22" customHeight="1">
      <x:c r="A363" s="19" t="str">
        <x:v>中心</x:v>
      </x:c>
      <x:c r="B363" s="23" t="n">
        <x:f>'114_降本系数'!B27</x:f>
        <x:v>0.5</x:v>
      </x:c>
      <x:c r="C363" s="19" t="str">
        <x:v>L3</x:v>
      </x:c>
      <x:c r="D363" s="23" t="n">
        <x:f>'130_联合算法'!C20</x:f>
        <x:v>0.1</x:v>
      </x:c>
      <x:c r="E363" s="460" t="n">
        <x:f>'117_价格概率传导'!A7</x:f>
        <x:v>253900</x:v>
      </x:c>
      <x:c r="F363" s="23" t="n">
        <x:f>'117_价格概率传导'!D7</x:f>
        <x:v>0.05</x:v>
      </x:c>
      <x:c r="G363" s="23" t="n">
        <x:f>SUM('117_价格概率传导'!$D$6:$D$6)</x:f>
        <x:v>0.03</x:v>
      </x:c>
      <x:c r="H363" s="23" t="n">
        <x:f>SUM('117_价格概率传导'!$D$6:$D$7)</x:f>
        <x:v>0.08</x:v>
      </x:c>
      <x:c r="I363" s="460" t="n">
        <x:f>'117_价格概率传导'!A18</x:f>
        <x:v>289900</x:v>
      </x:c>
      <x:c r="J363" s="23" t="n">
        <x:f>'117_价格概率传导'!D18</x:f>
        <x:v>0.22</x:v>
      </x:c>
      <x:c r="K363" s="23" t="n">
        <x:f>SUM('117_价格概率传导'!$D$16:$D$17)</x:f>
        <x:v>0.05</x:v>
      </x:c>
      <x:c r="L363" s="23" t="n">
        <x:f>SUM('117_价格概率传导'!$D$16:$D$18)</x:f>
        <x:v>0.27</x:v>
      </x:c>
      <x:c r="M363" s="23" t="n">
        <x:f>MAX(0,MIN(H363,L363)-MAX(G363,K363))</x:f>
        <x:v>0.03</x:v>
      </x:c>
      <x:c r="N363" s="23" t="n">
        <x:f>B363*D363*M363</x:f>
        <x:v>0.0015</x:v>
      </x:c>
      <x:c r="O363" s="460" t="n">
        <x:f>MIN(299900,I363+20000)</x:f>
        <x:v>299900</x:v>
      </x:c>
      <x:c r="P363" s="460" t="n">
        <x:f>O363-40000</x:f>
        <x:v>259900</x:v>
      </x:c>
      <x:c r="Q363" s="460" t="n">
        <x:f>O363-20000</x:f>
        <x:v>279900</x:v>
      </x:c>
      <x:c r="R363" s="460" t="n">
        <x:f>O363-E363</x:f>
        <x:v>46000</x:v>
      </x:c>
      <x:c r="S363" s="460" t="n">
        <x:f>IF(P363&gt;0,P363-E363,"")</x:f>
        <x:v>6000</x:v>
      </x:c>
      <x:c r="T363" s="460" t="n">
        <x:f>IF(Q363&gt;0,Q363-E363,"")</x:f>
        <x:v>26000</x:v>
      </x:c>
      <x:c r="U363" s="23" t="n">
        <x:f>IF(R363&lt;30000,N363,0)</x:f>
        <x:v>0</x:v>
      </x:c>
      <x:c r="V363" s="23" t="n">
        <x:f>IF(P363&gt;0,N363,0)</x:f>
        <x:v>0.0015</x:v>
      </x:c>
      <x:c r="W363" s="23" t="n">
        <x:f>IF(AND(P363&gt;0,S363&lt;0),N363,0)</x:f>
        <x:v>0</x:v>
      </x:c>
      <x:c r="X363" s="23" t="n">
        <x:f>IF(AND(P363&gt;0,S363=0),N363,0)</x:f>
        <x:v>0</x:v>
      </x:c>
      <x:c r="Y363" s="23" t="n">
        <x:f>IF(Q363&gt;0,N363,0)</x:f>
        <x:v>0.0015</x:v>
      </x:c>
      <x:c r="Z363" s="460" t="n">
        <x:f>IF(P363&gt;0,N363*S363,0)</x:f>
        <x:v>9</x:v>
      </x:c>
      <x:c r="AA363" s="460" t="n">
        <x:f>IF(Q363&gt;0,N363*T363,0)</x:f>
        <x:v>39</x:v>
      </x:c>
      <x:c r="AB363" s="460" t="n">
        <x:f>N363*R363</x:f>
        <x:v>69</x:v>
      </x:c>
      <x:c r="AC363" s="460" t="n">
        <x:f>IF(N363&gt;0,R363,999999)</x:f>
        <x:v>46000</x:v>
      </x:c>
      <x:c r="AD363" s="460" t="n">
        <x:f>IF(AND(N363&gt;0,P363&gt;0),S363,999999)</x:f>
        <x:v>6000</x:v>
      </x:c>
      <x:c r="AE363" s="460" t="n">
        <x:f>IF(AND(N363&gt;0,Q363&gt;0),T363,999999)</x:f>
        <x:v>26000</x:v>
      </x:c>
      <x:c r="AF363" s="23" t="n">
        <x:f>B363*D363*F363*J363</x:f>
        <x:v>0.0005500000000000001</x:v>
      </x:c>
      <x:c r="AG363" s="23" t="n">
        <x:f>IF(P363&gt;0,AF363,0)</x:f>
        <x:v>0.0005500000000000001</x:v>
      </x:c>
      <x:c r="AH363" s="23" t="n">
        <x:f>IF(AND(P363&gt;0,S363&lt;0),AF363,0)</x:f>
        <x:v>0</x:v>
      </x:c>
      <x:c r="AI363" s="23" t="n">
        <x:f>IF(AND(P363&gt;0,S363=0),AF363,0)</x:f>
        <x:v>0</x:v>
      </x:c>
      <x:c r="AJ363" s="23" t="n">
        <x:f>IF(R363&lt;30000,AF363,0)</x:f>
        <x:v>0</x:v>
      </x:c>
      <x:c r="AK363" s="460" t="n">
        <x:f>IF(P363&gt;0,AF363*S363,0)</x:f>
        <x:v>3.3000000000000007</x:v>
      </x:c>
    </x:row>
    <x:row r="364" ht="22" customHeight="1">
      <x:c r="A364" s="643" t="str">
        <x:v>中心</x:v>
      </x:c>
      <x:c r="B364" s="648" t="n">
        <x:f>'114_降本系数'!B27</x:f>
        <x:v>0.5</x:v>
      </x:c>
      <x:c r="C364" s="643" t="str">
        <x:v>L3</x:v>
      </x:c>
      <x:c r="D364" s="648" t="n">
        <x:f>'130_联合算法'!C20</x:f>
        <x:v>0.1</x:v>
      </x:c>
      <x:c r="E364" s="647" t="n">
        <x:f>'117_价格概率传导'!A7</x:f>
        <x:v>253900</x:v>
      </x:c>
      <x:c r="F364" s="648" t="n">
        <x:f>'117_价格概率传导'!D7</x:f>
        <x:v>0.05</x:v>
      </x:c>
      <x:c r="G364" s="648" t="n">
        <x:f>SUM('117_价格概率传导'!$D$6:$D$6)</x:f>
        <x:v>0.03</x:v>
      </x:c>
      <x:c r="H364" s="648" t="n">
        <x:f>SUM('117_价格概率传导'!$D$6:$D$7)</x:f>
        <x:v>0.08</x:v>
      </x:c>
      <x:c r="I364" s="647" t="n">
        <x:f>'117_价格概率传导'!A19</x:f>
        <x:v>279900</x:v>
      </x:c>
      <x:c r="J364" s="648" t="n">
        <x:f>'117_价格概率传导'!D19</x:f>
        <x:v>0.44</x:v>
      </x:c>
      <x:c r="K364" s="648" t="n">
        <x:f>SUM('117_价格概率传导'!$D$16:$D$18)</x:f>
        <x:v>0.27</x:v>
      </x:c>
      <x:c r="L364" s="648" t="n">
        <x:f>SUM('117_价格概率传导'!$D$16:$D$19)</x:f>
        <x:v>0.71</x:v>
      </x:c>
      <x:c r="M364" s="648" t="n">
        <x:f>MAX(0,MIN(H364,L364)-MAX(G364,K364))</x:f>
        <x:v>0</x:v>
      </x:c>
      <x:c r="N364" s="648" t="n">
        <x:f>B364*D364*M364</x:f>
        <x:v>0</x:v>
      </x:c>
      <x:c r="O364" s="647" t="n">
        <x:f>MIN(299900,I364+20000)</x:f>
        <x:v>299900</x:v>
      </x:c>
      <x:c r="P364" s="647" t="n">
        <x:f>O364-40000</x:f>
        <x:v>259900</x:v>
      </x:c>
      <x:c r="Q364" s="647" t="n">
        <x:f>O364-20000</x:f>
        <x:v>279900</x:v>
      </x:c>
      <x:c r="R364" s="647" t="n">
        <x:f>O364-E364</x:f>
        <x:v>46000</x:v>
      </x:c>
      <x:c r="S364" s="647" t="n">
        <x:f>IF(P364&gt;0,P364-E364,"")</x:f>
        <x:v>6000</x:v>
      </x:c>
      <x:c r="T364" s="647" t="n">
        <x:f>IF(Q364&gt;0,Q364-E364,"")</x:f>
        <x:v>26000</x:v>
      </x:c>
      <x:c r="U364" s="648" t="n">
        <x:f>IF(R364&lt;30000,N364,0)</x:f>
        <x:v>0</x:v>
      </x:c>
      <x:c r="V364" s="648" t="n">
        <x:f>IF(P364&gt;0,N364,0)</x:f>
        <x:v>0</x:v>
      </x:c>
      <x:c r="W364" s="648" t="n">
        <x:f>IF(AND(P364&gt;0,S364&lt;0),N364,0)</x:f>
        <x:v>0</x:v>
      </x:c>
      <x:c r="X364" s="648" t="n">
        <x:f>IF(AND(P364&gt;0,S364=0),N364,0)</x:f>
        <x:v>0</x:v>
      </x:c>
      <x:c r="Y364" s="648" t="n">
        <x:f>IF(Q364&gt;0,N364,0)</x:f>
        <x:v>0</x:v>
      </x:c>
      <x:c r="Z364" s="647" t="n">
        <x:f>IF(P364&gt;0,N364*S364,0)</x:f>
        <x:v>0</x:v>
      </x:c>
      <x:c r="AA364" s="647" t="n">
        <x:f>IF(Q364&gt;0,N364*T364,0)</x:f>
        <x:v>0</x:v>
      </x:c>
      <x:c r="AB364" s="647" t="n">
        <x:f>N364*R364</x:f>
        <x:v>0</x:v>
      </x:c>
      <x:c r="AC364" s="647" t="n">
        <x:f>IF(N364&gt;0,R364,999999)</x:f>
        <x:v>999999</x:v>
      </x:c>
      <x:c r="AD364" s="647" t="n">
        <x:f>IF(AND(N364&gt;0,P364&gt;0),S364,999999)</x:f>
        <x:v>999999</x:v>
      </x:c>
      <x:c r="AE364" s="647" t="n">
        <x:f>IF(AND(N364&gt;0,Q364&gt;0),T364,999999)</x:f>
        <x:v>999999</x:v>
      </x:c>
      <x:c r="AF364" s="648" t="n">
        <x:f>B364*D364*F364*J364</x:f>
        <x:v>0.0011000000000000003</x:v>
      </x:c>
      <x:c r="AG364" s="648" t="n">
        <x:f>IF(P364&gt;0,AF364,0)</x:f>
        <x:v>0.0011000000000000003</x:v>
      </x:c>
      <x:c r="AH364" s="648" t="n">
        <x:f>IF(AND(P364&gt;0,S364&lt;0),AF364,0)</x:f>
        <x:v>0</x:v>
      </x:c>
      <x:c r="AI364" s="648" t="n">
        <x:f>IF(AND(P364&gt;0,S364=0),AF364,0)</x:f>
        <x:v>0</x:v>
      </x:c>
      <x:c r="AJ364" s="648" t="n">
        <x:f>IF(R364&lt;30000,AF364,0)</x:f>
        <x:v>0</x:v>
      </x:c>
      <x:c r="AK364" s="647" t="n">
        <x:f>IF(P364&gt;0,AF364*S364,0)</x:f>
        <x:v>6.600000000000001</x:v>
      </x:c>
    </x:row>
    <x:row r="365" ht="22" customHeight="1">
      <x:c r="A365" s="19" t="str">
        <x:v>中心</x:v>
      </x:c>
      <x:c r="B365" s="23" t="n">
        <x:f>'114_降本系数'!B27</x:f>
        <x:v>0.5</x:v>
      </x:c>
      <x:c r="C365" s="19" t="str">
        <x:v>L3</x:v>
      </x:c>
      <x:c r="D365" s="23" t="n">
        <x:f>'130_联合算法'!C20</x:f>
        <x:v>0.1</x:v>
      </x:c>
      <x:c r="E365" s="460" t="n">
        <x:f>'117_价格概率传导'!A7</x:f>
        <x:v>253900</x:v>
      </x:c>
      <x:c r="F365" s="23" t="n">
        <x:f>'117_价格概率传导'!D7</x:f>
        <x:v>0.05</x:v>
      </x:c>
      <x:c r="G365" s="23" t="n">
        <x:f>SUM('117_价格概率传导'!$D$6:$D$6)</x:f>
        <x:v>0.03</x:v>
      </x:c>
      <x:c r="H365" s="23" t="n">
        <x:f>SUM('117_价格概率传导'!$D$6:$D$7)</x:f>
        <x:v>0.08</x:v>
      </x:c>
      <x:c r="I365" s="460" t="n">
        <x:f>'117_价格概率传导'!A20</x:f>
        <x:v>269900</x:v>
      </x:c>
      <x:c r="J365" s="23" t="n">
        <x:f>'117_价格概率传导'!D20</x:f>
        <x:v>0.23</x:v>
      </x:c>
      <x:c r="K365" s="23" t="n">
        <x:f>SUM('117_价格概率传导'!$D$16:$D$19)</x:f>
        <x:v>0.71</x:v>
      </x:c>
      <x:c r="L365" s="23" t="n">
        <x:f>SUM('117_价格概率传导'!$D$16:$D$20)</x:f>
        <x:v>0.94</x:v>
      </x:c>
      <x:c r="M365" s="23" t="n">
        <x:f>MAX(0,MIN(H365,L365)-MAX(G365,K365))</x:f>
        <x:v>0</x:v>
      </x:c>
      <x:c r="N365" s="23" t="n">
        <x:f>B365*D365*M365</x:f>
        <x:v>0</x:v>
      </x:c>
      <x:c r="O365" s="460" t="n">
        <x:f>MIN(299900,I365+20000)</x:f>
        <x:v>289900</x:v>
      </x:c>
      <x:c r="P365" s="460" t="n">
        <x:f>O365-40000</x:f>
        <x:v>249900</x:v>
      </x:c>
      <x:c r="Q365" s="460" t="n">
        <x:f>O365-20000</x:f>
        <x:v>269900</x:v>
      </x:c>
      <x:c r="R365" s="460" t="n">
        <x:f>O365-E365</x:f>
        <x:v>36000</x:v>
      </x:c>
      <x:c r="S365" s="460" t="n">
        <x:f>IF(P365&gt;0,P365-E365,"")</x:f>
        <x:v>-4000</x:v>
      </x:c>
      <x:c r="T365" s="460" t="n">
        <x:f>IF(Q365&gt;0,Q365-E365,"")</x:f>
        <x:v>16000</x:v>
      </x:c>
      <x:c r="U365" s="23" t="n">
        <x:f>IF(R365&lt;30000,N365,0)</x:f>
        <x:v>0</x:v>
      </x:c>
      <x:c r="V365" s="23" t="n">
        <x:f>IF(P365&gt;0,N365,0)</x:f>
        <x:v>0</x:v>
      </x:c>
      <x:c r="W365" s="23" t="n">
        <x:f>IF(AND(P365&gt;0,S365&lt;0),N365,0)</x:f>
        <x:v>0</x:v>
      </x:c>
      <x:c r="X365" s="23" t="n">
        <x:f>IF(AND(P365&gt;0,S365=0),N365,0)</x:f>
        <x:v>0</x:v>
      </x:c>
      <x:c r="Y365" s="23" t="n">
        <x:f>IF(Q365&gt;0,N365,0)</x:f>
        <x:v>0</x:v>
      </x:c>
      <x:c r="Z365" s="460" t="n">
        <x:f>IF(P365&gt;0,N365*S365,0)</x:f>
        <x:v>0</x:v>
      </x:c>
      <x:c r="AA365" s="460" t="n">
        <x:f>IF(Q365&gt;0,N365*T365,0)</x:f>
        <x:v>0</x:v>
      </x:c>
      <x:c r="AB365" s="460" t="n">
        <x:f>N365*R365</x:f>
        <x:v>0</x:v>
      </x:c>
      <x:c r="AC365" s="460" t="n">
        <x:f>IF(N365&gt;0,R365,999999)</x:f>
        <x:v>999999</x:v>
      </x:c>
      <x:c r="AD365" s="460" t="n">
        <x:f>IF(AND(N365&gt;0,P365&gt;0),S365,999999)</x:f>
        <x:v>999999</x:v>
      </x:c>
      <x:c r="AE365" s="460" t="n">
        <x:f>IF(AND(N365&gt;0,Q365&gt;0),T365,999999)</x:f>
        <x:v>999999</x:v>
      </x:c>
      <x:c r="AF365" s="23" t="n">
        <x:f>B365*D365*F365*J365</x:f>
        <x:v>0.0005750000000000001</x:v>
      </x:c>
      <x:c r="AG365" s="23" t="n">
        <x:f>IF(P365&gt;0,AF365,0)</x:f>
        <x:v>0.0005750000000000001</x:v>
      </x:c>
      <x:c r="AH365" s="23" t="n">
        <x:f>IF(AND(P365&gt;0,S365&lt;0),AF365,0)</x:f>
        <x:v>0.0005750000000000001</x:v>
      </x:c>
      <x:c r="AI365" s="23" t="n">
        <x:f>IF(AND(P365&gt;0,S365=0),AF365,0)</x:f>
        <x:v>0</x:v>
      </x:c>
      <x:c r="AJ365" s="23" t="n">
        <x:f>IF(R365&lt;30000,AF365,0)</x:f>
        <x:v>0</x:v>
      </x:c>
      <x:c r="AK365" s="460" t="n">
        <x:f>IF(P365&gt;0,AF365*S365,0)</x:f>
        <x:v>-2.3000000000000003</x:v>
      </x:c>
    </x:row>
    <x:row r="366" ht="22" customHeight="1">
      <x:c r="A366" s="643" t="str">
        <x:v>中心</x:v>
      </x:c>
      <x:c r="B366" s="648" t="n">
        <x:f>'114_降本系数'!B27</x:f>
        <x:v>0.5</x:v>
      </x:c>
      <x:c r="C366" s="643" t="str">
        <x:v>L3</x:v>
      </x:c>
      <x:c r="D366" s="648" t="n">
        <x:f>'130_联合算法'!C20</x:f>
        <x:v>0.1</x:v>
      </x:c>
      <x:c r="E366" s="647" t="n">
        <x:f>'117_价格概率传导'!A7</x:f>
        <x:v>253900</x:v>
      </x:c>
      <x:c r="F366" s="648" t="n">
        <x:f>'117_价格概率传导'!D7</x:f>
        <x:v>0.05</x:v>
      </x:c>
      <x:c r="G366" s="648" t="n">
        <x:f>SUM('117_价格概率传导'!$D$6:$D$6)</x:f>
        <x:v>0.03</x:v>
      </x:c>
      <x:c r="H366" s="648" t="n">
        <x:f>SUM('117_价格概率传导'!$D$6:$D$7)</x:f>
        <x:v>0.08</x:v>
      </x:c>
      <x:c r="I366" s="647" t="n">
        <x:f>'117_价格概率传导'!A21</x:f>
        <x:v>259900</x:v>
      </x:c>
      <x:c r="J366" s="648" t="n">
        <x:f>'117_价格概率传导'!D21</x:f>
        <x:v>0.06</x:v>
      </x:c>
      <x:c r="K366" s="648" t="n">
        <x:f>SUM('117_价格概率传导'!$D$16:$D$20)</x:f>
        <x:v>0.94</x:v>
      </x:c>
      <x:c r="L366" s="648" t="n">
        <x:f>SUM('117_价格概率传导'!$D$16:$D$21)</x:f>
        <x:v>1</x:v>
      </x:c>
      <x:c r="M366" s="648" t="n">
        <x:f>MAX(0,MIN(H366,L366)-MAX(G366,K366))</x:f>
        <x:v>0</x:v>
      </x:c>
      <x:c r="N366" s="648" t="n">
        <x:f>B366*D366*M366</x:f>
        <x:v>0</x:v>
      </x:c>
      <x:c r="O366" s="647" t="n">
        <x:f>MIN(299900,I366+20000)</x:f>
        <x:v>279900</x:v>
      </x:c>
      <x:c r="P366" s="647" t="n">
        <x:f>O366-40000</x:f>
        <x:v>239900</x:v>
      </x:c>
      <x:c r="Q366" s="647" t="n">
        <x:f>O366-20000</x:f>
        <x:v>259900</x:v>
      </x:c>
      <x:c r="R366" s="647" t="n">
        <x:f>O366-E366</x:f>
        <x:v>26000</x:v>
      </x:c>
      <x:c r="S366" s="647" t="n">
        <x:f>IF(P366&gt;0,P366-E366,"")</x:f>
        <x:v>-14000</x:v>
      </x:c>
      <x:c r="T366" s="647" t="n">
        <x:f>IF(Q366&gt;0,Q366-E366,"")</x:f>
        <x:v>6000</x:v>
      </x:c>
      <x:c r="U366" s="648" t="n">
        <x:f>IF(R366&lt;30000,N366,0)</x:f>
        <x:v>0</x:v>
      </x:c>
      <x:c r="V366" s="648" t="n">
        <x:f>IF(P366&gt;0,N366,0)</x:f>
        <x:v>0</x:v>
      </x:c>
      <x:c r="W366" s="648" t="n">
        <x:f>IF(AND(P366&gt;0,S366&lt;0),N366,0)</x:f>
        <x:v>0</x:v>
      </x:c>
      <x:c r="X366" s="648" t="n">
        <x:f>IF(AND(P366&gt;0,S366=0),N366,0)</x:f>
        <x:v>0</x:v>
      </x:c>
      <x:c r="Y366" s="648" t="n">
        <x:f>IF(Q366&gt;0,N366,0)</x:f>
        <x:v>0</x:v>
      </x:c>
      <x:c r="Z366" s="647" t="n">
        <x:f>IF(P366&gt;0,N366*S366,0)</x:f>
        <x:v>0</x:v>
      </x:c>
      <x:c r="AA366" s="647" t="n">
        <x:f>IF(Q366&gt;0,N366*T366,0)</x:f>
        <x:v>0</x:v>
      </x:c>
      <x:c r="AB366" s="647" t="n">
        <x:f>N366*R366</x:f>
        <x:v>0</x:v>
      </x:c>
      <x:c r="AC366" s="647" t="n">
        <x:f>IF(N366&gt;0,R366,999999)</x:f>
        <x:v>999999</x:v>
      </x:c>
      <x:c r="AD366" s="647" t="n">
        <x:f>IF(AND(N366&gt;0,P366&gt;0),S366,999999)</x:f>
        <x:v>999999</x:v>
      </x:c>
      <x:c r="AE366" s="647" t="n">
        <x:f>IF(AND(N366&gt;0,Q366&gt;0),T366,999999)</x:f>
        <x:v>999999</x:v>
      </x:c>
      <x:c r="AF366" s="648" t="n">
        <x:f>B366*D366*F366*J366</x:f>
        <x:v>0.00015000000000000001</x:v>
      </x:c>
      <x:c r="AG366" s="648" t="n">
        <x:f>IF(P366&gt;0,AF366,0)</x:f>
        <x:v>0.00015000000000000001</x:v>
      </x:c>
      <x:c r="AH366" s="648" t="n">
        <x:f>IF(AND(P366&gt;0,S366&lt;0),AF366,0)</x:f>
        <x:v>0.00015000000000000001</x:v>
      </x:c>
      <x:c r="AI366" s="648" t="n">
        <x:f>IF(AND(P366&gt;0,S366=0),AF366,0)</x:f>
        <x:v>0</x:v>
      </x:c>
      <x:c r="AJ366" s="648" t="n">
        <x:f>IF(R366&lt;30000,AF366,0)</x:f>
        <x:v>0.00015000000000000001</x:v>
      </x:c>
      <x:c r="AK366" s="647" t="n">
        <x:f>IF(P366&gt;0,AF366*S366,0)</x:f>
        <x:v>-2.1</x:v>
      </x:c>
    </x:row>
    <x:row r="367" ht="22" customHeight="1">
      <x:c r="A367" s="19" t="str">
        <x:v>中心</x:v>
      </x:c>
      <x:c r="B367" s="23" t="n">
        <x:f>'114_降本系数'!B27</x:f>
        <x:v>0.5</x:v>
      </x:c>
      <x:c r="C367" s="19" t="str">
        <x:v>L3</x:v>
      </x:c>
      <x:c r="D367" s="23" t="n">
        <x:f>'130_联合算法'!C20</x:f>
        <x:v>0.1</x:v>
      </x:c>
      <x:c r="E367" s="460" t="n">
        <x:f>'117_价格概率传导'!A8</x:f>
        <x:v>249900</x:v>
      </x:c>
      <x:c r="F367" s="23" t="n">
        <x:f>'117_价格概率传导'!D8</x:f>
        <x:v>0.42</x:v>
      </x:c>
      <x:c r="G367" s="23" t="n">
        <x:f>SUM('117_价格概率传导'!$D$6:$D$7)</x:f>
        <x:v>0.08</x:v>
      </x:c>
      <x:c r="H367" s="23" t="n">
        <x:f>SUM('117_价格概率传导'!$D$6:$D$8)</x:f>
        <x:v>0.5</x:v>
      </x:c>
      <x:c r="I367" s="460" t="n">
        <x:f>'117_价格概率传导'!A16</x:f>
        <x:v>299900</x:v>
      </x:c>
      <x:c r="J367" s="23" t="n">
        <x:f>'117_价格概率传导'!D16</x:f>
        <x:v>0.02</x:v>
      </x:c>
      <x:c r="K367" s="23" t="n">
        <x:f>0</x:f>
        <x:v>0</x:v>
      </x:c>
      <x:c r="L367" s="23" t="n">
        <x:f>SUM('117_价格概率传导'!$D$16:$D$16)</x:f>
        <x:v>0.02</x:v>
      </x:c>
      <x:c r="M367" s="23" t="n">
        <x:f>MAX(0,MIN(H367,L367)-MAX(G367,K367))</x:f>
        <x:v>0</x:v>
      </x:c>
      <x:c r="N367" s="23" t="n">
        <x:f>B367*D367*M367</x:f>
        <x:v>0</x:v>
      </x:c>
      <x:c r="O367" s="460" t="n">
        <x:f>MIN(299900,I367+20000)</x:f>
        <x:v>299900</x:v>
      </x:c>
      <x:c r="P367" s="460" t="n">
        <x:f>O367-40000</x:f>
        <x:v>259900</x:v>
      </x:c>
      <x:c r="Q367" s="460" t="n">
        <x:f>O367-20000</x:f>
        <x:v>279900</x:v>
      </x:c>
      <x:c r="R367" s="460" t="n">
        <x:f>O367-E367</x:f>
        <x:v>50000</x:v>
      </x:c>
      <x:c r="S367" s="460" t="n">
        <x:f>IF(P367&gt;0,P367-E367,"")</x:f>
        <x:v>10000</x:v>
      </x:c>
      <x:c r="T367" s="460" t="n">
        <x:f>IF(Q367&gt;0,Q367-E367,"")</x:f>
        <x:v>30000</x:v>
      </x:c>
      <x:c r="U367" s="23" t="n">
        <x:f>IF(R367&lt;30000,N367,0)</x:f>
        <x:v>0</x:v>
      </x:c>
      <x:c r="V367" s="23" t="n">
        <x:f>IF(P367&gt;0,N367,0)</x:f>
        <x:v>0</x:v>
      </x:c>
      <x:c r="W367" s="23" t="n">
        <x:f>IF(AND(P367&gt;0,S367&lt;0),N367,0)</x:f>
        <x:v>0</x:v>
      </x:c>
      <x:c r="X367" s="23" t="n">
        <x:f>IF(AND(P367&gt;0,S367=0),N367,0)</x:f>
        <x:v>0</x:v>
      </x:c>
      <x:c r="Y367" s="23" t="n">
        <x:f>IF(Q367&gt;0,N367,0)</x:f>
        <x:v>0</x:v>
      </x:c>
      <x:c r="Z367" s="460" t="n">
        <x:f>IF(P367&gt;0,N367*S367,0)</x:f>
        <x:v>0</x:v>
      </x:c>
      <x:c r="AA367" s="460" t="n">
        <x:f>IF(Q367&gt;0,N367*T367,0)</x:f>
        <x:v>0</x:v>
      </x:c>
      <x:c r="AB367" s="460" t="n">
        <x:f>N367*R367</x:f>
        <x:v>0</x:v>
      </x:c>
      <x:c r="AC367" s="460" t="n">
        <x:f>IF(N367&gt;0,R367,999999)</x:f>
        <x:v>999999</x:v>
      </x:c>
      <x:c r="AD367" s="460" t="n">
        <x:f>IF(AND(N367&gt;0,P367&gt;0),S367,999999)</x:f>
        <x:v>999999</x:v>
      </x:c>
      <x:c r="AE367" s="460" t="n">
        <x:f>IF(AND(N367&gt;0,Q367&gt;0),T367,999999)</x:f>
        <x:v>999999</x:v>
      </x:c>
      <x:c r="AF367" s="23" t="n">
        <x:f>B367*D367*F367*J367</x:f>
        <x:v>0.00042</x:v>
      </x:c>
      <x:c r="AG367" s="23" t="n">
        <x:f>IF(P367&gt;0,AF367,0)</x:f>
        <x:v>0.00042</x:v>
      </x:c>
      <x:c r="AH367" s="23" t="n">
        <x:f>IF(AND(P367&gt;0,S367&lt;0),AF367,0)</x:f>
        <x:v>0</x:v>
      </x:c>
      <x:c r="AI367" s="23" t="n">
        <x:f>IF(AND(P367&gt;0,S367=0),AF367,0)</x:f>
        <x:v>0</x:v>
      </x:c>
      <x:c r="AJ367" s="23" t="n">
        <x:f>IF(R367&lt;30000,AF367,0)</x:f>
        <x:v>0</x:v>
      </x:c>
      <x:c r="AK367" s="460" t="n">
        <x:f>IF(P367&gt;0,AF367*S367,0)</x:f>
        <x:v>4.2</x:v>
      </x:c>
    </x:row>
    <x:row r="368" ht="22" customHeight="1">
      <x:c r="A368" s="643" t="str">
        <x:v>中心</x:v>
      </x:c>
      <x:c r="B368" s="648" t="n">
        <x:f>'114_降本系数'!B27</x:f>
        <x:v>0.5</x:v>
      </x:c>
      <x:c r="C368" s="643" t="str">
        <x:v>L3</x:v>
      </x:c>
      <x:c r="D368" s="648" t="n">
        <x:f>'130_联合算法'!C20</x:f>
        <x:v>0.1</x:v>
      </x:c>
      <x:c r="E368" s="647" t="n">
        <x:f>'117_价格概率传导'!A8</x:f>
        <x:v>249900</x:v>
      </x:c>
      <x:c r="F368" s="648" t="n">
        <x:f>'117_价格概率传导'!D8</x:f>
        <x:v>0.42</x:v>
      </x:c>
      <x:c r="G368" s="648" t="n">
        <x:f>SUM('117_价格概率传导'!$D$6:$D$7)</x:f>
        <x:v>0.08</x:v>
      </x:c>
      <x:c r="H368" s="648" t="n">
        <x:f>SUM('117_价格概率传导'!$D$6:$D$8)</x:f>
        <x:v>0.5</x:v>
      </x:c>
      <x:c r="I368" s="647" t="n">
        <x:f>'117_价格概率传导'!A17</x:f>
        <x:v>293900</x:v>
      </x:c>
      <x:c r="J368" s="648" t="n">
        <x:f>'117_价格概率传导'!D17</x:f>
        <x:v>0.03</x:v>
      </x:c>
      <x:c r="K368" s="648" t="n">
        <x:f>SUM('117_价格概率传导'!$D$16:$D$16)</x:f>
        <x:v>0.02</x:v>
      </x:c>
      <x:c r="L368" s="648" t="n">
        <x:f>SUM('117_价格概率传导'!$D$16:$D$17)</x:f>
        <x:v>0.05</x:v>
      </x:c>
      <x:c r="M368" s="648" t="n">
        <x:f>MAX(0,MIN(H368,L368)-MAX(G368,K368))</x:f>
        <x:v>0</x:v>
      </x:c>
      <x:c r="N368" s="648" t="n">
        <x:f>B368*D368*M368</x:f>
        <x:v>0</x:v>
      </x:c>
      <x:c r="O368" s="647" t="n">
        <x:f>MIN(299900,I368+20000)</x:f>
        <x:v>299900</x:v>
      </x:c>
      <x:c r="P368" s="647" t="n">
        <x:f>O368-40000</x:f>
        <x:v>259900</x:v>
      </x:c>
      <x:c r="Q368" s="647" t="n">
        <x:f>O368-20000</x:f>
        <x:v>279900</x:v>
      </x:c>
      <x:c r="R368" s="647" t="n">
        <x:f>O368-E368</x:f>
        <x:v>50000</x:v>
      </x:c>
      <x:c r="S368" s="647" t="n">
        <x:f>IF(P368&gt;0,P368-E368,"")</x:f>
        <x:v>10000</x:v>
      </x:c>
      <x:c r="T368" s="647" t="n">
        <x:f>IF(Q368&gt;0,Q368-E368,"")</x:f>
        <x:v>30000</x:v>
      </x:c>
      <x:c r="U368" s="648" t="n">
        <x:f>IF(R368&lt;30000,N368,0)</x:f>
        <x:v>0</x:v>
      </x:c>
      <x:c r="V368" s="648" t="n">
        <x:f>IF(P368&gt;0,N368,0)</x:f>
        <x:v>0</x:v>
      </x:c>
      <x:c r="W368" s="648" t="n">
        <x:f>IF(AND(P368&gt;0,S368&lt;0),N368,0)</x:f>
        <x:v>0</x:v>
      </x:c>
      <x:c r="X368" s="648" t="n">
        <x:f>IF(AND(P368&gt;0,S368=0),N368,0)</x:f>
        <x:v>0</x:v>
      </x:c>
      <x:c r="Y368" s="648" t="n">
        <x:f>IF(Q368&gt;0,N368,0)</x:f>
        <x:v>0</x:v>
      </x:c>
      <x:c r="Z368" s="647" t="n">
        <x:f>IF(P368&gt;0,N368*S368,0)</x:f>
        <x:v>0</x:v>
      </x:c>
      <x:c r="AA368" s="647" t="n">
        <x:f>IF(Q368&gt;0,N368*T368,0)</x:f>
        <x:v>0</x:v>
      </x:c>
      <x:c r="AB368" s="647" t="n">
        <x:f>N368*R368</x:f>
        <x:v>0</x:v>
      </x:c>
      <x:c r="AC368" s="647" t="n">
        <x:f>IF(N368&gt;0,R368,999999)</x:f>
        <x:v>999999</x:v>
      </x:c>
      <x:c r="AD368" s="647" t="n">
        <x:f>IF(AND(N368&gt;0,P368&gt;0),S368,999999)</x:f>
        <x:v>999999</x:v>
      </x:c>
      <x:c r="AE368" s="647" t="n">
        <x:f>IF(AND(N368&gt;0,Q368&gt;0),T368,999999)</x:f>
        <x:v>999999</x:v>
      </x:c>
      <x:c r="AF368" s="648" t="n">
        <x:f>B368*D368*F368*J368</x:f>
        <x:v>0.00063</x:v>
      </x:c>
      <x:c r="AG368" s="648" t="n">
        <x:f>IF(P368&gt;0,AF368,0)</x:f>
        <x:v>0.00063</x:v>
      </x:c>
      <x:c r="AH368" s="648" t="n">
        <x:f>IF(AND(P368&gt;0,S368&lt;0),AF368,0)</x:f>
        <x:v>0</x:v>
      </x:c>
      <x:c r="AI368" s="648" t="n">
        <x:f>IF(AND(P368&gt;0,S368=0),AF368,0)</x:f>
        <x:v>0</x:v>
      </x:c>
      <x:c r="AJ368" s="648" t="n">
        <x:f>IF(R368&lt;30000,AF368,0)</x:f>
        <x:v>0</x:v>
      </x:c>
      <x:c r="AK368" s="647" t="n">
        <x:f>IF(P368&gt;0,AF368*S368,0)</x:f>
        <x:v>6.3</x:v>
      </x:c>
    </x:row>
    <x:row r="369" ht="22" customHeight="1">
      <x:c r="A369" s="19" t="str">
        <x:v>中心</x:v>
      </x:c>
      <x:c r="B369" s="23" t="n">
        <x:f>'114_降本系数'!B27</x:f>
        <x:v>0.5</x:v>
      </x:c>
      <x:c r="C369" s="19" t="str">
        <x:v>L3</x:v>
      </x:c>
      <x:c r="D369" s="23" t="n">
        <x:f>'130_联合算法'!C20</x:f>
        <x:v>0.1</x:v>
      </x:c>
      <x:c r="E369" s="460" t="n">
        <x:f>'117_价格概率传导'!A8</x:f>
        <x:v>249900</x:v>
      </x:c>
      <x:c r="F369" s="23" t="n">
        <x:f>'117_价格概率传导'!D8</x:f>
        <x:v>0.42</x:v>
      </x:c>
      <x:c r="G369" s="23" t="n">
        <x:f>SUM('117_价格概率传导'!$D$6:$D$7)</x:f>
        <x:v>0.08</x:v>
      </x:c>
      <x:c r="H369" s="23" t="n">
        <x:f>SUM('117_价格概率传导'!$D$6:$D$8)</x:f>
        <x:v>0.5</x:v>
      </x:c>
      <x:c r="I369" s="460" t="n">
        <x:f>'117_价格概率传导'!A18</x:f>
        <x:v>289900</x:v>
      </x:c>
      <x:c r="J369" s="23" t="n">
        <x:f>'117_价格概率传导'!D18</x:f>
        <x:v>0.22</x:v>
      </x:c>
      <x:c r="K369" s="23" t="n">
        <x:f>SUM('117_价格概率传导'!$D$16:$D$17)</x:f>
        <x:v>0.05</x:v>
      </x:c>
      <x:c r="L369" s="23" t="n">
        <x:f>SUM('117_价格概率传导'!$D$16:$D$18)</x:f>
        <x:v>0.27</x:v>
      </x:c>
      <x:c r="M369" s="23" t="n">
        <x:f>MAX(0,MIN(H369,L369)-MAX(G369,K369))</x:f>
        <x:v>0.19</x:v>
      </x:c>
      <x:c r="N369" s="23" t="n">
        <x:f>B369*D369*M369</x:f>
        <x:v>0.009500000000000001</x:v>
      </x:c>
      <x:c r="O369" s="460" t="n">
        <x:f>MIN(299900,I369+20000)</x:f>
        <x:v>299900</x:v>
      </x:c>
      <x:c r="P369" s="460" t="n">
        <x:f>O369-40000</x:f>
        <x:v>259900</x:v>
      </x:c>
      <x:c r="Q369" s="460" t="n">
        <x:f>O369-20000</x:f>
        <x:v>279900</x:v>
      </x:c>
      <x:c r="R369" s="460" t="n">
        <x:f>O369-E369</x:f>
        <x:v>50000</x:v>
      </x:c>
      <x:c r="S369" s="460" t="n">
        <x:f>IF(P369&gt;0,P369-E369,"")</x:f>
        <x:v>10000</x:v>
      </x:c>
      <x:c r="T369" s="460" t="n">
        <x:f>IF(Q369&gt;0,Q369-E369,"")</x:f>
        <x:v>30000</x:v>
      </x:c>
      <x:c r="U369" s="23" t="n">
        <x:f>IF(R369&lt;30000,N369,0)</x:f>
        <x:v>0</x:v>
      </x:c>
      <x:c r="V369" s="23" t="n">
        <x:f>IF(P369&gt;0,N369,0)</x:f>
        <x:v>0.009500000000000001</x:v>
      </x:c>
      <x:c r="W369" s="23" t="n">
        <x:f>IF(AND(P369&gt;0,S369&lt;0),N369,0)</x:f>
        <x:v>0</x:v>
      </x:c>
      <x:c r="X369" s="23" t="n">
        <x:f>IF(AND(P369&gt;0,S369=0),N369,0)</x:f>
        <x:v>0</x:v>
      </x:c>
      <x:c r="Y369" s="23" t="n">
        <x:f>IF(Q369&gt;0,N369,0)</x:f>
        <x:v>0.009500000000000001</x:v>
      </x:c>
      <x:c r="Z369" s="460" t="n">
        <x:f>IF(P369&gt;0,N369*S369,0)</x:f>
        <x:v>95.00000000000001</x:v>
      </x:c>
      <x:c r="AA369" s="460" t="n">
        <x:f>IF(Q369&gt;0,N369*T369,0)</x:f>
        <x:v>285.00000000000006</x:v>
      </x:c>
      <x:c r="AB369" s="460" t="n">
        <x:f>N369*R369</x:f>
        <x:v>475.00000000000006</x:v>
      </x:c>
      <x:c r="AC369" s="460" t="n">
        <x:f>IF(N369&gt;0,R369,999999)</x:f>
        <x:v>50000</x:v>
      </x:c>
      <x:c r="AD369" s="460" t="n">
        <x:f>IF(AND(N369&gt;0,P369&gt;0),S369,999999)</x:f>
        <x:v>10000</x:v>
      </x:c>
      <x:c r="AE369" s="460" t="n">
        <x:f>IF(AND(N369&gt;0,Q369&gt;0),T369,999999)</x:f>
        <x:v>30000</x:v>
      </x:c>
      <x:c r="AF369" s="23" t="n">
        <x:f>B369*D369*F369*J369</x:f>
        <x:v>0.00462</x:v>
      </x:c>
      <x:c r="AG369" s="23" t="n">
        <x:f>IF(P369&gt;0,AF369,0)</x:f>
        <x:v>0.00462</x:v>
      </x:c>
      <x:c r="AH369" s="23" t="n">
        <x:f>IF(AND(P369&gt;0,S369&lt;0),AF369,0)</x:f>
        <x:v>0</x:v>
      </x:c>
      <x:c r="AI369" s="23" t="n">
        <x:f>IF(AND(P369&gt;0,S369=0),AF369,0)</x:f>
        <x:v>0</x:v>
      </x:c>
      <x:c r="AJ369" s="23" t="n">
        <x:f>IF(R369&lt;30000,AF369,0)</x:f>
        <x:v>0</x:v>
      </x:c>
      <x:c r="AK369" s="460" t="n">
        <x:f>IF(P369&gt;0,AF369*S369,0)</x:f>
        <x:v>46.2</x:v>
      </x:c>
    </x:row>
    <x:row r="370" ht="22" customHeight="1">
      <x:c r="A370" s="643" t="str">
        <x:v>中心</x:v>
      </x:c>
      <x:c r="B370" s="648" t="n">
        <x:f>'114_降本系数'!B27</x:f>
        <x:v>0.5</x:v>
      </x:c>
      <x:c r="C370" s="643" t="str">
        <x:v>L3</x:v>
      </x:c>
      <x:c r="D370" s="648" t="n">
        <x:f>'130_联合算法'!C20</x:f>
        <x:v>0.1</x:v>
      </x:c>
      <x:c r="E370" s="647" t="n">
        <x:f>'117_价格概率传导'!A8</x:f>
        <x:v>249900</x:v>
      </x:c>
      <x:c r="F370" s="648" t="n">
        <x:f>'117_价格概率传导'!D8</x:f>
        <x:v>0.42</x:v>
      </x:c>
      <x:c r="G370" s="648" t="n">
        <x:f>SUM('117_价格概率传导'!$D$6:$D$7)</x:f>
        <x:v>0.08</x:v>
      </x:c>
      <x:c r="H370" s="648" t="n">
        <x:f>SUM('117_价格概率传导'!$D$6:$D$8)</x:f>
        <x:v>0.5</x:v>
      </x:c>
      <x:c r="I370" s="647" t="n">
        <x:f>'117_价格概率传导'!A19</x:f>
        <x:v>279900</x:v>
      </x:c>
      <x:c r="J370" s="648" t="n">
        <x:f>'117_价格概率传导'!D19</x:f>
        <x:v>0.44</x:v>
      </x:c>
      <x:c r="K370" s="648" t="n">
        <x:f>SUM('117_价格概率传导'!$D$16:$D$18)</x:f>
        <x:v>0.27</x:v>
      </x:c>
      <x:c r="L370" s="648" t="n">
        <x:f>SUM('117_价格概率传导'!$D$16:$D$19)</x:f>
        <x:v>0.71</x:v>
      </x:c>
      <x:c r="M370" s="648" t="n">
        <x:f>MAX(0,MIN(H370,L370)-MAX(G370,K370))</x:f>
        <x:v>0.22999999999999998</x:v>
      </x:c>
      <x:c r="N370" s="648" t="n">
        <x:f>B370*D370*M370</x:f>
        <x:v>0.0115</x:v>
      </x:c>
      <x:c r="O370" s="647" t="n">
        <x:f>MIN(299900,I370+20000)</x:f>
        <x:v>299900</x:v>
      </x:c>
      <x:c r="P370" s="647" t="n">
        <x:f>O370-40000</x:f>
        <x:v>259900</x:v>
      </x:c>
      <x:c r="Q370" s="647" t="n">
        <x:f>O370-20000</x:f>
        <x:v>279900</x:v>
      </x:c>
      <x:c r="R370" s="647" t="n">
        <x:f>O370-E370</x:f>
        <x:v>50000</x:v>
      </x:c>
      <x:c r="S370" s="647" t="n">
        <x:f>IF(P370&gt;0,P370-E370,"")</x:f>
        <x:v>10000</x:v>
      </x:c>
      <x:c r="T370" s="647" t="n">
        <x:f>IF(Q370&gt;0,Q370-E370,"")</x:f>
        <x:v>30000</x:v>
      </x:c>
      <x:c r="U370" s="648" t="n">
        <x:f>IF(R370&lt;30000,N370,0)</x:f>
        <x:v>0</x:v>
      </x:c>
      <x:c r="V370" s="648" t="n">
        <x:f>IF(P370&gt;0,N370,0)</x:f>
        <x:v>0.0115</x:v>
      </x:c>
      <x:c r="W370" s="648" t="n">
        <x:f>IF(AND(P370&gt;0,S370&lt;0),N370,0)</x:f>
        <x:v>0</x:v>
      </x:c>
      <x:c r="X370" s="648" t="n">
        <x:f>IF(AND(P370&gt;0,S370=0),N370,0)</x:f>
        <x:v>0</x:v>
      </x:c>
      <x:c r="Y370" s="648" t="n">
        <x:f>IF(Q370&gt;0,N370,0)</x:f>
        <x:v>0.0115</x:v>
      </x:c>
      <x:c r="Z370" s="647" t="n">
        <x:f>IF(P370&gt;0,N370*S370,0)</x:f>
        <x:v>115</x:v>
      </x:c>
      <x:c r="AA370" s="647" t="n">
        <x:f>IF(Q370&gt;0,N370*T370,0)</x:f>
        <x:v>345</x:v>
      </x:c>
      <x:c r="AB370" s="647" t="n">
        <x:f>N370*R370</x:f>
        <x:v>575</x:v>
      </x:c>
      <x:c r="AC370" s="647" t="n">
        <x:f>IF(N370&gt;0,R370,999999)</x:f>
        <x:v>50000</x:v>
      </x:c>
      <x:c r="AD370" s="647" t="n">
        <x:f>IF(AND(N370&gt;0,P370&gt;0),S370,999999)</x:f>
        <x:v>10000</x:v>
      </x:c>
      <x:c r="AE370" s="647" t="n">
        <x:f>IF(AND(N370&gt;0,Q370&gt;0),T370,999999)</x:f>
        <x:v>30000</x:v>
      </x:c>
      <x:c r="AF370" s="648" t="n">
        <x:f>B370*D370*F370*J370</x:f>
        <x:v>0.00924</x:v>
      </x:c>
      <x:c r="AG370" s="648" t="n">
        <x:f>IF(P370&gt;0,AF370,0)</x:f>
        <x:v>0.00924</x:v>
      </x:c>
      <x:c r="AH370" s="648" t="n">
        <x:f>IF(AND(P370&gt;0,S370&lt;0),AF370,0)</x:f>
        <x:v>0</x:v>
      </x:c>
      <x:c r="AI370" s="648" t="n">
        <x:f>IF(AND(P370&gt;0,S370=0),AF370,0)</x:f>
        <x:v>0</x:v>
      </x:c>
      <x:c r="AJ370" s="648" t="n">
        <x:f>IF(R370&lt;30000,AF370,0)</x:f>
        <x:v>0</x:v>
      </x:c>
      <x:c r="AK370" s="647" t="n">
        <x:f>IF(P370&gt;0,AF370*S370,0)</x:f>
        <x:v>92.4</x:v>
      </x:c>
    </x:row>
    <x:row r="371" ht="22" customHeight="1">
      <x:c r="A371" s="19" t="str">
        <x:v>中心</x:v>
      </x:c>
      <x:c r="B371" s="23" t="n">
        <x:f>'114_降本系数'!B27</x:f>
        <x:v>0.5</x:v>
      </x:c>
      <x:c r="C371" s="19" t="str">
        <x:v>L3</x:v>
      </x:c>
      <x:c r="D371" s="23" t="n">
        <x:f>'130_联合算法'!C20</x:f>
        <x:v>0.1</x:v>
      </x:c>
      <x:c r="E371" s="460" t="n">
        <x:f>'117_价格概率传导'!A8</x:f>
        <x:v>249900</x:v>
      </x:c>
      <x:c r="F371" s="23" t="n">
        <x:f>'117_价格概率传导'!D8</x:f>
        <x:v>0.42</x:v>
      </x:c>
      <x:c r="G371" s="23" t="n">
        <x:f>SUM('117_价格概率传导'!$D$6:$D$7)</x:f>
        <x:v>0.08</x:v>
      </x:c>
      <x:c r="H371" s="23" t="n">
        <x:f>SUM('117_价格概率传导'!$D$6:$D$8)</x:f>
        <x:v>0.5</x:v>
      </x:c>
      <x:c r="I371" s="460" t="n">
        <x:f>'117_价格概率传导'!A20</x:f>
        <x:v>269900</x:v>
      </x:c>
      <x:c r="J371" s="23" t="n">
        <x:f>'117_价格概率传导'!D20</x:f>
        <x:v>0.23</x:v>
      </x:c>
      <x:c r="K371" s="23" t="n">
        <x:f>SUM('117_价格概率传导'!$D$16:$D$19)</x:f>
        <x:v>0.71</x:v>
      </x:c>
      <x:c r="L371" s="23" t="n">
        <x:f>SUM('117_价格概率传导'!$D$16:$D$20)</x:f>
        <x:v>0.94</x:v>
      </x:c>
      <x:c r="M371" s="23" t="n">
        <x:f>MAX(0,MIN(H371,L371)-MAX(G371,K371))</x:f>
        <x:v>0</x:v>
      </x:c>
      <x:c r="N371" s="23" t="n">
        <x:f>B371*D371*M371</x:f>
        <x:v>0</x:v>
      </x:c>
      <x:c r="O371" s="460" t="n">
        <x:f>MIN(299900,I371+20000)</x:f>
        <x:v>289900</x:v>
      </x:c>
      <x:c r="P371" s="460" t="n">
        <x:f>O371-40000</x:f>
        <x:v>249900</x:v>
      </x:c>
      <x:c r="Q371" s="460" t="n">
        <x:f>O371-20000</x:f>
        <x:v>269900</x:v>
      </x:c>
      <x:c r="R371" s="460" t="n">
        <x:f>O371-E371</x:f>
        <x:v>40000</x:v>
      </x:c>
      <x:c r="S371" s="460" t="n">
        <x:f>IF(P371&gt;0,P371-E371,"")</x:f>
        <x:v>0</x:v>
      </x:c>
      <x:c r="T371" s="460" t="n">
        <x:f>IF(Q371&gt;0,Q371-E371,"")</x:f>
        <x:v>20000</x:v>
      </x:c>
      <x:c r="U371" s="23" t="n">
        <x:f>IF(R371&lt;30000,N371,0)</x:f>
        <x:v>0</x:v>
      </x:c>
      <x:c r="V371" s="23" t="n">
        <x:f>IF(P371&gt;0,N371,0)</x:f>
        <x:v>0</x:v>
      </x:c>
      <x:c r="W371" s="23" t="n">
        <x:f>IF(AND(P371&gt;0,S371&lt;0),N371,0)</x:f>
        <x:v>0</x:v>
      </x:c>
      <x:c r="X371" s="23" t="n">
        <x:f>IF(AND(P371&gt;0,S371=0),N371,0)</x:f>
        <x:v>0</x:v>
      </x:c>
      <x:c r="Y371" s="23" t="n">
        <x:f>IF(Q371&gt;0,N371,0)</x:f>
        <x:v>0</x:v>
      </x:c>
      <x:c r="Z371" s="460" t="n">
        <x:f>IF(P371&gt;0,N371*S371,0)</x:f>
        <x:v>0</x:v>
      </x:c>
      <x:c r="AA371" s="460" t="n">
        <x:f>IF(Q371&gt;0,N371*T371,0)</x:f>
        <x:v>0</x:v>
      </x:c>
      <x:c r="AB371" s="460" t="n">
        <x:f>N371*R371</x:f>
        <x:v>0</x:v>
      </x:c>
      <x:c r="AC371" s="460" t="n">
        <x:f>IF(N371&gt;0,R371,999999)</x:f>
        <x:v>999999</x:v>
      </x:c>
      <x:c r="AD371" s="460" t="n">
        <x:f>IF(AND(N371&gt;0,P371&gt;0),S371,999999)</x:f>
        <x:v>999999</x:v>
      </x:c>
      <x:c r="AE371" s="460" t="n">
        <x:f>IF(AND(N371&gt;0,Q371&gt;0),T371,999999)</x:f>
        <x:v>999999</x:v>
      </x:c>
      <x:c r="AF371" s="23" t="n">
        <x:f>B371*D371*F371*J371</x:f>
        <x:v>0.00483</x:v>
      </x:c>
      <x:c r="AG371" s="23" t="n">
        <x:f>IF(P371&gt;0,AF371,0)</x:f>
        <x:v>0.00483</x:v>
      </x:c>
      <x:c r="AH371" s="23" t="n">
        <x:f>IF(AND(P371&gt;0,S371&lt;0),AF371,0)</x:f>
        <x:v>0</x:v>
      </x:c>
      <x:c r="AI371" s="23" t="n">
        <x:f>IF(AND(P371&gt;0,S371=0),AF371,0)</x:f>
        <x:v>0.00483</x:v>
      </x:c>
      <x:c r="AJ371" s="23" t="n">
        <x:f>IF(R371&lt;30000,AF371,0)</x:f>
        <x:v>0</x:v>
      </x:c>
      <x:c r="AK371" s="460" t="n">
        <x:f>IF(P371&gt;0,AF371*S371,0)</x:f>
        <x:v>0</x:v>
      </x:c>
    </x:row>
    <x:row r="372" ht="22" customHeight="1">
      <x:c r="A372" s="643" t="str">
        <x:v>中心</x:v>
      </x:c>
      <x:c r="B372" s="648" t="n">
        <x:f>'114_降本系数'!B27</x:f>
        <x:v>0.5</x:v>
      </x:c>
      <x:c r="C372" s="643" t="str">
        <x:v>L3</x:v>
      </x:c>
      <x:c r="D372" s="648" t="n">
        <x:f>'130_联合算法'!C20</x:f>
        <x:v>0.1</x:v>
      </x:c>
      <x:c r="E372" s="647" t="n">
        <x:f>'117_价格概率传导'!A8</x:f>
        <x:v>249900</x:v>
      </x:c>
      <x:c r="F372" s="648" t="n">
        <x:f>'117_价格概率传导'!D8</x:f>
        <x:v>0.42</x:v>
      </x:c>
      <x:c r="G372" s="648" t="n">
        <x:f>SUM('117_价格概率传导'!$D$6:$D$7)</x:f>
        <x:v>0.08</x:v>
      </x:c>
      <x:c r="H372" s="648" t="n">
        <x:f>SUM('117_价格概率传导'!$D$6:$D$8)</x:f>
        <x:v>0.5</x:v>
      </x:c>
      <x:c r="I372" s="647" t="n">
        <x:f>'117_价格概率传导'!A21</x:f>
        <x:v>259900</x:v>
      </x:c>
      <x:c r="J372" s="648" t="n">
        <x:f>'117_价格概率传导'!D21</x:f>
        <x:v>0.06</x:v>
      </x:c>
      <x:c r="K372" s="648" t="n">
        <x:f>SUM('117_价格概率传导'!$D$16:$D$20)</x:f>
        <x:v>0.94</x:v>
      </x:c>
      <x:c r="L372" s="648" t="n">
        <x:f>SUM('117_价格概率传导'!$D$16:$D$21)</x:f>
        <x:v>1</x:v>
      </x:c>
      <x:c r="M372" s="648" t="n">
        <x:f>MAX(0,MIN(H372,L372)-MAX(G372,K372))</x:f>
        <x:v>0</x:v>
      </x:c>
      <x:c r="N372" s="648" t="n">
        <x:f>B372*D372*M372</x:f>
        <x:v>0</x:v>
      </x:c>
      <x:c r="O372" s="647" t="n">
        <x:f>MIN(299900,I372+20000)</x:f>
        <x:v>279900</x:v>
      </x:c>
      <x:c r="P372" s="647" t="n">
        <x:f>O372-40000</x:f>
        <x:v>239900</x:v>
      </x:c>
      <x:c r="Q372" s="647" t="n">
        <x:f>O372-20000</x:f>
        <x:v>259900</x:v>
      </x:c>
      <x:c r="R372" s="647" t="n">
        <x:f>O372-E372</x:f>
        <x:v>30000</x:v>
      </x:c>
      <x:c r="S372" s="647" t="n">
        <x:f>IF(P372&gt;0,P372-E372,"")</x:f>
        <x:v>-10000</x:v>
      </x:c>
      <x:c r="T372" s="647" t="n">
        <x:f>IF(Q372&gt;0,Q372-E372,"")</x:f>
        <x:v>10000</x:v>
      </x:c>
      <x:c r="U372" s="648" t="n">
        <x:f>IF(R372&lt;30000,N372,0)</x:f>
        <x:v>0</x:v>
      </x:c>
      <x:c r="V372" s="648" t="n">
        <x:f>IF(P372&gt;0,N372,0)</x:f>
        <x:v>0</x:v>
      </x:c>
      <x:c r="W372" s="648" t="n">
        <x:f>IF(AND(P372&gt;0,S372&lt;0),N372,0)</x:f>
        <x:v>0</x:v>
      </x:c>
      <x:c r="X372" s="648" t="n">
        <x:f>IF(AND(P372&gt;0,S372=0),N372,0)</x:f>
        <x:v>0</x:v>
      </x:c>
      <x:c r="Y372" s="648" t="n">
        <x:f>IF(Q372&gt;0,N372,0)</x:f>
        <x:v>0</x:v>
      </x:c>
      <x:c r="Z372" s="647" t="n">
        <x:f>IF(P372&gt;0,N372*S372,0)</x:f>
        <x:v>0</x:v>
      </x:c>
      <x:c r="AA372" s="647" t="n">
        <x:f>IF(Q372&gt;0,N372*T372,0)</x:f>
        <x:v>0</x:v>
      </x:c>
      <x:c r="AB372" s="647" t="n">
        <x:f>N372*R372</x:f>
        <x:v>0</x:v>
      </x:c>
      <x:c r="AC372" s="647" t="n">
        <x:f>IF(N372&gt;0,R372,999999)</x:f>
        <x:v>999999</x:v>
      </x:c>
      <x:c r="AD372" s="647" t="n">
        <x:f>IF(AND(N372&gt;0,P372&gt;0),S372,999999)</x:f>
        <x:v>999999</x:v>
      </x:c>
      <x:c r="AE372" s="647" t="n">
        <x:f>IF(AND(N372&gt;0,Q372&gt;0),T372,999999)</x:f>
        <x:v>999999</x:v>
      </x:c>
      <x:c r="AF372" s="648" t="n">
        <x:f>B372*D372*F372*J372</x:f>
        <x:v>0.00126</x:v>
      </x:c>
      <x:c r="AG372" s="648" t="n">
        <x:f>IF(P372&gt;0,AF372,0)</x:f>
        <x:v>0.00126</x:v>
      </x:c>
      <x:c r="AH372" s="648" t="n">
        <x:f>IF(AND(P372&gt;0,S372&lt;0),AF372,0)</x:f>
        <x:v>0.00126</x:v>
      </x:c>
      <x:c r="AI372" s="648" t="n">
        <x:f>IF(AND(P372&gt;0,S372=0),AF372,0)</x:f>
        <x:v>0</x:v>
      </x:c>
      <x:c r="AJ372" s="648" t="n">
        <x:f>IF(R372&lt;30000,AF372,0)</x:f>
        <x:v>0</x:v>
      </x:c>
      <x:c r="AK372" s="647" t="n">
        <x:f>IF(P372&gt;0,AF372*S372,0)</x:f>
        <x:v>-12.6</x:v>
      </x:c>
    </x:row>
    <x:row r="373" ht="22" customHeight="1">
      <x:c r="A373" s="19" t="str">
        <x:v>中心</x:v>
      </x:c>
      <x:c r="B373" s="23" t="n">
        <x:f>'114_降本系数'!B27</x:f>
        <x:v>0.5</x:v>
      </x:c>
      <x:c r="C373" s="19" t="str">
        <x:v>L3</x:v>
      </x:c>
      <x:c r="D373" s="23" t="n">
        <x:f>'130_联合算法'!C20</x:f>
        <x:v>0.1</x:v>
      </x:c>
      <x:c r="E373" s="460" t="n">
        <x:f>'117_价格概率传导'!A9</x:f>
        <x:v>239900</x:v>
      </x:c>
      <x:c r="F373" s="23" t="n">
        <x:f>'117_价格概率传导'!D9</x:f>
        <x:v>0.34</x:v>
      </x:c>
      <x:c r="G373" s="23" t="n">
        <x:f>SUM('117_价格概率传导'!$D$6:$D$8)</x:f>
        <x:v>0.5</x:v>
      </x:c>
      <x:c r="H373" s="23" t="n">
        <x:f>SUM('117_价格概率传导'!$D$6:$D$9)</x:f>
        <x:v>0.8400000000000001</x:v>
      </x:c>
      <x:c r="I373" s="460" t="n">
        <x:f>'117_价格概率传导'!A16</x:f>
        <x:v>299900</x:v>
      </x:c>
      <x:c r="J373" s="23" t="n">
        <x:f>'117_价格概率传导'!D16</x:f>
        <x:v>0.02</x:v>
      </x:c>
      <x:c r="K373" s="23" t="n">
        <x:f>0</x:f>
        <x:v>0</x:v>
      </x:c>
      <x:c r="L373" s="23" t="n">
        <x:f>SUM('117_价格概率传导'!$D$16:$D$16)</x:f>
        <x:v>0.02</x:v>
      </x:c>
      <x:c r="M373" s="23" t="n">
        <x:f>MAX(0,MIN(H373,L373)-MAX(G373,K373))</x:f>
        <x:v>0</x:v>
      </x:c>
      <x:c r="N373" s="23" t="n">
        <x:f>B373*D373*M373</x:f>
        <x:v>0</x:v>
      </x:c>
      <x:c r="O373" s="460" t="n">
        <x:f>MIN(299900,I373+20000)</x:f>
        <x:v>299900</x:v>
      </x:c>
      <x:c r="P373" s="460" t="n">
        <x:f>O373-40000</x:f>
        <x:v>259900</x:v>
      </x:c>
      <x:c r="Q373" s="460" t="n">
        <x:f>O373-20000</x:f>
        <x:v>279900</x:v>
      </x:c>
      <x:c r="R373" s="460" t="n">
        <x:f>O373-E373</x:f>
        <x:v>60000</x:v>
      </x:c>
      <x:c r="S373" s="460" t="n">
        <x:f>IF(P373&gt;0,P373-E373,"")</x:f>
        <x:v>20000</x:v>
      </x:c>
      <x:c r="T373" s="460" t="n">
        <x:f>IF(Q373&gt;0,Q373-E373,"")</x:f>
        <x:v>40000</x:v>
      </x:c>
      <x:c r="U373" s="23" t="n">
        <x:f>IF(R373&lt;30000,N373,0)</x:f>
        <x:v>0</x:v>
      </x:c>
      <x:c r="V373" s="23" t="n">
        <x:f>IF(P373&gt;0,N373,0)</x:f>
        <x:v>0</x:v>
      </x:c>
      <x:c r="W373" s="23" t="n">
        <x:f>IF(AND(P373&gt;0,S373&lt;0),N373,0)</x:f>
        <x:v>0</x:v>
      </x:c>
      <x:c r="X373" s="23" t="n">
        <x:f>IF(AND(P373&gt;0,S373=0),N373,0)</x:f>
        <x:v>0</x:v>
      </x:c>
      <x:c r="Y373" s="23" t="n">
        <x:f>IF(Q373&gt;0,N373,0)</x:f>
        <x:v>0</x:v>
      </x:c>
      <x:c r="Z373" s="460" t="n">
        <x:f>IF(P373&gt;0,N373*S373,0)</x:f>
        <x:v>0</x:v>
      </x:c>
      <x:c r="AA373" s="460" t="n">
        <x:f>IF(Q373&gt;0,N373*T373,0)</x:f>
        <x:v>0</x:v>
      </x:c>
      <x:c r="AB373" s="460" t="n">
        <x:f>N373*R373</x:f>
        <x:v>0</x:v>
      </x:c>
      <x:c r="AC373" s="460" t="n">
        <x:f>IF(N373&gt;0,R373,999999)</x:f>
        <x:v>999999</x:v>
      </x:c>
      <x:c r="AD373" s="460" t="n">
        <x:f>IF(AND(N373&gt;0,P373&gt;0),S373,999999)</x:f>
        <x:v>999999</x:v>
      </x:c>
      <x:c r="AE373" s="460" t="n">
        <x:f>IF(AND(N373&gt;0,Q373&gt;0),T373,999999)</x:f>
        <x:v>999999</x:v>
      </x:c>
      <x:c r="AF373" s="23" t="n">
        <x:f>B373*D373*F373*J373</x:f>
        <x:v>0.00034</x:v>
      </x:c>
      <x:c r="AG373" s="23" t="n">
        <x:f>IF(P373&gt;0,AF373,0)</x:f>
        <x:v>0.00034</x:v>
      </x:c>
      <x:c r="AH373" s="23" t="n">
        <x:f>IF(AND(P373&gt;0,S373&lt;0),AF373,0)</x:f>
        <x:v>0</x:v>
      </x:c>
      <x:c r="AI373" s="23" t="n">
        <x:f>IF(AND(P373&gt;0,S373=0),AF373,0)</x:f>
        <x:v>0</x:v>
      </x:c>
      <x:c r="AJ373" s="23" t="n">
        <x:f>IF(R373&lt;30000,AF373,0)</x:f>
        <x:v>0</x:v>
      </x:c>
      <x:c r="AK373" s="460" t="n">
        <x:f>IF(P373&gt;0,AF373*S373,0)</x:f>
        <x:v>6.800000000000001</x:v>
      </x:c>
    </x:row>
    <x:row r="374" ht="22" customHeight="1">
      <x:c r="A374" s="643" t="str">
        <x:v>中心</x:v>
      </x:c>
      <x:c r="B374" s="648" t="n">
        <x:f>'114_降本系数'!B27</x:f>
        <x:v>0.5</x:v>
      </x:c>
      <x:c r="C374" s="643" t="str">
        <x:v>L3</x:v>
      </x:c>
      <x:c r="D374" s="648" t="n">
        <x:f>'130_联合算法'!C20</x:f>
        <x:v>0.1</x:v>
      </x:c>
      <x:c r="E374" s="647" t="n">
        <x:f>'117_价格概率传导'!A9</x:f>
        <x:v>239900</x:v>
      </x:c>
      <x:c r="F374" s="648" t="n">
        <x:f>'117_价格概率传导'!D9</x:f>
        <x:v>0.34</x:v>
      </x:c>
      <x:c r="G374" s="648" t="n">
        <x:f>SUM('117_价格概率传导'!$D$6:$D$8)</x:f>
        <x:v>0.5</x:v>
      </x:c>
      <x:c r="H374" s="648" t="n">
        <x:f>SUM('117_价格概率传导'!$D$6:$D$9)</x:f>
        <x:v>0.8400000000000001</x:v>
      </x:c>
      <x:c r="I374" s="647" t="n">
        <x:f>'117_价格概率传导'!A17</x:f>
        <x:v>293900</x:v>
      </x:c>
      <x:c r="J374" s="648" t="n">
        <x:f>'117_价格概率传导'!D17</x:f>
        <x:v>0.03</x:v>
      </x:c>
      <x:c r="K374" s="648" t="n">
        <x:f>SUM('117_价格概率传导'!$D$16:$D$16)</x:f>
        <x:v>0.02</x:v>
      </x:c>
      <x:c r="L374" s="648" t="n">
        <x:f>SUM('117_价格概率传导'!$D$16:$D$17)</x:f>
        <x:v>0.05</x:v>
      </x:c>
      <x:c r="M374" s="648" t="n">
        <x:f>MAX(0,MIN(H374,L374)-MAX(G374,K374))</x:f>
        <x:v>0</x:v>
      </x:c>
      <x:c r="N374" s="648" t="n">
        <x:f>B374*D374*M374</x:f>
        <x:v>0</x:v>
      </x:c>
      <x:c r="O374" s="647" t="n">
        <x:f>MIN(299900,I374+20000)</x:f>
        <x:v>299900</x:v>
      </x:c>
      <x:c r="P374" s="647" t="n">
        <x:f>O374-40000</x:f>
        <x:v>259900</x:v>
      </x:c>
      <x:c r="Q374" s="647" t="n">
        <x:f>O374-20000</x:f>
        <x:v>279900</x:v>
      </x:c>
      <x:c r="R374" s="647" t="n">
        <x:f>O374-E374</x:f>
        <x:v>60000</x:v>
      </x:c>
      <x:c r="S374" s="647" t="n">
        <x:f>IF(P374&gt;0,P374-E374,"")</x:f>
        <x:v>20000</x:v>
      </x:c>
      <x:c r="T374" s="647" t="n">
        <x:f>IF(Q374&gt;0,Q374-E374,"")</x:f>
        <x:v>40000</x:v>
      </x:c>
      <x:c r="U374" s="648" t="n">
        <x:f>IF(R374&lt;30000,N374,0)</x:f>
        <x:v>0</x:v>
      </x:c>
      <x:c r="V374" s="648" t="n">
        <x:f>IF(P374&gt;0,N374,0)</x:f>
        <x:v>0</x:v>
      </x:c>
      <x:c r="W374" s="648" t="n">
        <x:f>IF(AND(P374&gt;0,S374&lt;0),N374,0)</x:f>
        <x:v>0</x:v>
      </x:c>
      <x:c r="X374" s="648" t="n">
        <x:f>IF(AND(P374&gt;0,S374=0),N374,0)</x:f>
        <x:v>0</x:v>
      </x:c>
      <x:c r="Y374" s="648" t="n">
        <x:f>IF(Q374&gt;0,N374,0)</x:f>
        <x:v>0</x:v>
      </x:c>
      <x:c r="Z374" s="647" t="n">
        <x:f>IF(P374&gt;0,N374*S374,0)</x:f>
        <x:v>0</x:v>
      </x:c>
      <x:c r="AA374" s="647" t="n">
        <x:f>IF(Q374&gt;0,N374*T374,0)</x:f>
        <x:v>0</x:v>
      </x:c>
      <x:c r="AB374" s="647" t="n">
        <x:f>N374*R374</x:f>
        <x:v>0</x:v>
      </x:c>
      <x:c r="AC374" s="647" t="n">
        <x:f>IF(N374&gt;0,R374,999999)</x:f>
        <x:v>999999</x:v>
      </x:c>
      <x:c r="AD374" s="647" t="n">
        <x:f>IF(AND(N374&gt;0,P374&gt;0),S374,999999)</x:f>
        <x:v>999999</x:v>
      </x:c>
      <x:c r="AE374" s="647" t="n">
        <x:f>IF(AND(N374&gt;0,Q374&gt;0),T374,999999)</x:f>
        <x:v>999999</x:v>
      </x:c>
      <x:c r="AF374" s="648" t="n">
        <x:f>B374*D374*F374*J374</x:f>
        <x:v>0.00051</x:v>
      </x:c>
      <x:c r="AG374" s="648" t="n">
        <x:f>IF(P374&gt;0,AF374,0)</x:f>
        <x:v>0.00051</x:v>
      </x:c>
      <x:c r="AH374" s="648" t="n">
        <x:f>IF(AND(P374&gt;0,S374&lt;0),AF374,0)</x:f>
        <x:v>0</x:v>
      </x:c>
      <x:c r="AI374" s="648" t="n">
        <x:f>IF(AND(P374&gt;0,S374=0),AF374,0)</x:f>
        <x:v>0</x:v>
      </x:c>
      <x:c r="AJ374" s="648" t="n">
        <x:f>IF(R374&lt;30000,AF374,0)</x:f>
        <x:v>0</x:v>
      </x:c>
      <x:c r="AK374" s="647" t="n">
        <x:f>IF(P374&gt;0,AF374*S374,0)</x:f>
        <x:v>10.200000000000001</x:v>
      </x:c>
    </x:row>
    <x:row r="375" ht="22" customHeight="1">
      <x:c r="A375" s="19" t="str">
        <x:v>中心</x:v>
      </x:c>
      <x:c r="B375" s="23" t="n">
        <x:f>'114_降本系数'!B27</x:f>
        <x:v>0.5</x:v>
      </x:c>
      <x:c r="C375" s="19" t="str">
        <x:v>L3</x:v>
      </x:c>
      <x:c r="D375" s="23" t="n">
        <x:f>'130_联合算法'!C20</x:f>
        <x:v>0.1</x:v>
      </x:c>
      <x:c r="E375" s="460" t="n">
        <x:f>'117_价格概率传导'!A9</x:f>
        <x:v>239900</x:v>
      </x:c>
      <x:c r="F375" s="23" t="n">
        <x:f>'117_价格概率传导'!D9</x:f>
        <x:v>0.34</x:v>
      </x:c>
      <x:c r="G375" s="23" t="n">
        <x:f>SUM('117_价格概率传导'!$D$6:$D$8)</x:f>
        <x:v>0.5</x:v>
      </x:c>
      <x:c r="H375" s="23" t="n">
        <x:f>SUM('117_价格概率传导'!$D$6:$D$9)</x:f>
        <x:v>0.8400000000000001</x:v>
      </x:c>
      <x:c r="I375" s="460" t="n">
        <x:f>'117_价格概率传导'!A18</x:f>
        <x:v>289900</x:v>
      </x:c>
      <x:c r="J375" s="23" t="n">
        <x:f>'117_价格概率传导'!D18</x:f>
        <x:v>0.22</x:v>
      </x:c>
      <x:c r="K375" s="23" t="n">
        <x:f>SUM('117_价格概率传导'!$D$16:$D$17)</x:f>
        <x:v>0.05</x:v>
      </x:c>
      <x:c r="L375" s="23" t="n">
        <x:f>SUM('117_价格概率传导'!$D$16:$D$18)</x:f>
        <x:v>0.27</x:v>
      </x:c>
      <x:c r="M375" s="23" t="n">
        <x:f>MAX(0,MIN(H375,L375)-MAX(G375,K375))</x:f>
        <x:v>0</x:v>
      </x:c>
      <x:c r="N375" s="23" t="n">
        <x:f>B375*D375*M375</x:f>
        <x:v>0</x:v>
      </x:c>
      <x:c r="O375" s="460" t="n">
        <x:f>MIN(299900,I375+20000)</x:f>
        <x:v>299900</x:v>
      </x:c>
      <x:c r="P375" s="460" t="n">
        <x:f>O375-40000</x:f>
        <x:v>259900</x:v>
      </x:c>
      <x:c r="Q375" s="460" t="n">
        <x:f>O375-20000</x:f>
        <x:v>279900</x:v>
      </x:c>
      <x:c r="R375" s="460" t="n">
        <x:f>O375-E375</x:f>
        <x:v>60000</x:v>
      </x:c>
      <x:c r="S375" s="460" t="n">
        <x:f>IF(P375&gt;0,P375-E375,"")</x:f>
        <x:v>20000</x:v>
      </x:c>
      <x:c r="T375" s="460" t="n">
        <x:f>IF(Q375&gt;0,Q375-E375,"")</x:f>
        <x:v>40000</x:v>
      </x:c>
      <x:c r="U375" s="23" t="n">
        <x:f>IF(R375&lt;30000,N375,0)</x:f>
        <x:v>0</x:v>
      </x:c>
      <x:c r="V375" s="23" t="n">
        <x:f>IF(P375&gt;0,N375,0)</x:f>
        <x:v>0</x:v>
      </x:c>
      <x:c r="W375" s="23" t="n">
        <x:f>IF(AND(P375&gt;0,S375&lt;0),N375,0)</x:f>
        <x:v>0</x:v>
      </x:c>
      <x:c r="X375" s="23" t="n">
        <x:f>IF(AND(P375&gt;0,S375=0),N375,0)</x:f>
        <x:v>0</x:v>
      </x:c>
      <x:c r="Y375" s="23" t="n">
        <x:f>IF(Q375&gt;0,N375,0)</x:f>
        <x:v>0</x:v>
      </x:c>
      <x:c r="Z375" s="460" t="n">
        <x:f>IF(P375&gt;0,N375*S375,0)</x:f>
        <x:v>0</x:v>
      </x:c>
      <x:c r="AA375" s="460" t="n">
        <x:f>IF(Q375&gt;0,N375*T375,0)</x:f>
        <x:v>0</x:v>
      </x:c>
      <x:c r="AB375" s="460" t="n">
        <x:f>N375*R375</x:f>
        <x:v>0</x:v>
      </x:c>
      <x:c r="AC375" s="460" t="n">
        <x:f>IF(N375&gt;0,R375,999999)</x:f>
        <x:v>999999</x:v>
      </x:c>
      <x:c r="AD375" s="460" t="n">
        <x:f>IF(AND(N375&gt;0,P375&gt;0),S375,999999)</x:f>
        <x:v>999999</x:v>
      </x:c>
      <x:c r="AE375" s="460" t="n">
        <x:f>IF(AND(N375&gt;0,Q375&gt;0),T375,999999)</x:f>
        <x:v>999999</x:v>
      </x:c>
      <x:c r="AF375" s="23" t="n">
        <x:f>B375*D375*F375*J375</x:f>
        <x:v>0.0037400000000000003</x:v>
      </x:c>
      <x:c r="AG375" s="23" t="n">
        <x:f>IF(P375&gt;0,AF375,0)</x:f>
        <x:v>0.0037400000000000003</x:v>
      </x:c>
      <x:c r="AH375" s="23" t="n">
        <x:f>IF(AND(P375&gt;0,S375&lt;0),AF375,0)</x:f>
        <x:v>0</x:v>
      </x:c>
      <x:c r="AI375" s="23" t="n">
        <x:f>IF(AND(P375&gt;0,S375=0),AF375,0)</x:f>
        <x:v>0</x:v>
      </x:c>
      <x:c r="AJ375" s="23" t="n">
        <x:f>IF(R375&lt;30000,AF375,0)</x:f>
        <x:v>0</x:v>
      </x:c>
      <x:c r="AK375" s="460" t="n">
        <x:f>IF(P375&gt;0,AF375*S375,0)</x:f>
        <x:v>74.80000000000001</x:v>
      </x:c>
    </x:row>
    <x:row r="376" ht="22" customHeight="1">
      <x:c r="A376" s="643" t="str">
        <x:v>中心</x:v>
      </x:c>
      <x:c r="B376" s="648" t="n">
        <x:f>'114_降本系数'!B27</x:f>
        <x:v>0.5</x:v>
      </x:c>
      <x:c r="C376" s="643" t="str">
        <x:v>L3</x:v>
      </x:c>
      <x:c r="D376" s="648" t="n">
        <x:f>'130_联合算法'!C20</x:f>
        <x:v>0.1</x:v>
      </x:c>
      <x:c r="E376" s="647" t="n">
        <x:f>'117_价格概率传导'!A9</x:f>
        <x:v>239900</x:v>
      </x:c>
      <x:c r="F376" s="648" t="n">
        <x:f>'117_价格概率传导'!D9</x:f>
        <x:v>0.34</x:v>
      </x:c>
      <x:c r="G376" s="648" t="n">
        <x:f>SUM('117_价格概率传导'!$D$6:$D$8)</x:f>
        <x:v>0.5</x:v>
      </x:c>
      <x:c r="H376" s="648" t="n">
        <x:f>SUM('117_价格概率传导'!$D$6:$D$9)</x:f>
        <x:v>0.8400000000000001</x:v>
      </x:c>
      <x:c r="I376" s="647" t="n">
        <x:f>'117_价格概率传导'!A19</x:f>
        <x:v>279900</x:v>
      </x:c>
      <x:c r="J376" s="648" t="n">
        <x:f>'117_价格概率传导'!D19</x:f>
        <x:v>0.44</x:v>
      </x:c>
      <x:c r="K376" s="648" t="n">
        <x:f>SUM('117_价格概率传导'!$D$16:$D$18)</x:f>
        <x:v>0.27</x:v>
      </x:c>
      <x:c r="L376" s="648" t="n">
        <x:f>SUM('117_价格概率传导'!$D$16:$D$19)</x:f>
        <x:v>0.71</x:v>
      </x:c>
      <x:c r="M376" s="648" t="n">
        <x:f>MAX(0,MIN(H376,L376)-MAX(G376,K376))</x:f>
        <x:v>0.20999999999999996</x:v>
      </x:c>
      <x:c r="N376" s="648" t="n">
        <x:f>B376*D376*M376</x:f>
        <x:v>0.010499999999999999</x:v>
      </x:c>
      <x:c r="O376" s="647" t="n">
        <x:f>MIN(299900,I376+20000)</x:f>
        <x:v>299900</x:v>
      </x:c>
      <x:c r="P376" s="647" t="n">
        <x:f>O376-40000</x:f>
        <x:v>259900</x:v>
      </x:c>
      <x:c r="Q376" s="647" t="n">
        <x:f>O376-20000</x:f>
        <x:v>279900</x:v>
      </x:c>
      <x:c r="R376" s="647" t="n">
        <x:f>O376-E376</x:f>
        <x:v>60000</x:v>
      </x:c>
      <x:c r="S376" s="647" t="n">
        <x:f>IF(P376&gt;0,P376-E376,"")</x:f>
        <x:v>20000</x:v>
      </x:c>
      <x:c r="T376" s="647" t="n">
        <x:f>IF(Q376&gt;0,Q376-E376,"")</x:f>
        <x:v>40000</x:v>
      </x:c>
      <x:c r="U376" s="648" t="n">
        <x:f>IF(R376&lt;30000,N376,0)</x:f>
        <x:v>0</x:v>
      </x:c>
      <x:c r="V376" s="648" t="n">
        <x:f>IF(P376&gt;0,N376,0)</x:f>
        <x:v>0.010499999999999999</x:v>
      </x:c>
      <x:c r="W376" s="648" t="n">
        <x:f>IF(AND(P376&gt;0,S376&lt;0),N376,0)</x:f>
        <x:v>0</x:v>
      </x:c>
      <x:c r="X376" s="648" t="n">
        <x:f>IF(AND(P376&gt;0,S376=0),N376,0)</x:f>
        <x:v>0</x:v>
      </x:c>
      <x:c r="Y376" s="648" t="n">
        <x:f>IF(Q376&gt;0,N376,0)</x:f>
        <x:v>0.010499999999999999</x:v>
      </x:c>
      <x:c r="Z376" s="647" t="n">
        <x:f>IF(P376&gt;0,N376*S376,0)</x:f>
        <x:v>209.99999999999997</x:v>
      </x:c>
      <x:c r="AA376" s="647" t="n">
        <x:f>IF(Q376&gt;0,N376*T376,0)</x:f>
        <x:v>419.99999999999994</x:v>
      </x:c>
      <x:c r="AB376" s="647" t="n">
        <x:f>N376*R376</x:f>
        <x:v>629.9999999999999</x:v>
      </x:c>
      <x:c r="AC376" s="647" t="n">
        <x:f>IF(N376&gt;0,R376,999999)</x:f>
        <x:v>60000</x:v>
      </x:c>
      <x:c r="AD376" s="647" t="n">
        <x:f>IF(AND(N376&gt;0,P376&gt;0),S376,999999)</x:f>
        <x:v>20000</x:v>
      </x:c>
      <x:c r="AE376" s="647" t="n">
        <x:f>IF(AND(N376&gt;0,Q376&gt;0),T376,999999)</x:f>
        <x:v>40000</x:v>
      </x:c>
      <x:c r="AF376" s="648" t="n">
        <x:f>B376*D376*F376*J376</x:f>
        <x:v>0.0074800000000000005</x:v>
      </x:c>
      <x:c r="AG376" s="648" t="n">
        <x:f>IF(P376&gt;0,AF376,0)</x:f>
        <x:v>0.0074800000000000005</x:v>
      </x:c>
      <x:c r="AH376" s="648" t="n">
        <x:f>IF(AND(P376&gt;0,S376&lt;0),AF376,0)</x:f>
        <x:v>0</x:v>
      </x:c>
      <x:c r="AI376" s="648" t="n">
        <x:f>IF(AND(P376&gt;0,S376=0),AF376,0)</x:f>
        <x:v>0</x:v>
      </x:c>
      <x:c r="AJ376" s="648" t="n">
        <x:f>IF(R376&lt;30000,AF376,0)</x:f>
        <x:v>0</x:v>
      </x:c>
      <x:c r="AK376" s="647" t="n">
        <x:f>IF(P376&gt;0,AF376*S376,0)</x:f>
        <x:v>149.60000000000002</x:v>
      </x:c>
    </x:row>
    <x:row r="377" ht="22" customHeight="1">
      <x:c r="A377" s="19" t="str">
        <x:v>中心</x:v>
      </x:c>
      <x:c r="B377" s="23" t="n">
        <x:f>'114_降本系数'!B27</x:f>
        <x:v>0.5</x:v>
      </x:c>
      <x:c r="C377" s="19" t="str">
        <x:v>L3</x:v>
      </x:c>
      <x:c r="D377" s="23" t="n">
        <x:f>'130_联合算法'!C20</x:f>
        <x:v>0.1</x:v>
      </x:c>
      <x:c r="E377" s="460" t="n">
        <x:f>'117_价格概率传导'!A9</x:f>
        <x:v>239900</x:v>
      </x:c>
      <x:c r="F377" s="23" t="n">
        <x:f>'117_价格概率传导'!D9</x:f>
        <x:v>0.34</x:v>
      </x:c>
      <x:c r="G377" s="23" t="n">
        <x:f>SUM('117_价格概率传导'!$D$6:$D$8)</x:f>
        <x:v>0.5</x:v>
      </x:c>
      <x:c r="H377" s="23" t="n">
        <x:f>SUM('117_价格概率传导'!$D$6:$D$9)</x:f>
        <x:v>0.8400000000000001</x:v>
      </x:c>
      <x:c r="I377" s="460" t="n">
        <x:f>'117_价格概率传导'!A20</x:f>
        <x:v>269900</x:v>
      </x:c>
      <x:c r="J377" s="23" t="n">
        <x:f>'117_价格概率传导'!D20</x:f>
        <x:v>0.23</x:v>
      </x:c>
      <x:c r="K377" s="23" t="n">
        <x:f>SUM('117_价格概率传导'!$D$16:$D$19)</x:f>
        <x:v>0.71</x:v>
      </x:c>
      <x:c r="L377" s="23" t="n">
        <x:f>SUM('117_价格概率传导'!$D$16:$D$20)</x:f>
        <x:v>0.94</x:v>
      </x:c>
      <x:c r="M377" s="23" t="n">
        <x:f>MAX(0,MIN(H377,L377)-MAX(G377,K377))</x:f>
        <x:v>0.13000000000000012</x:v>
      </x:c>
      <x:c r="N377" s="23" t="n">
        <x:f>B377*D377*M377</x:f>
        <x:v>0.006500000000000006</x:v>
      </x:c>
      <x:c r="O377" s="460" t="n">
        <x:f>MIN(299900,I377+20000)</x:f>
        <x:v>289900</x:v>
      </x:c>
      <x:c r="P377" s="460" t="n">
        <x:f>O377-40000</x:f>
        <x:v>249900</x:v>
      </x:c>
      <x:c r="Q377" s="460" t="n">
        <x:f>O377-20000</x:f>
        <x:v>269900</x:v>
      </x:c>
      <x:c r="R377" s="460" t="n">
        <x:f>O377-E377</x:f>
        <x:v>50000</x:v>
      </x:c>
      <x:c r="S377" s="460" t="n">
        <x:f>IF(P377&gt;0,P377-E377,"")</x:f>
        <x:v>10000</x:v>
      </x:c>
      <x:c r="T377" s="460" t="n">
        <x:f>IF(Q377&gt;0,Q377-E377,"")</x:f>
        <x:v>30000</x:v>
      </x:c>
      <x:c r="U377" s="23" t="n">
        <x:f>IF(R377&lt;30000,N377,0)</x:f>
        <x:v>0</x:v>
      </x:c>
      <x:c r="V377" s="23" t="n">
        <x:f>IF(P377&gt;0,N377,0)</x:f>
        <x:v>0.006500000000000006</x:v>
      </x:c>
      <x:c r="W377" s="23" t="n">
        <x:f>IF(AND(P377&gt;0,S377&lt;0),N377,0)</x:f>
        <x:v>0</x:v>
      </x:c>
      <x:c r="X377" s="23" t="n">
        <x:f>IF(AND(P377&gt;0,S377=0),N377,0)</x:f>
        <x:v>0</x:v>
      </x:c>
      <x:c r="Y377" s="23" t="n">
        <x:f>IF(Q377&gt;0,N377,0)</x:f>
        <x:v>0.006500000000000006</x:v>
      </x:c>
      <x:c r="Z377" s="460" t="n">
        <x:f>IF(P377&gt;0,N377*S377,0)</x:f>
        <x:v>65.00000000000006</x:v>
      </x:c>
      <x:c r="AA377" s="460" t="n">
        <x:f>IF(Q377&gt;0,N377*T377,0)</x:f>
        <x:v>195.00000000000017</x:v>
      </x:c>
      <x:c r="AB377" s="460" t="n">
        <x:f>N377*R377</x:f>
        <x:v>325.0000000000003</x:v>
      </x:c>
      <x:c r="AC377" s="460" t="n">
        <x:f>IF(N377&gt;0,R377,999999)</x:f>
        <x:v>50000</x:v>
      </x:c>
      <x:c r="AD377" s="460" t="n">
        <x:f>IF(AND(N377&gt;0,P377&gt;0),S377,999999)</x:f>
        <x:v>10000</x:v>
      </x:c>
      <x:c r="AE377" s="460" t="n">
        <x:f>IF(AND(N377&gt;0,Q377&gt;0),T377,999999)</x:f>
        <x:v>30000</x:v>
      </x:c>
      <x:c r="AF377" s="23" t="n">
        <x:f>B377*D377*F377*J377</x:f>
        <x:v>0.00391</x:v>
      </x:c>
      <x:c r="AG377" s="23" t="n">
        <x:f>IF(P377&gt;0,AF377,0)</x:f>
        <x:v>0.00391</x:v>
      </x:c>
      <x:c r="AH377" s="23" t="n">
        <x:f>IF(AND(P377&gt;0,S377&lt;0),AF377,0)</x:f>
        <x:v>0</x:v>
      </x:c>
      <x:c r="AI377" s="23" t="n">
        <x:f>IF(AND(P377&gt;0,S377=0),AF377,0)</x:f>
        <x:v>0</x:v>
      </x:c>
      <x:c r="AJ377" s="23" t="n">
        <x:f>IF(R377&lt;30000,AF377,0)</x:f>
        <x:v>0</x:v>
      </x:c>
      <x:c r="AK377" s="460" t="n">
        <x:f>IF(P377&gt;0,AF377*S377,0)</x:f>
        <x:v>39.1</x:v>
      </x:c>
    </x:row>
    <x:row r="378" ht="22" customHeight="1">
      <x:c r="A378" s="643" t="str">
        <x:v>中心</x:v>
      </x:c>
      <x:c r="B378" s="648" t="n">
        <x:f>'114_降本系数'!B27</x:f>
        <x:v>0.5</x:v>
      </x:c>
      <x:c r="C378" s="643" t="str">
        <x:v>L3</x:v>
      </x:c>
      <x:c r="D378" s="648" t="n">
        <x:f>'130_联合算法'!C20</x:f>
        <x:v>0.1</x:v>
      </x:c>
      <x:c r="E378" s="647" t="n">
        <x:f>'117_价格概率传导'!A9</x:f>
        <x:v>239900</x:v>
      </x:c>
      <x:c r="F378" s="648" t="n">
        <x:f>'117_价格概率传导'!D9</x:f>
        <x:v>0.34</x:v>
      </x:c>
      <x:c r="G378" s="648" t="n">
        <x:f>SUM('117_价格概率传导'!$D$6:$D$8)</x:f>
        <x:v>0.5</x:v>
      </x:c>
      <x:c r="H378" s="648" t="n">
        <x:f>SUM('117_价格概率传导'!$D$6:$D$9)</x:f>
        <x:v>0.8400000000000001</x:v>
      </x:c>
      <x:c r="I378" s="647" t="n">
        <x:f>'117_价格概率传导'!A21</x:f>
        <x:v>259900</x:v>
      </x:c>
      <x:c r="J378" s="648" t="n">
        <x:f>'117_价格概率传导'!D21</x:f>
        <x:v>0.06</x:v>
      </x:c>
      <x:c r="K378" s="648" t="n">
        <x:f>SUM('117_价格概率传导'!$D$16:$D$20)</x:f>
        <x:v>0.94</x:v>
      </x:c>
      <x:c r="L378" s="648" t="n">
        <x:f>SUM('117_价格概率传导'!$D$16:$D$21)</x:f>
        <x:v>1</x:v>
      </x:c>
      <x:c r="M378" s="648" t="n">
        <x:f>MAX(0,MIN(H378,L378)-MAX(G378,K378))</x:f>
        <x:v>0</x:v>
      </x:c>
      <x:c r="N378" s="648" t="n">
        <x:f>B378*D378*M378</x:f>
        <x:v>0</x:v>
      </x:c>
      <x:c r="O378" s="647" t="n">
        <x:f>MIN(299900,I378+20000)</x:f>
        <x:v>279900</x:v>
      </x:c>
      <x:c r="P378" s="647" t="n">
        <x:f>O378-40000</x:f>
        <x:v>239900</x:v>
      </x:c>
      <x:c r="Q378" s="647" t="n">
        <x:f>O378-20000</x:f>
        <x:v>259900</x:v>
      </x:c>
      <x:c r="R378" s="647" t="n">
        <x:f>O378-E378</x:f>
        <x:v>40000</x:v>
      </x:c>
      <x:c r="S378" s="647" t="n">
        <x:f>IF(P378&gt;0,P378-E378,"")</x:f>
        <x:v>0</x:v>
      </x:c>
      <x:c r="T378" s="647" t="n">
        <x:f>IF(Q378&gt;0,Q378-E378,"")</x:f>
        <x:v>20000</x:v>
      </x:c>
      <x:c r="U378" s="648" t="n">
        <x:f>IF(R378&lt;30000,N378,0)</x:f>
        <x:v>0</x:v>
      </x:c>
      <x:c r="V378" s="648" t="n">
        <x:f>IF(P378&gt;0,N378,0)</x:f>
        <x:v>0</x:v>
      </x:c>
      <x:c r="W378" s="648" t="n">
        <x:f>IF(AND(P378&gt;0,S378&lt;0),N378,0)</x:f>
        <x:v>0</x:v>
      </x:c>
      <x:c r="X378" s="648" t="n">
        <x:f>IF(AND(P378&gt;0,S378=0),N378,0)</x:f>
        <x:v>0</x:v>
      </x:c>
      <x:c r="Y378" s="648" t="n">
        <x:f>IF(Q378&gt;0,N378,0)</x:f>
        <x:v>0</x:v>
      </x:c>
      <x:c r="Z378" s="647" t="n">
        <x:f>IF(P378&gt;0,N378*S378,0)</x:f>
        <x:v>0</x:v>
      </x:c>
      <x:c r="AA378" s="647" t="n">
        <x:f>IF(Q378&gt;0,N378*T378,0)</x:f>
        <x:v>0</x:v>
      </x:c>
      <x:c r="AB378" s="647" t="n">
        <x:f>N378*R378</x:f>
        <x:v>0</x:v>
      </x:c>
      <x:c r="AC378" s="647" t="n">
        <x:f>IF(N378&gt;0,R378,999999)</x:f>
        <x:v>999999</x:v>
      </x:c>
      <x:c r="AD378" s="647" t="n">
        <x:f>IF(AND(N378&gt;0,P378&gt;0),S378,999999)</x:f>
        <x:v>999999</x:v>
      </x:c>
      <x:c r="AE378" s="647" t="n">
        <x:f>IF(AND(N378&gt;0,Q378&gt;0),T378,999999)</x:f>
        <x:v>999999</x:v>
      </x:c>
      <x:c r="AF378" s="648" t="n">
        <x:f>B378*D378*F378*J378</x:f>
        <x:v>0.00102</x:v>
      </x:c>
      <x:c r="AG378" s="648" t="n">
        <x:f>IF(P378&gt;0,AF378,0)</x:f>
        <x:v>0.00102</x:v>
      </x:c>
      <x:c r="AH378" s="648" t="n">
        <x:f>IF(AND(P378&gt;0,S378&lt;0),AF378,0)</x:f>
        <x:v>0</x:v>
      </x:c>
      <x:c r="AI378" s="648" t="n">
        <x:f>IF(AND(P378&gt;0,S378=0),AF378,0)</x:f>
        <x:v>0.00102</x:v>
      </x:c>
      <x:c r="AJ378" s="648" t="n">
        <x:f>IF(R378&lt;30000,AF378,0)</x:f>
        <x:v>0</x:v>
      </x:c>
      <x:c r="AK378" s="647" t="n">
        <x:f>IF(P378&gt;0,AF378*S378,0)</x:f>
        <x:v>0</x:v>
      </x:c>
    </x:row>
    <x:row r="379" ht="22" customHeight="1">
      <x:c r="A379" s="19" t="str">
        <x:v>中心</x:v>
      </x:c>
      <x:c r="B379" s="23" t="n">
        <x:f>'114_降本系数'!B27</x:f>
        <x:v>0.5</x:v>
      </x:c>
      <x:c r="C379" s="19" t="str">
        <x:v>L3</x:v>
      </x:c>
      <x:c r="D379" s="23" t="n">
        <x:f>'130_联合算法'!C20</x:f>
        <x:v>0.1</x:v>
      </x:c>
      <x:c r="E379" s="460" t="n">
        <x:f>'117_价格概率传导'!A10</x:f>
        <x:v>229900</x:v>
      </x:c>
      <x:c r="F379" s="23" t="n">
        <x:f>'117_价格概率传导'!D10</x:f>
        <x:v>0.13</x:v>
      </x:c>
      <x:c r="G379" s="23" t="n">
        <x:f>SUM('117_价格概率传导'!$D$6:$D$9)</x:f>
        <x:v>0.8400000000000001</x:v>
      </x:c>
      <x:c r="H379" s="23" t="n">
        <x:f>SUM('117_价格概率传导'!$D$6:$D$10)</x:f>
        <x:v>0.9700000000000001</x:v>
      </x:c>
      <x:c r="I379" s="460" t="n">
        <x:f>'117_价格概率传导'!A16</x:f>
        <x:v>299900</x:v>
      </x:c>
      <x:c r="J379" s="23" t="n">
        <x:f>'117_价格概率传导'!D16</x:f>
        <x:v>0.02</x:v>
      </x:c>
      <x:c r="K379" s="23" t="n">
        <x:f>0</x:f>
        <x:v>0</x:v>
      </x:c>
      <x:c r="L379" s="23" t="n">
        <x:f>SUM('117_价格概率传导'!$D$16:$D$16)</x:f>
        <x:v>0.02</x:v>
      </x:c>
      <x:c r="M379" s="23" t="n">
        <x:f>MAX(0,MIN(H379,L379)-MAX(G379,K379))</x:f>
        <x:v>0</x:v>
      </x:c>
      <x:c r="N379" s="23" t="n">
        <x:f>B379*D379*M379</x:f>
        <x:v>0</x:v>
      </x:c>
      <x:c r="O379" s="460" t="n">
        <x:f>MIN(299900,I379+20000)</x:f>
        <x:v>299900</x:v>
      </x:c>
      <x:c r="P379" s="460" t="n">
        <x:f>O379-40000</x:f>
        <x:v>259900</x:v>
      </x:c>
      <x:c r="Q379" s="460" t="n">
        <x:f>O379-20000</x:f>
        <x:v>279900</x:v>
      </x:c>
      <x:c r="R379" s="460" t="n">
        <x:f>O379-E379</x:f>
        <x:v>70000</x:v>
      </x:c>
      <x:c r="S379" s="460" t="n">
        <x:f>IF(P379&gt;0,P379-E379,"")</x:f>
        <x:v>30000</x:v>
      </x:c>
      <x:c r="T379" s="460" t="n">
        <x:f>IF(Q379&gt;0,Q379-E379,"")</x:f>
        <x:v>50000</x:v>
      </x:c>
      <x:c r="U379" s="23" t="n">
        <x:f>IF(R379&lt;30000,N379,0)</x:f>
        <x:v>0</x:v>
      </x:c>
      <x:c r="V379" s="23" t="n">
        <x:f>IF(P379&gt;0,N379,0)</x:f>
        <x:v>0</x:v>
      </x:c>
      <x:c r="W379" s="23" t="n">
        <x:f>IF(AND(P379&gt;0,S379&lt;0),N379,0)</x:f>
        <x:v>0</x:v>
      </x:c>
      <x:c r="X379" s="23" t="n">
        <x:f>IF(AND(P379&gt;0,S379=0),N379,0)</x:f>
        <x:v>0</x:v>
      </x:c>
      <x:c r="Y379" s="23" t="n">
        <x:f>IF(Q379&gt;0,N379,0)</x:f>
        <x:v>0</x:v>
      </x:c>
      <x:c r="Z379" s="460" t="n">
        <x:f>IF(P379&gt;0,N379*S379,0)</x:f>
        <x:v>0</x:v>
      </x:c>
      <x:c r="AA379" s="460" t="n">
        <x:f>IF(Q379&gt;0,N379*T379,0)</x:f>
        <x:v>0</x:v>
      </x:c>
      <x:c r="AB379" s="460" t="n">
        <x:f>N379*R379</x:f>
        <x:v>0</x:v>
      </x:c>
      <x:c r="AC379" s="460" t="n">
        <x:f>IF(N379&gt;0,R379,999999)</x:f>
        <x:v>999999</x:v>
      </x:c>
      <x:c r="AD379" s="460" t="n">
        <x:f>IF(AND(N379&gt;0,P379&gt;0),S379,999999)</x:f>
        <x:v>999999</x:v>
      </x:c>
      <x:c r="AE379" s="460" t="n">
        <x:f>IF(AND(N379&gt;0,Q379&gt;0),T379,999999)</x:f>
        <x:v>999999</x:v>
      </x:c>
      <x:c r="AF379" s="23" t="n">
        <x:f>B379*D379*F379*J379</x:f>
        <x:v>0.00013000000000000002</x:v>
      </x:c>
      <x:c r="AG379" s="23" t="n">
        <x:f>IF(P379&gt;0,AF379,0)</x:f>
        <x:v>0.00013000000000000002</x:v>
      </x:c>
      <x:c r="AH379" s="23" t="n">
        <x:f>IF(AND(P379&gt;0,S379&lt;0),AF379,0)</x:f>
        <x:v>0</x:v>
      </x:c>
      <x:c r="AI379" s="23" t="n">
        <x:f>IF(AND(P379&gt;0,S379=0),AF379,0)</x:f>
        <x:v>0</x:v>
      </x:c>
      <x:c r="AJ379" s="23" t="n">
        <x:f>IF(R379&lt;30000,AF379,0)</x:f>
        <x:v>0</x:v>
      </x:c>
      <x:c r="AK379" s="460" t="n">
        <x:f>IF(P379&gt;0,AF379*S379,0)</x:f>
        <x:v>3.9000000000000004</x:v>
      </x:c>
    </x:row>
    <x:row r="380" ht="22" customHeight="1">
      <x:c r="A380" s="643" t="str">
        <x:v>中心</x:v>
      </x:c>
      <x:c r="B380" s="648" t="n">
        <x:f>'114_降本系数'!B27</x:f>
        <x:v>0.5</x:v>
      </x:c>
      <x:c r="C380" s="643" t="str">
        <x:v>L3</x:v>
      </x:c>
      <x:c r="D380" s="648" t="n">
        <x:f>'130_联合算法'!C20</x:f>
        <x:v>0.1</x:v>
      </x:c>
      <x:c r="E380" s="647" t="n">
        <x:f>'117_价格概率传导'!A10</x:f>
        <x:v>229900</x:v>
      </x:c>
      <x:c r="F380" s="648" t="n">
        <x:f>'117_价格概率传导'!D10</x:f>
        <x:v>0.13</x:v>
      </x:c>
      <x:c r="G380" s="648" t="n">
        <x:f>SUM('117_价格概率传导'!$D$6:$D$9)</x:f>
        <x:v>0.8400000000000001</x:v>
      </x:c>
      <x:c r="H380" s="648" t="n">
        <x:f>SUM('117_价格概率传导'!$D$6:$D$10)</x:f>
        <x:v>0.9700000000000001</x:v>
      </x:c>
      <x:c r="I380" s="647" t="n">
        <x:f>'117_价格概率传导'!A17</x:f>
        <x:v>293900</x:v>
      </x:c>
      <x:c r="J380" s="648" t="n">
        <x:f>'117_价格概率传导'!D17</x:f>
        <x:v>0.03</x:v>
      </x:c>
      <x:c r="K380" s="648" t="n">
        <x:f>SUM('117_价格概率传导'!$D$16:$D$16)</x:f>
        <x:v>0.02</x:v>
      </x:c>
      <x:c r="L380" s="648" t="n">
        <x:f>SUM('117_价格概率传导'!$D$16:$D$17)</x:f>
        <x:v>0.05</x:v>
      </x:c>
      <x:c r="M380" s="648" t="n">
        <x:f>MAX(0,MIN(H380,L380)-MAX(G380,K380))</x:f>
        <x:v>0</x:v>
      </x:c>
      <x:c r="N380" s="648" t="n">
        <x:f>B380*D380*M380</x:f>
        <x:v>0</x:v>
      </x:c>
      <x:c r="O380" s="647" t="n">
        <x:f>MIN(299900,I380+20000)</x:f>
        <x:v>299900</x:v>
      </x:c>
      <x:c r="P380" s="647" t="n">
        <x:f>O380-40000</x:f>
        <x:v>259900</x:v>
      </x:c>
      <x:c r="Q380" s="647" t="n">
        <x:f>O380-20000</x:f>
        <x:v>279900</x:v>
      </x:c>
      <x:c r="R380" s="647" t="n">
        <x:f>O380-E380</x:f>
        <x:v>70000</x:v>
      </x:c>
      <x:c r="S380" s="647" t="n">
        <x:f>IF(P380&gt;0,P380-E380,"")</x:f>
        <x:v>30000</x:v>
      </x:c>
      <x:c r="T380" s="647" t="n">
        <x:f>IF(Q380&gt;0,Q380-E380,"")</x:f>
        <x:v>50000</x:v>
      </x:c>
      <x:c r="U380" s="648" t="n">
        <x:f>IF(R380&lt;30000,N380,0)</x:f>
        <x:v>0</x:v>
      </x:c>
      <x:c r="V380" s="648" t="n">
        <x:f>IF(P380&gt;0,N380,0)</x:f>
        <x:v>0</x:v>
      </x:c>
      <x:c r="W380" s="648" t="n">
        <x:f>IF(AND(P380&gt;0,S380&lt;0),N380,0)</x:f>
        <x:v>0</x:v>
      </x:c>
      <x:c r="X380" s="648" t="n">
        <x:f>IF(AND(P380&gt;0,S380=0),N380,0)</x:f>
        <x:v>0</x:v>
      </x:c>
      <x:c r="Y380" s="648" t="n">
        <x:f>IF(Q380&gt;0,N380,0)</x:f>
        <x:v>0</x:v>
      </x:c>
      <x:c r="Z380" s="647" t="n">
        <x:f>IF(P380&gt;0,N380*S380,0)</x:f>
        <x:v>0</x:v>
      </x:c>
      <x:c r="AA380" s="647" t="n">
        <x:f>IF(Q380&gt;0,N380*T380,0)</x:f>
        <x:v>0</x:v>
      </x:c>
      <x:c r="AB380" s="647" t="n">
        <x:f>N380*R380</x:f>
        <x:v>0</x:v>
      </x:c>
      <x:c r="AC380" s="647" t="n">
        <x:f>IF(N380&gt;0,R380,999999)</x:f>
        <x:v>999999</x:v>
      </x:c>
      <x:c r="AD380" s="647" t="n">
        <x:f>IF(AND(N380&gt;0,P380&gt;0),S380,999999)</x:f>
        <x:v>999999</x:v>
      </x:c>
      <x:c r="AE380" s="647" t="n">
        <x:f>IF(AND(N380&gt;0,Q380&gt;0),T380,999999)</x:f>
        <x:v>999999</x:v>
      </x:c>
      <x:c r="AF380" s="648" t="n">
        <x:f>B380*D380*F380*J380</x:f>
        <x:v>0.000195</x:v>
      </x:c>
      <x:c r="AG380" s="648" t="n">
        <x:f>IF(P380&gt;0,AF380,0)</x:f>
        <x:v>0.000195</x:v>
      </x:c>
      <x:c r="AH380" s="648" t="n">
        <x:f>IF(AND(P380&gt;0,S380&lt;0),AF380,0)</x:f>
        <x:v>0</x:v>
      </x:c>
      <x:c r="AI380" s="648" t="n">
        <x:f>IF(AND(P380&gt;0,S380=0),AF380,0)</x:f>
        <x:v>0</x:v>
      </x:c>
      <x:c r="AJ380" s="648" t="n">
        <x:f>IF(R380&lt;30000,AF380,0)</x:f>
        <x:v>0</x:v>
      </x:c>
      <x:c r="AK380" s="647" t="n">
        <x:f>IF(P380&gt;0,AF380*S380,0)</x:f>
        <x:v>5.85</x:v>
      </x:c>
    </x:row>
    <x:row r="381" ht="22" customHeight="1">
      <x:c r="A381" s="19" t="str">
        <x:v>中心</x:v>
      </x:c>
      <x:c r="B381" s="23" t="n">
        <x:f>'114_降本系数'!B27</x:f>
        <x:v>0.5</x:v>
      </x:c>
      <x:c r="C381" s="19" t="str">
        <x:v>L3</x:v>
      </x:c>
      <x:c r="D381" s="23" t="n">
        <x:f>'130_联合算法'!C20</x:f>
        <x:v>0.1</x:v>
      </x:c>
      <x:c r="E381" s="460" t="n">
        <x:f>'117_价格概率传导'!A10</x:f>
        <x:v>229900</x:v>
      </x:c>
      <x:c r="F381" s="23" t="n">
        <x:f>'117_价格概率传导'!D10</x:f>
        <x:v>0.13</x:v>
      </x:c>
      <x:c r="G381" s="23" t="n">
        <x:f>SUM('117_价格概率传导'!$D$6:$D$9)</x:f>
        <x:v>0.8400000000000001</x:v>
      </x:c>
      <x:c r="H381" s="23" t="n">
        <x:f>SUM('117_价格概率传导'!$D$6:$D$10)</x:f>
        <x:v>0.9700000000000001</x:v>
      </x:c>
      <x:c r="I381" s="460" t="n">
        <x:f>'117_价格概率传导'!A18</x:f>
        <x:v>289900</x:v>
      </x:c>
      <x:c r="J381" s="23" t="n">
        <x:f>'117_价格概率传导'!D18</x:f>
        <x:v>0.22</x:v>
      </x:c>
      <x:c r="K381" s="23" t="n">
        <x:f>SUM('117_价格概率传导'!$D$16:$D$17)</x:f>
        <x:v>0.05</x:v>
      </x:c>
      <x:c r="L381" s="23" t="n">
        <x:f>SUM('117_价格概率传导'!$D$16:$D$18)</x:f>
        <x:v>0.27</x:v>
      </x:c>
      <x:c r="M381" s="23" t="n">
        <x:f>MAX(0,MIN(H381,L381)-MAX(G381,K381))</x:f>
        <x:v>0</x:v>
      </x:c>
      <x:c r="N381" s="23" t="n">
        <x:f>B381*D381*M381</x:f>
        <x:v>0</x:v>
      </x:c>
      <x:c r="O381" s="460" t="n">
        <x:f>MIN(299900,I381+20000)</x:f>
        <x:v>299900</x:v>
      </x:c>
      <x:c r="P381" s="460" t="n">
        <x:f>O381-40000</x:f>
        <x:v>259900</x:v>
      </x:c>
      <x:c r="Q381" s="460" t="n">
        <x:f>O381-20000</x:f>
        <x:v>279900</x:v>
      </x:c>
      <x:c r="R381" s="460" t="n">
        <x:f>O381-E381</x:f>
        <x:v>70000</x:v>
      </x:c>
      <x:c r="S381" s="460" t="n">
        <x:f>IF(P381&gt;0,P381-E381,"")</x:f>
        <x:v>30000</x:v>
      </x:c>
      <x:c r="T381" s="460" t="n">
        <x:f>IF(Q381&gt;0,Q381-E381,"")</x:f>
        <x:v>50000</x:v>
      </x:c>
      <x:c r="U381" s="23" t="n">
        <x:f>IF(R381&lt;30000,N381,0)</x:f>
        <x:v>0</x:v>
      </x:c>
      <x:c r="V381" s="23" t="n">
        <x:f>IF(P381&gt;0,N381,0)</x:f>
        <x:v>0</x:v>
      </x:c>
      <x:c r="W381" s="23" t="n">
        <x:f>IF(AND(P381&gt;0,S381&lt;0),N381,0)</x:f>
        <x:v>0</x:v>
      </x:c>
      <x:c r="X381" s="23" t="n">
        <x:f>IF(AND(P381&gt;0,S381=0),N381,0)</x:f>
        <x:v>0</x:v>
      </x:c>
      <x:c r="Y381" s="23" t="n">
        <x:f>IF(Q381&gt;0,N381,0)</x:f>
        <x:v>0</x:v>
      </x:c>
      <x:c r="Z381" s="460" t="n">
        <x:f>IF(P381&gt;0,N381*S381,0)</x:f>
        <x:v>0</x:v>
      </x:c>
      <x:c r="AA381" s="460" t="n">
        <x:f>IF(Q381&gt;0,N381*T381,0)</x:f>
        <x:v>0</x:v>
      </x:c>
      <x:c r="AB381" s="460" t="n">
        <x:f>N381*R381</x:f>
        <x:v>0</x:v>
      </x:c>
      <x:c r="AC381" s="460" t="n">
        <x:f>IF(N381&gt;0,R381,999999)</x:f>
        <x:v>999999</x:v>
      </x:c>
      <x:c r="AD381" s="460" t="n">
        <x:f>IF(AND(N381&gt;0,P381&gt;0),S381,999999)</x:f>
        <x:v>999999</x:v>
      </x:c>
      <x:c r="AE381" s="460" t="n">
        <x:f>IF(AND(N381&gt;0,Q381&gt;0),T381,999999)</x:f>
        <x:v>999999</x:v>
      </x:c>
      <x:c r="AF381" s="23" t="n">
        <x:f>B381*D381*F381*J381</x:f>
        <x:v>0.00143</x:v>
      </x:c>
      <x:c r="AG381" s="23" t="n">
        <x:f>IF(P381&gt;0,AF381,0)</x:f>
        <x:v>0.00143</x:v>
      </x:c>
      <x:c r="AH381" s="23" t="n">
        <x:f>IF(AND(P381&gt;0,S381&lt;0),AF381,0)</x:f>
        <x:v>0</x:v>
      </x:c>
      <x:c r="AI381" s="23" t="n">
        <x:f>IF(AND(P381&gt;0,S381=0),AF381,0)</x:f>
        <x:v>0</x:v>
      </x:c>
      <x:c r="AJ381" s="23" t="n">
        <x:f>IF(R381&lt;30000,AF381,0)</x:f>
        <x:v>0</x:v>
      </x:c>
      <x:c r="AK381" s="460" t="n">
        <x:f>IF(P381&gt;0,AF381*S381,0)</x:f>
        <x:v>42.9</x:v>
      </x:c>
    </x:row>
    <x:row r="382" ht="22" customHeight="1">
      <x:c r="A382" s="643" t="str">
        <x:v>中心</x:v>
      </x:c>
      <x:c r="B382" s="648" t="n">
        <x:f>'114_降本系数'!B27</x:f>
        <x:v>0.5</x:v>
      </x:c>
      <x:c r="C382" s="643" t="str">
        <x:v>L3</x:v>
      </x:c>
      <x:c r="D382" s="648" t="n">
        <x:f>'130_联合算法'!C20</x:f>
        <x:v>0.1</x:v>
      </x:c>
      <x:c r="E382" s="647" t="n">
        <x:f>'117_价格概率传导'!A10</x:f>
        <x:v>229900</x:v>
      </x:c>
      <x:c r="F382" s="648" t="n">
        <x:f>'117_价格概率传导'!D10</x:f>
        <x:v>0.13</x:v>
      </x:c>
      <x:c r="G382" s="648" t="n">
        <x:f>SUM('117_价格概率传导'!$D$6:$D$9)</x:f>
        <x:v>0.8400000000000001</x:v>
      </x:c>
      <x:c r="H382" s="648" t="n">
        <x:f>SUM('117_价格概率传导'!$D$6:$D$10)</x:f>
        <x:v>0.9700000000000001</x:v>
      </x:c>
      <x:c r="I382" s="647" t="n">
        <x:f>'117_价格概率传导'!A19</x:f>
        <x:v>279900</x:v>
      </x:c>
      <x:c r="J382" s="648" t="n">
        <x:f>'117_价格概率传导'!D19</x:f>
        <x:v>0.44</x:v>
      </x:c>
      <x:c r="K382" s="648" t="n">
        <x:f>SUM('117_价格概率传导'!$D$16:$D$18)</x:f>
        <x:v>0.27</x:v>
      </x:c>
      <x:c r="L382" s="648" t="n">
        <x:f>SUM('117_价格概率传导'!$D$16:$D$19)</x:f>
        <x:v>0.71</x:v>
      </x:c>
      <x:c r="M382" s="648" t="n">
        <x:f>MAX(0,MIN(H382,L382)-MAX(G382,K382))</x:f>
        <x:v>0</x:v>
      </x:c>
      <x:c r="N382" s="648" t="n">
        <x:f>B382*D382*M382</x:f>
        <x:v>0</x:v>
      </x:c>
      <x:c r="O382" s="647" t="n">
        <x:f>MIN(299900,I382+20000)</x:f>
        <x:v>299900</x:v>
      </x:c>
      <x:c r="P382" s="647" t="n">
        <x:f>O382-40000</x:f>
        <x:v>259900</x:v>
      </x:c>
      <x:c r="Q382" s="647" t="n">
        <x:f>O382-20000</x:f>
        <x:v>279900</x:v>
      </x:c>
      <x:c r="R382" s="647" t="n">
        <x:f>O382-E382</x:f>
        <x:v>70000</x:v>
      </x:c>
      <x:c r="S382" s="647" t="n">
        <x:f>IF(P382&gt;0,P382-E382,"")</x:f>
        <x:v>30000</x:v>
      </x:c>
      <x:c r="T382" s="647" t="n">
        <x:f>IF(Q382&gt;0,Q382-E382,"")</x:f>
        <x:v>50000</x:v>
      </x:c>
      <x:c r="U382" s="648" t="n">
        <x:f>IF(R382&lt;30000,N382,0)</x:f>
        <x:v>0</x:v>
      </x:c>
      <x:c r="V382" s="648" t="n">
        <x:f>IF(P382&gt;0,N382,0)</x:f>
        <x:v>0</x:v>
      </x:c>
      <x:c r="W382" s="648" t="n">
        <x:f>IF(AND(P382&gt;0,S382&lt;0),N382,0)</x:f>
        <x:v>0</x:v>
      </x:c>
      <x:c r="X382" s="648" t="n">
        <x:f>IF(AND(P382&gt;0,S382=0),N382,0)</x:f>
        <x:v>0</x:v>
      </x:c>
      <x:c r="Y382" s="648" t="n">
        <x:f>IF(Q382&gt;0,N382,0)</x:f>
        <x:v>0</x:v>
      </x:c>
      <x:c r="Z382" s="647" t="n">
        <x:f>IF(P382&gt;0,N382*S382,0)</x:f>
        <x:v>0</x:v>
      </x:c>
      <x:c r="AA382" s="647" t="n">
        <x:f>IF(Q382&gt;0,N382*T382,0)</x:f>
        <x:v>0</x:v>
      </x:c>
      <x:c r="AB382" s="647" t="n">
        <x:f>N382*R382</x:f>
        <x:v>0</x:v>
      </x:c>
      <x:c r="AC382" s="647" t="n">
        <x:f>IF(N382&gt;0,R382,999999)</x:f>
        <x:v>999999</x:v>
      </x:c>
      <x:c r="AD382" s="647" t="n">
        <x:f>IF(AND(N382&gt;0,P382&gt;0),S382,999999)</x:f>
        <x:v>999999</x:v>
      </x:c>
      <x:c r="AE382" s="647" t="n">
        <x:f>IF(AND(N382&gt;0,Q382&gt;0),T382,999999)</x:f>
        <x:v>999999</x:v>
      </x:c>
      <x:c r="AF382" s="648" t="n">
        <x:f>B382*D382*F382*J382</x:f>
        <x:v>0.00286</x:v>
      </x:c>
      <x:c r="AG382" s="648" t="n">
        <x:f>IF(P382&gt;0,AF382,0)</x:f>
        <x:v>0.00286</x:v>
      </x:c>
      <x:c r="AH382" s="648" t="n">
        <x:f>IF(AND(P382&gt;0,S382&lt;0),AF382,0)</x:f>
        <x:v>0</x:v>
      </x:c>
      <x:c r="AI382" s="648" t="n">
        <x:f>IF(AND(P382&gt;0,S382=0),AF382,0)</x:f>
        <x:v>0</x:v>
      </x:c>
      <x:c r="AJ382" s="648" t="n">
        <x:f>IF(R382&lt;30000,AF382,0)</x:f>
        <x:v>0</x:v>
      </x:c>
      <x:c r="AK382" s="647" t="n">
        <x:f>IF(P382&gt;0,AF382*S382,0)</x:f>
        <x:v>85.8</x:v>
      </x:c>
    </x:row>
    <x:row r="383" ht="22" customHeight="1">
      <x:c r="A383" s="19" t="str">
        <x:v>中心</x:v>
      </x:c>
      <x:c r="B383" s="23" t="n">
        <x:f>'114_降本系数'!B27</x:f>
        <x:v>0.5</x:v>
      </x:c>
      <x:c r="C383" s="19" t="str">
        <x:v>L3</x:v>
      </x:c>
      <x:c r="D383" s="23" t="n">
        <x:f>'130_联合算法'!C20</x:f>
        <x:v>0.1</x:v>
      </x:c>
      <x:c r="E383" s="460" t="n">
        <x:f>'117_价格概率传导'!A10</x:f>
        <x:v>229900</x:v>
      </x:c>
      <x:c r="F383" s="23" t="n">
        <x:f>'117_价格概率传导'!D10</x:f>
        <x:v>0.13</x:v>
      </x:c>
      <x:c r="G383" s="23" t="n">
        <x:f>SUM('117_价格概率传导'!$D$6:$D$9)</x:f>
        <x:v>0.8400000000000001</x:v>
      </x:c>
      <x:c r="H383" s="23" t="n">
        <x:f>SUM('117_价格概率传导'!$D$6:$D$10)</x:f>
        <x:v>0.9700000000000001</x:v>
      </x:c>
      <x:c r="I383" s="460" t="n">
        <x:f>'117_价格概率传导'!A20</x:f>
        <x:v>269900</x:v>
      </x:c>
      <x:c r="J383" s="23" t="n">
        <x:f>'117_价格概率传导'!D20</x:f>
        <x:v>0.23</x:v>
      </x:c>
      <x:c r="K383" s="23" t="n">
        <x:f>SUM('117_价格概率传导'!$D$16:$D$19)</x:f>
        <x:v>0.71</x:v>
      </x:c>
      <x:c r="L383" s="23" t="n">
        <x:f>SUM('117_价格概率传导'!$D$16:$D$20)</x:f>
        <x:v>0.94</x:v>
      </x:c>
      <x:c r="M383" s="23" t="n">
        <x:f>MAX(0,MIN(H383,L383)-MAX(G383,K383))</x:f>
        <x:v>0.09999999999999987</x:v>
      </x:c>
      <x:c r="N383" s="23" t="n">
        <x:f>B383*D383*M383</x:f>
        <x:v>0.004999999999999994</x:v>
      </x:c>
      <x:c r="O383" s="460" t="n">
        <x:f>MIN(299900,I383+20000)</x:f>
        <x:v>289900</x:v>
      </x:c>
      <x:c r="P383" s="460" t="n">
        <x:f>O383-40000</x:f>
        <x:v>249900</x:v>
      </x:c>
      <x:c r="Q383" s="460" t="n">
        <x:f>O383-20000</x:f>
        <x:v>269900</x:v>
      </x:c>
      <x:c r="R383" s="460" t="n">
        <x:f>O383-E383</x:f>
        <x:v>60000</x:v>
      </x:c>
      <x:c r="S383" s="460" t="n">
        <x:f>IF(P383&gt;0,P383-E383,"")</x:f>
        <x:v>20000</x:v>
      </x:c>
      <x:c r="T383" s="460" t="n">
        <x:f>IF(Q383&gt;0,Q383-E383,"")</x:f>
        <x:v>40000</x:v>
      </x:c>
      <x:c r="U383" s="23" t="n">
        <x:f>IF(R383&lt;30000,N383,0)</x:f>
        <x:v>0</x:v>
      </x:c>
      <x:c r="V383" s="23" t="n">
        <x:f>IF(P383&gt;0,N383,0)</x:f>
        <x:v>0.004999999999999994</x:v>
      </x:c>
      <x:c r="W383" s="23" t="n">
        <x:f>IF(AND(P383&gt;0,S383&lt;0),N383,0)</x:f>
        <x:v>0</x:v>
      </x:c>
      <x:c r="X383" s="23" t="n">
        <x:f>IF(AND(P383&gt;0,S383=0),N383,0)</x:f>
        <x:v>0</x:v>
      </x:c>
      <x:c r="Y383" s="23" t="n">
        <x:f>IF(Q383&gt;0,N383,0)</x:f>
        <x:v>0.004999999999999994</x:v>
      </x:c>
      <x:c r="Z383" s="460" t="n">
        <x:f>IF(P383&gt;0,N383*S383,0)</x:f>
        <x:v>99.99999999999989</x:v>
      </x:c>
      <x:c r="AA383" s="460" t="n">
        <x:f>IF(Q383&gt;0,N383*T383,0)</x:f>
        <x:v>199.99999999999977</x:v>
      </x:c>
      <x:c r="AB383" s="460" t="n">
        <x:f>N383*R383</x:f>
        <x:v>299.99999999999966</x:v>
      </x:c>
      <x:c r="AC383" s="460" t="n">
        <x:f>IF(N383&gt;0,R383,999999)</x:f>
        <x:v>60000</x:v>
      </x:c>
      <x:c r="AD383" s="460" t="n">
        <x:f>IF(AND(N383&gt;0,P383&gt;0),S383,999999)</x:f>
        <x:v>20000</x:v>
      </x:c>
      <x:c r="AE383" s="460" t="n">
        <x:f>IF(AND(N383&gt;0,Q383&gt;0),T383,999999)</x:f>
        <x:v>40000</x:v>
      </x:c>
      <x:c r="AF383" s="23" t="n">
        <x:f>B383*D383*F383*J383</x:f>
        <x:v>0.0014950000000000002</x:v>
      </x:c>
      <x:c r="AG383" s="23" t="n">
        <x:f>IF(P383&gt;0,AF383,0)</x:f>
        <x:v>0.0014950000000000002</x:v>
      </x:c>
      <x:c r="AH383" s="23" t="n">
        <x:f>IF(AND(P383&gt;0,S383&lt;0),AF383,0)</x:f>
        <x:v>0</x:v>
      </x:c>
      <x:c r="AI383" s="23" t="n">
        <x:f>IF(AND(P383&gt;0,S383=0),AF383,0)</x:f>
        <x:v>0</x:v>
      </x:c>
      <x:c r="AJ383" s="23" t="n">
        <x:f>IF(R383&lt;30000,AF383,0)</x:f>
        <x:v>0</x:v>
      </x:c>
      <x:c r="AK383" s="460" t="n">
        <x:f>IF(P383&gt;0,AF383*S383,0)</x:f>
        <x:v>29.900000000000006</x:v>
      </x:c>
    </x:row>
    <x:row r="384" ht="22" customHeight="1">
      <x:c r="A384" s="643" t="str">
        <x:v>中心</x:v>
      </x:c>
      <x:c r="B384" s="648" t="n">
        <x:f>'114_降本系数'!B27</x:f>
        <x:v>0.5</x:v>
      </x:c>
      <x:c r="C384" s="643" t="str">
        <x:v>L3</x:v>
      </x:c>
      <x:c r="D384" s="648" t="n">
        <x:f>'130_联合算法'!C20</x:f>
        <x:v>0.1</x:v>
      </x:c>
      <x:c r="E384" s="647" t="n">
        <x:f>'117_价格概率传导'!A10</x:f>
        <x:v>229900</x:v>
      </x:c>
      <x:c r="F384" s="648" t="n">
        <x:f>'117_价格概率传导'!D10</x:f>
        <x:v>0.13</x:v>
      </x:c>
      <x:c r="G384" s="648" t="n">
        <x:f>SUM('117_价格概率传导'!$D$6:$D$9)</x:f>
        <x:v>0.8400000000000001</x:v>
      </x:c>
      <x:c r="H384" s="648" t="n">
        <x:f>SUM('117_价格概率传导'!$D$6:$D$10)</x:f>
        <x:v>0.9700000000000001</x:v>
      </x:c>
      <x:c r="I384" s="647" t="n">
        <x:f>'117_价格概率传导'!A21</x:f>
        <x:v>259900</x:v>
      </x:c>
      <x:c r="J384" s="648" t="n">
        <x:f>'117_价格概率传导'!D21</x:f>
        <x:v>0.06</x:v>
      </x:c>
      <x:c r="K384" s="648" t="n">
        <x:f>SUM('117_价格概率传导'!$D$16:$D$20)</x:f>
        <x:v>0.94</x:v>
      </x:c>
      <x:c r="L384" s="648" t="n">
        <x:f>SUM('117_价格概率传导'!$D$16:$D$21)</x:f>
        <x:v>1</x:v>
      </x:c>
      <x:c r="M384" s="648" t="n">
        <x:f>MAX(0,MIN(H384,L384)-MAX(G384,K384))</x:f>
        <x:v>0.030000000000000138</x:v>
      </x:c>
      <x:c r="N384" s="648" t="n">
        <x:f>B384*D384*M384</x:f>
        <x:v>0.001500000000000007</x:v>
      </x:c>
      <x:c r="O384" s="647" t="n">
        <x:f>MIN(299900,I384+20000)</x:f>
        <x:v>279900</x:v>
      </x:c>
      <x:c r="P384" s="647" t="n">
        <x:f>O384-40000</x:f>
        <x:v>239900</x:v>
      </x:c>
      <x:c r="Q384" s="647" t="n">
        <x:f>O384-20000</x:f>
        <x:v>259900</x:v>
      </x:c>
      <x:c r="R384" s="647" t="n">
        <x:f>O384-E384</x:f>
        <x:v>50000</x:v>
      </x:c>
      <x:c r="S384" s="647" t="n">
        <x:f>IF(P384&gt;0,P384-E384,"")</x:f>
        <x:v>10000</x:v>
      </x:c>
      <x:c r="T384" s="647" t="n">
        <x:f>IF(Q384&gt;0,Q384-E384,"")</x:f>
        <x:v>30000</x:v>
      </x:c>
      <x:c r="U384" s="648" t="n">
        <x:f>IF(R384&lt;30000,N384,0)</x:f>
        <x:v>0</x:v>
      </x:c>
      <x:c r="V384" s="648" t="n">
        <x:f>IF(P384&gt;0,N384,0)</x:f>
        <x:v>0.001500000000000007</x:v>
      </x:c>
      <x:c r="W384" s="648" t="n">
        <x:f>IF(AND(P384&gt;0,S384&lt;0),N384,0)</x:f>
        <x:v>0</x:v>
      </x:c>
      <x:c r="X384" s="648" t="n">
        <x:f>IF(AND(P384&gt;0,S384=0),N384,0)</x:f>
        <x:v>0</x:v>
      </x:c>
      <x:c r="Y384" s="648" t="n">
        <x:f>IF(Q384&gt;0,N384,0)</x:f>
        <x:v>0.001500000000000007</x:v>
      </x:c>
      <x:c r="Z384" s="647" t="n">
        <x:f>IF(P384&gt;0,N384*S384,0)</x:f>
        <x:v>15.00000000000007</x:v>
      </x:c>
      <x:c r="AA384" s="647" t="n">
        <x:f>IF(Q384&gt;0,N384*T384,0)</x:f>
        <x:v>45.000000000000206</x:v>
      </x:c>
      <x:c r="AB384" s="647" t="n">
        <x:f>N384*R384</x:f>
        <x:v>75.00000000000036</x:v>
      </x:c>
      <x:c r="AC384" s="647" t="n">
        <x:f>IF(N384&gt;0,R384,999999)</x:f>
        <x:v>50000</x:v>
      </x:c>
      <x:c r="AD384" s="647" t="n">
        <x:f>IF(AND(N384&gt;0,P384&gt;0),S384,999999)</x:f>
        <x:v>10000</x:v>
      </x:c>
      <x:c r="AE384" s="647" t="n">
        <x:f>IF(AND(N384&gt;0,Q384&gt;0),T384,999999)</x:f>
        <x:v>30000</x:v>
      </x:c>
      <x:c r="AF384" s="648" t="n">
        <x:f>B384*D384*F384*J384</x:f>
        <x:v>0.00039</x:v>
      </x:c>
      <x:c r="AG384" s="648" t="n">
        <x:f>IF(P384&gt;0,AF384,0)</x:f>
        <x:v>0.00039</x:v>
      </x:c>
      <x:c r="AH384" s="648" t="n">
        <x:f>IF(AND(P384&gt;0,S384&lt;0),AF384,0)</x:f>
        <x:v>0</x:v>
      </x:c>
      <x:c r="AI384" s="648" t="n">
        <x:f>IF(AND(P384&gt;0,S384=0),AF384,0)</x:f>
        <x:v>0</x:v>
      </x:c>
      <x:c r="AJ384" s="648" t="n">
        <x:f>IF(R384&lt;30000,AF384,0)</x:f>
        <x:v>0</x:v>
      </x:c>
      <x:c r="AK384" s="647" t="n">
        <x:f>IF(P384&gt;0,AF384*S384,0)</x:f>
        <x:v>3.9</x:v>
      </x:c>
    </x:row>
    <x:row r="385" ht="22" customHeight="1">
      <x:c r="A385" s="19" t="str">
        <x:v>中心</x:v>
      </x:c>
      <x:c r="B385" s="23" t="n">
        <x:f>'114_降本系数'!B27</x:f>
        <x:v>0.5</x:v>
      </x:c>
      <x:c r="C385" s="19" t="str">
        <x:v>L3</x:v>
      </x:c>
      <x:c r="D385" s="23" t="n">
        <x:f>'130_联合算法'!C20</x:f>
        <x:v>0.1</x:v>
      </x:c>
      <x:c r="E385" s="460" t="n">
        <x:f>'117_价格概率传导'!A11</x:f>
        <x:v>219900</x:v>
      </x:c>
      <x:c r="F385" s="23" t="n">
        <x:f>'117_价格概率传导'!D11</x:f>
        <x:v>0.03</x:v>
      </x:c>
      <x:c r="G385" s="23" t="n">
        <x:f>SUM('117_价格概率传导'!$D$6:$D$10)</x:f>
        <x:v>0.9700000000000001</x:v>
      </x:c>
      <x:c r="H385" s="23" t="n">
        <x:f>SUM('117_价格概率传导'!$D$6:$D$11)</x:f>
        <x:v>1</x:v>
      </x:c>
      <x:c r="I385" s="460" t="n">
        <x:f>'117_价格概率传导'!A16</x:f>
        <x:v>299900</x:v>
      </x:c>
      <x:c r="J385" s="23" t="n">
        <x:f>'117_价格概率传导'!D16</x:f>
        <x:v>0.02</x:v>
      </x:c>
      <x:c r="K385" s="23" t="n">
        <x:f>0</x:f>
        <x:v>0</x:v>
      </x:c>
      <x:c r="L385" s="23" t="n">
        <x:f>SUM('117_价格概率传导'!$D$16:$D$16)</x:f>
        <x:v>0.02</x:v>
      </x:c>
      <x:c r="M385" s="23" t="n">
        <x:f>MAX(0,MIN(H385,L385)-MAX(G385,K385))</x:f>
        <x:v>0</x:v>
      </x:c>
      <x:c r="N385" s="23" t="n">
        <x:f>B385*D385*M385</x:f>
        <x:v>0</x:v>
      </x:c>
      <x:c r="O385" s="460" t="n">
        <x:f>MIN(299900,I385+20000)</x:f>
        <x:v>299900</x:v>
      </x:c>
      <x:c r="P385" s="460" t="n">
        <x:f>O385-40000</x:f>
        <x:v>259900</x:v>
      </x:c>
      <x:c r="Q385" s="460" t="n">
        <x:f>O385-20000</x:f>
        <x:v>279900</x:v>
      </x:c>
      <x:c r="R385" s="460" t="n">
        <x:f>O385-E385</x:f>
        <x:v>80000</x:v>
      </x:c>
      <x:c r="S385" s="460" t="n">
        <x:f>IF(P385&gt;0,P385-E385,"")</x:f>
        <x:v>40000</x:v>
      </x:c>
      <x:c r="T385" s="460" t="n">
        <x:f>IF(Q385&gt;0,Q385-E385,"")</x:f>
        <x:v>60000</x:v>
      </x:c>
      <x:c r="U385" s="23" t="n">
        <x:f>IF(R385&lt;30000,N385,0)</x:f>
        <x:v>0</x:v>
      </x:c>
      <x:c r="V385" s="23" t="n">
        <x:f>IF(P385&gt;0,N385,0)</x:f>
        <x:v>0</x:v>
      </x:c>
      <x:c r="W385" s="23" t="n">
        <x:f>IF(AND(P385&gt;0,S385&lt;0),N385,0)</x:f>
        <x:v>0</x:v>
      </x:c>
      <x:c r="X385" s="23" t="n">
        <x:f>IF(AND(P385&gt;0,S385=0),N385,0)</x:f>
        <x:v>0</x:v>
      </x:c>
      <x:c r="Y385" s="23" t="n">
        <x:f>IF(Q385&gt;0,N385,0)</x:f>
        <x:v>0</x:v>
      </x:c>
      <x:c r="Z385" s="460" t="n">
        <x:f>IF(P385&gt;0,N385*S385,0)</x:f>
        <x:v>0</x:v>
      </x:c>
      <x:c r="AA385" s="460" t="n">
        <x:f>IF(Q385&gt;0,N385*T385,0)</x:f>
        <x:v>0</x:v>
      </x:c>
      <x:c r="AB385" s="460" t="n">
        <x:f>N385*R385</x:f>
        <x:v>0</x:v>
      </x:c>
      <x:c r="AC385" s="460" t="n">
        <x:f>IF(N385&gt;0,R385,999999)</x:f>
        <x:v>999999</x:v>
      </x:c>
      <x:c r="AD385" s="460" t="n">
        <x:f>IF(AND(N385&gt;0,P385&gt;0),S385,999999)</x:f>
        <x:v>999999</x:v>
      </x:c>
      <x:c r="AE385" s="460" t="n">
        <x:f>IF(AND(N385&gt;0,Q385&gt;0),T385,999999)</x:f>
        <x:v>999999</x:v>
      </x:c>
      <x:c r="AF385" s="23" t="n">
        <x:f>B385*D385*F385*J385</x:f>
        <x:v>0.00003</x:v>
      </x:c>
      <x:c r="AG385" s="23" t="n">
        <x:f>IF(P385&gt;0,AF385,0)</x:f>
        <x:v>0.00003</x:v>
      </x:c>
      <x:c r="AH385" s="23" t="n">
        <x:f>IF(AND(P385&gt;0,S385&lt;0),AF385,0)</x:f>
        <x:v>0</x:v>
      </x:c>
      <x:c r="AI385" s="23" t="n">
        <x:f>IF(AND(P385&gt;0,S385=0),AF385,0)</x:f>
        <x:v>0</x:v>
      </x:c>
      <x:c r="AJ385" s="23" t="n">
        <x:f>IF(R385&lt;30000,AF385,0)</x:f>
        <x:v>0</x:v>
      </x:c>
      <x:c r="AK385" s="460" t="n">
        <x:f>IF(P385&gt;0,AF385*S385,0)</x:f>
        <x:v>1.2</x:v>
      </x:c>
    </x:row>
    <x:row r="386" ht="22" customHeight="1">
      <x:c r="A386" s="643" t="str">
        <x:v>中心</x:v>
      </x:c>
      <x:c r="B386" s="648" t="n">
        <x:f>'114_降本系数'!B27</x:f>
        <x:v>0.5</x:v>
      </x:c>
      <x:c r="C386" s="643" t="str">
        <x:v>L3</x:v>
      </x:c>
      <x:c r="D386" s="648" t="n">
        <x:f>'130_联合算法'!C20</x:f>
        <x:v>0.1</x:v>
      </x:c>
      <x:c r="E386" s="647" t="n">
        <x:f>'117_价格概率传导'!A11</x:f>
        <x:v>219900</x:v>
      </x:c>
      <x:c r="F386" s="648" t="n">
        <x:f>'117_价格概率传导'!D11</x:f>
        <x:v>0.03</x:v>
      </x:c>
      <x:c r="G386" s="648" t="n">
        <x:f>SUM('117_价格概率传导'!$D$6:$D$10)</x:f>
        <x:v>0.9700000000000001</x:v>
      </x:c>
      <x:c r="H386" s="648" t="n">
        <x:f>SUM('117_价格概率传导'!$D$6:$D$11)</x:f>
        <x:v>1</x:v>
      </x:c>
      <x:c r="I386" s="647" t="n">
        <x:f>'117_价格概率传导'!A17</x:f>
        <x:v>293900</x:v>
      </x:c>
      <x:c r="J386" s="648" t="n">
        <x:f>'117_价格概率传导'!D17</x:f>
        <x:v>0.03</x:v>
      </x:c>
      <x:c r="K386" s="648" t="n">
        <x:f>SUM('117_价格概率传导'!$D$16:$D$16)</x:f>
        <x:v>0.02</x:v>
      </x:c>
      <x:c r="L386" s="648" t="n">
        <x:f>SUM('117_价格概率传导'!$D$16:$D$17)</x:f>
        <x:v>0.05</x:v>
      </x:c>
      <x:c r="M386" s="648" t="n">
        <x:f>MAX(0,MIN(H386,L386)-MAX(G386,K386))</x:f>
        <x:v>0</x:v>
      </x:c>
      <x:c r="N386" s="648" t="n">
        <x:f>B386*D386*M386</x:f>
        <x:v>0</x:v>
      </x:c>
      <x:c r="O386" s="647" t="n">
        <x:f>MIN(299900,I386+20000)</x:f>
        <x:v>299900</x:v>
      </x:c>
      <x:c r="P386" s="647" t="n">
        <x:f>O386-40000</x:f>
        <x:v>259900</x:v>
      </x:c>
      <x:c r="Q386" s="647" t="n">
        <x:f>O386-20000</x:f>
        <x:v>279900</x:v>
      </x:c>
      <x:c r="R386" s="647" t="n">
        <x:f>O386-E386</x:f>
        <x:v>80000</x:v>
      </x:c>
      <x:c r="S386" s="647" t="n">
        <x:f>IF(P386&gt;0,P386-E386,"")</x:f>
        <x:v>40000</x:v>
      </x:c>
      <x:c r="T386" s="647" t="n">
        <x:f>IF(Q386&gt;0,Q386-E386,"")</x:f>
        <x:v>60000</x:v>
      </x:c>
      <x:c r="U386" s="648" t="n">
        <x:f>IF(R386&lt;30000,N386,0)</x:f>
        <x:v>0</x:v>
      </x:c>
      <x:c r="V386" s="648" t="n">
        <x:f>IF(P386&gt;0,N386,0)</x:f>
        <x:v>0</x:v>
      </x:c>
      <x:c r="W386" s="648" t="n">
        <x:f>IF(AND(P386&gt;0,S386&lt;0),N386,0)</x:f>
        <x:v>0</x:v>
      </x:c>
      <x:c r="X386" s="648" t="n">
        <x:f>IF(AND(P386&gt;0,S386=0),N386,0)</x:f>
        <x:v>0</x:v>
      </x:c>
      <x:c r="Y386" s="648" t="n">
        <x:f>IF(Q386&gt;0,N386,0)</x:f>
        <x:v>0</x:v>
      </x:c>
      <x:c r="Z386" s="647" t="n">
        <x:f>IF(P386&gt;0,N386*S386,0)</x:f>
        <x:v>0</x:v>
      </x:c>
      <x:c r="AA386" s="647" t="n">
        <x:f>IF(Q386&gt;0,N386*T386,0)</x:f>
        <x:v>0</x:v>
      </x:c>
      <x:c r="AB386" s="647" t="n">
        <x:f>N386*R386</x:f>
        <x:v>0</x:v>
      </x:c>
      <x:c r="AC386" s="647" t="n">
        <x:f>IF(N386&gt;0,R386,999999)</x:f>
        <x:v>999999</x:v>
      </x:c>
      <x:c r="AD386" s="647" t="n">
        <x:f>IF(AND(N386&gt;0,P386&gt;0),S386,999999)</x:f>
        <x:v>999999</x:v>
      </x:c>
      <x:c r="AE386" s="647" t="n">
        <x:f>IF(AND(N386&gt;0,Q386&gt;0),T386,999999)</x:f>
        <x:v>999999</x:v>
      </x:c>
      <x:c r="AF386" s="648" t="n">
        <x:f>B386*D386*F386*J386</x:f>
        <x:v>0.000044999999999999996</x:v>
      </x:c>
      <x:c r="AG386" s="648" t="n">
        <x:f>IF(P386&gt;0,AF386,0)</x:f>
        <x:v>0.000044999999999999996</x:v>
      </x:c>
      <x:c r="AH386" s="648" t="n">
        <x:f>IF(AND(P386&gt;0,S386&lt;0),AF386,0)</x:f>
        <x:v>0</x:v>
      </x:c>
      <x:c r="AI386" s="648" t="n">
        <x:f>IF(AND(P386&gt;0,S386=0),AF386,0)</x:f>
        <x:v>0</x:v>
      </x:c>
      <x:c r="AJ386" s="648" t="n">
        <x:f>IF(R386&lt;30000,AF386,0)</x:f>
        <x:v>0</x:v>
      </x:c>
      <x:c r="AK386" s="647" t="n">
        <x:f>IF(P386&gt;0,AF386*S386,0)</x:f>
        <x:v>1.7999999999999998</x:v>
      </x:c>
    </x:row>
    <x:row r="387" ht="22" customHeight="1">
      <x:c r="A387" s="19" t="str">
        <x:v>中心</x:v>
      </x:c>
      <x:c r="B387" s="23" t="n">
        <x:f>'114_降本系数'!B27</x:f>
        <x:v>0.5</x:v>
      </x:c>
      <x:c r="C387" s="19" t="str">
        <x:v>L3</x:v>
      </x:c>
      <x:c r="D387" s="23" t="n">
        <x:f>'130_联合算法'!C20</x:f>
        <x:v>0.1</x:v>
      </x:c>
      <x:c r="E387" s="460" t="n">
        <x:f>'117_价格概率传导'!A11</x:f>
        <x:v>219900</x:v>
      </x:c>
      <x:c r="F387" s="23" t="n">
        <x:f>'117_价格概率传导'!D11</x:f>
        <x:v>0.03</x:v>
      </x:c>
      <x:c r="G387" s="23" t="n">
        <x:f>SUM('117_价格概率传导'!$D$6:$D$10)</x:f>
        <x:v>0.9700000000000001</x:v>
      </x:c>
      <x:c r="H387" s="23" t="n">
        <x:f>SUM('117_价格概率传导'!$D$6:$D$11)</x:f>
        <x:v>1</x:v>
      </x:c>
      <x:c r="I387" s="460" t="n">
        <x:f>'117_价格概率传导'!A18</x:f>
        <x:v>289900</x:v>
      </x:c>
      <x:c r="J387" s="23" t="n">
        <x:f>'117_价格概率传导'!D18</x:f>
        <x:v>0.22</x:v>
      </x:c>
      <x:c r="K387" s="23" t="n">
        <x:f>SUM('117_价格概率传导'!$D$16:$D$17)</x:f>
        <x:v>0.05</x:v>
      </x:c>
      <x:c r="L387" s="23" t="n">
        <x:f>SUM('117_价格概率传导'!$D$16:$D$18)</x:f>
        <x:v>0.27</x:v>
      </x:c>
      <x:c r="M387" s="23" t="n">
        <x:f>MAX(0,MIN(H387,L387)-MAX(G387,K387))</x:f>
        <x:v>0</x:v>
      </x:c>
      <x:c r="N387" s="23" t="n">
        <x:f>B387*D387*M387</x:f>
        <x:v>0</x:v>
      </x:c>
      <x:c r="O387" s="460" t="n">
        <x:f>MIN(299900,I387+20000)</x:f>
        <x:v>299900</x:v>
      </x:c>
      <x:c r="P387" s="460" t="n">
        <x:f>O387-40000</x:f>
        <x:v>259900</x:v>
      </x:c>
      <x:c r="Q387" s="460" t="n">
        <x:f>O387-20000</x:f>
        <x:v>279900</x:v>
      </x:c>
      <x:c r="R387" s="460" t="n">
        <x:f>O387-E387</x:f>
        <x:v>80000</x:v>
      </x:c>
      <x:c r="S387" s="460" t="n">
        <x:f>IF(P387&gt;0,P387-E387,"")</x:f>
        <x:v>40000</x:v>
      </x:c>
      <x:c r="T387" s="460" t="n">
        <x:f>IF(Q387&gt;0,Q387-E387,"")</x:f>
        <x:v>60000</x:v>
      </x:c>
      <x:c r="U387" s="23" t="n">
        <x:f>IF(R387&lt;30000,N387,0)</x:f>
        <x:v>0</x:v>
      </x:c>
      <x:c r="V387" s="23" t="n">
        <x:f>IF(P387&gt;0,N387,0)</x:f>
        <x:v>0</x:v>
      </x:c>
      <x:c r="W387" s="23" t="n">
        <x:f>IF(AND(P387&gt;0,S387&lt;0),N387,0)</x:f>
        <x:v>0</x:v>
      </x:c>
      <x:c r="X387" s="23" t="n">
        <x:f>IF(AND(P387&gt;0,S387=0),N387,0)</x:f>
        <x:v>0</x:v>
      </x:c>
      <x:c r="Y387" s="23" t="n">
        <x:f>IF(Q387&gt;0,N387,0)</x:f>
        <x:v>0</x:v>
      </x:c>
      <x:c r="Z387" s="460" t="n">
        <x:f>IF(P387&gt;0,N387*S387,0)</x:f>
        <x:v>0</x:v>
      </x:c>
      <x:c r="AA387" s="460" t="n">
        <x:f>IF(Q387&gt;0,N387*T387,0)</x:f>
        <x:v>0</x:v>
      </x:c>
      <x:c r="AB387" s="460" t="n">
        <x:f>N387*R387</x:f>
        <x:v>0</x:v>
      </x:c>
      <x:c r="AC387" s="460" t="n">
        <x:f>IF(N387&gt;0,R387,999999)</x:f>
        <x:v>999999</x:v>
      </x:c>
      <x:c r="AD387" s="460" t="n">
        <x:f>IF(AND(N387&gt;0,P387&gt;0),S387,999999)</x:f>
        <x:v>999999</x:v>
      </x:c>
      <x:c r="AE387" s="460" t="n">
        <x:f>IF(AND(N387&gt;0,Q387&gt;0),T387,999999)</x:f>
        <x:v>999999</x:v>
      </x:c>
      <x:c r="AF387" s="23" t="n">
        <x:f>B387*D387*F387*J387</x:f>
        <x:v>0.00033</x:v>
      </x:c>
      <x:c r="AG387" s="23" t="n">
        <x:f>IF(P387&gt;0,AF387,0)</x:f>
        <x:v>0.00033</x:v>
      </x:c>
      <x:c r="AH387" s="23" t="n">
        <x:f>IF(AND(P387&gt;0,S387&lt;0),AF387,0)</x:f>
        <x:v>0</x:v>
      </x:c>
      <x:c r="AI387" s="23" t="n">
        <x:f>IF(AND(P387&gt;0,S387=0),AF387,0)</x:f>
        <x:v>0</x:v>
      </x:c>
      <x:c r="AJ387" s="23" t="n">
        <x:f>IF(R387&lt;30000,AF387,0)</x:f>
        <x:v>0</x:v>
      </x:c>
      <x:c r="AK387" s="460" t="n">
        <x:f>IF(P387&gt;0,AF387*S387,0)</x:f>
        <x:v>13.2</x:v>
      </x:c>
    </x:row>
    <x:row r="388" ht="22" customHeight="1">
      <x:c r="A388" s="643" t="str">
        <x:v>中心</x:v>
      </x:c>
      <x:c r="B388" s="648" t="n">
        <x:f>'114_降本系数'!B27</x:f>
        <x:v>0.5</x:v>
      </x:c>
      <x:c r="C388" s="643" t="str">
        <x:v>L3</x:v>
      </x:c>
      <x:c r="D388" s="648" t="n">
        <x:f>'130_联合算法'!C20</x:f>
        <x:v>0.1</x:v>
      </x:c>
      <x:c r="E388" s="647" t="n">
        <x:f>'117_价格概率传导'!A11</x:f>
        <x:v>219900</x:v>
      </x:c>
      <x:c r="F388" s="648" t="n">
        <x:f>'117_价格概率传导'!D11</x:f>
        <x:v>0.03</x:v>
      </x:c>
      <x:c r="G388" s="648" t="n">
        <x:f>SUM('117_价格概率传导'!$D$6:$D$10)</x:f>
        <x:v>0.9700000000000001</x:v>
      </x:c>
      <x:c r="H388" s="648" t="n">
        <x:f>SUM('117_价格概率传导'!$D$6:$D$11)</x:f>
        <x:v>1</x:v>
      </x:c>
      <x:c r="I388" s="647" t="n">
        <x:f>'117_价格概率传导'!A19</x:f>
        <x:v>279900</x:v>
      </x:c>
      <x:c r="J388" s="648" t="n">
        <x:f>'117_价格概率传导'!D19</x:f>
        <x:v>0.44</x:v>
      </x:c>
      <x:c r="K388" s="648" t="n">
        <x:f>SUM('117_价格概率传导'!$D$16:$D$18)</x:f>
        <x:v>0.27</x:v>
      </x:c>
      <x:c r="L388" s="648" t="n">
        <x:f>SUM('117_价格概率传导'!$D$16:$D$19)</x:f>
        <x:v>0.71</x:v>
      </x:c>
      <x:c r="M388" s="648" t="n">
        <x:f>MAX(0,MIN(H388,L388)-MAX(G388,K388))</x:f>
        <x:v>0</x:v>
      </x:c>
      <x:c r="N388" s="648" t="n">
        <x:f>B388*D388*M388</x:f>
        <x:v>0</x:v>
      </x:c>
      <x:c r="O388" s="647" t="n">
        <x:f>MIN(299900,I388+20000)</x:f>
        <x:v>299900</x:v>
      </x:c>
      <x:c r="P388" s="647" t="n">
        <x:f>O388-40000</x:f>
        <x:v>259900</x:v>
      </x:c>
      <x:c r="Q388" s="647" t="n">
        <x:f>O388-20000</x:f>
        <x:v>279900</x:v>
      </x:c>
      <x:c r="R388" s="647" t="n">
        <x:f>O388-E388</x:f>
        <x:v>80000</x:v>
      </x:c>
      <x:c r="S388" s="647" t="n">
        <x:f>IF(P388&gt;0,P388-E388,"")</x:f>
        <x:v>40000</x:v>
      </x:c>
      <x:c r="T388" s="647" t="n">
        <x:f>IF(Q388&gt;0,Q388-E388,"")</x:f>
        <x:v>60000</x:v>
      </x:c>
      <x:c r="U388" s="648" t="n">
        <x:f>IF(R388&lt;30000,N388,0)</x:f>
        <x:v>0</x:v>
      </x:c>
      <x:c r="V388" s="648" t="n">
        <x:f>IF(P388&gt;0,N388,0)</x:f>
        <x:v>0</x:v>
      </x:c>
      <x:c r="W388" s="648" t="n">
        <x:f>IF(AND(P388&gt;0,S388&lt;0),N388,0)</x:f>
        <x:v>0</x:v>
      </x:c>
      <x:c r="X388" s="648" t="n">
        <x:f>IF(AND(P388&gt;0,S388=0),N388,0)</x:f>
        <x:v>0</x:v>
      </x:c>
      <x:c r="Y388" s="648" t="n">
        <x:f>IF(Q388&gt;0,N388,0)</x:f>
        <x:v>0</x:v>
      </x:c>
      <x:c r="Z388" s="647" t="n">
        <x:f>IF(P388&gt;0,N388*S388,0)</x:f>
        <x:v>0</x:v>
      </x:c>
      <x:c r="AA388" s="647" t="n">
        <x:f>IF(Q388&gt;0,N388*T388,0)</x:f>
        <x:v>0</x:v>
      </x:c>
      <x:c r="AB388" s="647" t="n">
        <x:f>N388*R388</x:f>
        <x:v>0</x:v>
      </x:c>
      <x:c r="AC388" s="647" t="n">
        <x:f>IF(N388&gt;0,R388,999999)</x:f>
        <x:v>999999</x:v>
      </x:c>
      <x:c r="AD388" s="647" t="n">
        <x:f>IF(AND(N388&gt;0,P388&gt;0),S388,999999)</x:f>
        <x:v>999999</x:v>
      </x:c>
      <x:c r="AE388" s="647" t="n">
        <x:f>IF(AND(N388&gt;0,Q388&gt;0),T388,999999)</x:f>
        <x:v>999999</x:v>
      </x:c>
      <x:c r="AF388" s="648" t="n">
        <x:f>B388*D388*F388*J388</x:f>
        <x:v>0.00066</x:v>
      </x:c>
      <x:c r="AG388" s="648" t="n">
        <x:f>IF(P388&gt;0,AF388,0)</x:f>
        <x:v>0.00066</x:v>
      </x:c>
      <x:c r="AH388" s="648" t="n">
        <x:f>IF(AND(P388&gt;0,S388&lt;0),AF388,0)</x:f>
        <x:v>0</x:v>
      </x:c>
      <x:c r="AI388" s="648" t="n">
        <x:f>IF(AND(P388&gt;0,S388=0),AF388,0)</x:f>
        <x:v>0</x:v>
      </x:c>
      <x:c r="AJ388" s="648" t="n">
        <x:f>IF(R388&lt;30000,AF388,0)</x:f>
        <x:v>0</x:v>
      </x:c>
      <x:c r="AK388" s="647" t="n">
        <x:f>IF(P388&gt;0,AF388*S388,0)</x:f>
        <x:v>26.4</x:v>
      </x:c>
    </x:row>
    <x:row r="389" ht="22" customHeight="1">
      <x:c r="A389" s="19" t="str">
        <x:v>中心</x:v>
      </x:c>
      <x:c r="B389" s="23" t="n">
        <x:f>'114_降本系数'!B27</x:f>
        <x:v>0.5</x:v>
      </x:c>
      <x:c r="C389" s="19" t="str">
        <x:v>L3</x:v>
      </x:c>
      <x:c r="D389" s="23" t="n">
        <x:f>'130_联合算法'!C20</x:f>
        <x:v>0.1</x:v>
      </x:c>
      <x:c r="E389" s="460" t="n">
        <x:f>'117_价格概率传导'!A11</x:f>
        <x:v>219900</x:v>
      </x:c>
      <x:c r="F389" s="23" t="n">
        <x:f>'117_价格概率传导'!D11</x:f>
        <x:v>0.03</x:v>
      </x:c>
      <x:c r="G389" s="23" t="n">
        <x:f>SUM('117_价格概率传导'!$D$6:$D$10)</x:f>
        <x:v>0.9700000000000001</x:v>
      </x:c>
      <x:c r="H389" s="23" t="n">
        <x:f>SUM('117_价格概率传导'!$D$6:$D$11)</x:f>
        <x:v>1</x:v>
      </x:c>
      <x:c r="I389" s="460" t="n">
        <x:f>'117_价格概率传导'!A20</x:f>
        <x:v>269900</x:v>
      </x:c>
      <x:c r="J389" s="23" t="n">
        <x:f>'117_价格概率传导'!D20</x:f>
        <x:v>0.23</x:v>
      </x:c>
      <x:c r="K389" s="23" t="n">
        <x:f>SUM('117_价格概率传导'!$D$16:$D$19)</x:f>
        <x:v>0.71</x:v>
      </x:c>
      <x:c r="L389" s="23" t="n">
        <x:f>SUM('117_价格概率传导'!$D$16:$D$20)</x:f>
        <x:v>0.94</x:v>
      </x:c>
      <x:c r="M389" s="23" t="n">
        <x:f>MAX(0,MIN(H389,L389)-MAX(G389,K389))</x:f>
        <x:v>0</x:v>
      </x:c>
      <x:c r="N389" s="23" t="n">
        <x:f>B389*D389*M389</x:f>
        <x:v>0</x:v>
      </x:c>
      <x:c r="O389" s="460" t="n">
        <x:f>MIN(299900,I389+20000)</x:f>
        <x:v>289900</x:v>
      </x:c>
      <x:c r="P389" s="460" t="n">
        <x:f>O389-40000</x:f>
        <x:v>249900</x:v>
      </x:c>
      <x:c r="Q389" s="460" t="n">
        <x:f>O389-20000</x:f>
        <x:v>269900</x:v>
      </x:c>
      <x:c r="R389" s="460" t="n">
        <x:f>O389-E389</x:f>
        <x:v>70000</x:v>
      </x:c>
      <x:c r="S389" s="460" t="n">
        <x:f>IF(P389&gt;0,P389-E389,"")</x:f>
        <x:v>30000</x:v>
      </x:c>
      <x:c r="T389" s="460" t="n">
        <x:f>IF(Q389&gt;0,Q389-E389,"")</x:f>
        <x:v>50000</x:v>
      </x:c>
      <x:c r="U389" s="23" t="n">
        <x:f>IF(R389&lt;30000,N389,0)</x:f>
        <x:v>0</x:v>
      </x:c>
      <x:c r="V389" s="23" t="n">
        <x:f>IF(P389&gt;0,N389,0)</x:f>
        <x:v>0</x:v>
      </x:c>
      <x:c r="W389" s="23" t="n">
        <x:f>IF(AND(P389&gt;0,S389&lt;0),N389,0)</x:f>
        <x:v>0</x:v>
      </x:c>
      <x:c r="X389" s="23" t="n">
        <x:f>IF(AND(P389&gt;0,S389=0),N389,0)</x:f>
        <x:v>0</x:v>
      </x:c>
      <x:c r="Y389" s="23" t="n">
        <x:f>IF(Q389&gt;0,N389,0)</x:f>
        <x:v>0</x:v>
      </x:c>
      <x:c r="Z389" s="460" t="n">
        <x:f>IF(P389&gt;0,N389*S389,0)</x:f>
        <x:v>0</x:v>
      </x:c>
      <x:c r="AA389" s="460" t="n">
        <x:f>IF(Q389&gt;0,N389*T389,0)</x:f>
        <x:v>0</x:v>
      </x:c>
      <x:c r="AB389" s="460" t="n">
        <x:f>N389*R389</x:f>
        <x:v>0</x:v>
      </x:c>
      <x:c r="AC389" s="460" t="n">
        <x:f>IF(N389&gt;0,R389,999999)</x:f>
        <x:v>999999</x:v>
      </x:c>
      <x:c r="AD389" s="460" t="n">
        <x:f>IF(AND(N389&gt;0,P389&gt;0),S389,999999)</x:f>
        <x:v>999999</x:v>
      </x:c>
      <x:c r="AE389" s="460" t="n">
        <x:f>IF(AND(N389&gt;0,Q389&gt;0),T389,999999)</x:f>
        <x:v>999999</x:v>
      </x:c>
      <x:c r="AF389" s="23" t="n">
        <x:f>B389*D389*F389*J389</x:f>
        <x:v>0.00034500000000000004</x:v>
      </x:c>
      <x:c r="AG389" s="23" t="n">
        <x:f>IF(P389&gt;0,AF389,0)</x:f>
        <x:v>0.00034500000000000004</x:v>
      </x:c>
      <x:c r="AH389" s="23" t="n">
        <x:f>IF(AND(P389&gt;0,S389&lt;0),AF389,0)</x:f>
        <x:v>0</x:v>
      </x:c>
      <x:c r="AI389" s="23" t="n">
        <x:f>IF(AND(P389&gt;0,S389=0),AF389,0)</x:f>
        <x:v>0</x:v>
      </x:c>
      <x:c r="AJ389" s="23" t="n">
        <x:f>IF(R389&lt;30000,AF389,0)</x:f>
        <x:v>0</x:v>
      </x:c>
      <x:c r="AK389" s="460" t="n">
        <x:f>IF(P389&gt;0,AF389*S389,0)</x:f>
        <x:v>10.350000000000001</x:v>
      </x:c>
    </x:row>
    <x:row r="390" ht="22" customHeight="1">
      <x:c r="A390" s="643" t="str">
        <x:v>中心</x:v>
      </x:c>
      <x:c r="B390" s="648" t="n">
        <x:f>'114_降本系数'!B27</x:f>
        <x:v>0.5</x:v>
      </x:c>
      <x:c r="C390" s="643" t="str">
        <x:v>L3</x:v>
      </x:c>
      <x:c r="D390" s="648" t="n">
        <x:f>'130_联合算法'!C20</x:f>
        <x:v>0.1</x:v>
      </x:c>
      <x:c r="E390" s="647" t="n">
        <x:f>'117_价格概率传导'!A11</x:f>
        <x:v>219900</x:v>
      </x:c>
      <x:c r="F390" s="648" t="n">
        <x:f>'117_价格概率传导'!D11</x:f>
        <x:v>0.03</x:v>
      </x:c>
      <x:c r="G390" s="648" t="n">
        <x:f>SUM('117_价格概率传导'!$D$6:$D$10)</x:f>
        <x:v>0.9700000000000001</x:v>
      </x:c>
      <x:c r="H390" s="648" t="n">
        <x:f>SUM('117_价格概率传导'!$D$6:$D$11)</x:f>
        <x:v>1</x:v>
      </x:c>
      <x:c r="I390" s="647" t="n">
        <x:f>'117_价格概率传导'!A21</x:f>
        <x:v>259900</x:v>
      </x:c>
      <x:c r="J390" s="648" t="n">
        <x:f>'117_价格概率传导'!D21</x:f>
        <x:v>0.06</x:v>
      </x:c>
      <x:c r="K390" s="648" t="n">
        <x:f>SUM('117_价格概率传导'!$D$16:$D$20)</x:f>
        <x:v>0.94</x:v>
      </x:c>
      <x:c r="L390" s="648" t="n">
        <x:f>SUM('117_价格概率传导'!$D$16:$D$21)</x:f>
        <x:v>1</x:v>
      </x:c>
      <x:c r="M390" s="648" t="n">
        <x:f>MAX(0,MIN(H390,L390)-MAX(G390,K390))</x:f>
        <x:v>0.029999999999999916</x:v>
      </x:c>
      <x:c r="N390" s="648" t="n">
        <x:f>B390*D390*M390</x:f>
        <x:v>0.001499999999999996</x:v>
      </x:c>
      <x:c r="O390" s="647" t="n">
        <x:f>MIN(299900,I390+20000)</x:f>
        <x:v>279900</x:v>
      </x:c>
      <x:c r="P390" s="647" t="n">
        <x:f>O390-40000</x:f>
        <x:v>239900</x:v>
      </x:c>
      <x:c r="Q390" s="647" t="n">
        <x:f>O390-20000</x:f>
        <x:v>259900</x:v>
      </x:c>
      <x:c r="R390" s="647" t="n">
        <x:f>O390-E390</x:f>
        <x:v>60000</x:v>
      </x:c>
      <x:c r="S390" s="647" t="n">
        <x:f>IF(P390&gt;0,P390-E390,"")</x:f>
        <x:v>20000</x:v>
      </x:c>
      <x:c r="T390" s="647" t="n">
        <x:f>IF(Q390&gt;0,Q390-E390,"")</x:f>
        <x:v>40000</x:v>
      </x:c>
      <x:c r="U390" s="648" t="n">
        <x:f>IF(R390&lt;30000,N390,0)</x:f>
        <x:v>0</x:v>
      </x:c>
      <x:c r="V390" s="648" t="n">
        <x:f>IF(P390&gt;0,N390,0)</x:f>
        <x:v>0.001499999999999996</x:v>
      </x:c>
      <x:c r="W390" s="648" t="n">
        <x:f>IF(AND(P390&gt;0,S390&lt;0),N390,0)</x:f>
        <x:v>0</x:v>
      </x:c>
      <x:c r="X390" s="648" t="n">
        <x:f>IF(AND(P390&gt;0,S390=0),N390,0)</x:f>
        <x:v>0</x:v>
      </x:c>
      <x:c r="Y390" s="648" t="n">
        <x:f>IF(Q390&gt;0,N390,0)</x:f>
        <x:v>0.001499999999999996</x:v>
      </x:c>
      <x:c r="Z390" s="647" t="n">
        <x:f>IF(P390&gt;0,N390*S390,0)</x:f>
        <x:v>29.99999999999992</x:v>
      </x:c>
      <x:c r="AA390" s="647" t="n">
        <x:f>IF(Q390&gt;0,N390*T390,0)</x:f>
        <x:v>59.99999999999984</x:v>
      </x:c>
      <x:c r="AB390" s="647" t="n">
        <x:f>N390*R390</x:f>
        <x:v>89.99999999999976</x:v>
      </x:c>
      <x:c r="AC390" s="647" t="n">
        <x:f>IF(N390&gt;0,R390,999999)</x:f>
        <x:v>60000</x:v>
      </x:c>
      <x:c r="AD390" s="647" t="n">
        <x:f>IF(AND(N390&gt;0,P390&gt;0),S390,999999)</x:f>
        <x:v>20000</x:v>
      </x:c>
      <x:c r="AE390" s="647" t="n">
        <x:f>IF(AND(N390&gt;0,Q390&gt;0),T390,999999)</x:f>
        <x:v>40000</x:v>
      </x:c>
      <x:c r="AF390" s="648" t="n">
        <x:f>B390*D390*F390*J390</x:f>
        <x:v>0.00008999999999999999</x:v>
      </x:c>
      <x:c r="AG390" s="648" t="n">
        <x:f>IF(P390&gt;0,AF390,0)</x:f>
        <x:v>0.00008999999999999999</x:v>
      </x:c>
      <x:c r="AH390" s="648" t="n">
        <x:f>IF(AND(P390&gt;0,S390&lt;0),AF390,0)</x:f>
        <x:v>0</x:v>
      </x:c>
      <x:c r="AI390" s="648" t="n">
        <x:f>IF(AND(P390&gt;0,S390=0),AF390,0)</x:f>
        <x:v>0</x:v>
      </x:c>
      <x:c r="AJ390" s="648" t="n">
        <x:f>IF(R390&lt;30000,AF390,0)</x:f>
        <x:v>0</x:v>
      </x:c>
      <x:c r="AK390" s="647" t="n">
        <x:f>IF(P390&gt;0,AF390*S390,0)</x:f>
        <x:v>1.7999999999999998</x:v>
      </x:c>
    </x:row>
    <x:row r="391" ht="22" customHeight="1">
      <x:c r="A391" s="19" t="str">
        <x:v>进取</x:v>
      </x:c>
      <x:c r="B391" s="23" t="n">
        <x:f>'114_降本系数'!B28</x:f>
        <x:v>0.15</x:v>
      </x:c>
      <x:c r="C391" s="19" t="str">
        <x:v>L0</x:v>
      </x:c>
      <x:c r="D391" s="23" t="n">
        <x:f>'130_联合算法'!C16</x:f>
        <x:v>0.6</x:v>
      </x:c>
      <x:c r="E391" s="460" t="n">
        <x:f>'117_价格概率传导'!A6</x:f>
        <x:v>259900</x:v>
      </x:c>
      <x:c r="F391" s="23" t="n">
        <x:f>'117_价格概率传导'!E6</x:f>
        <x:v>0.01</x:v>
      </x:c>
      <x:c r="G391" s="23" t="n">
        <x:f>0</x:f>
        <x:v>0</x:v>
      </x:c>
      <x:c r="H391" s="23" t="n">
        <x:f>SUM('117_价格概率传导'!$E$6:$E$6)</x:f>
        <x:v>0.01</x:v>
      </x:c>
      <x:c r="I391" s="460" t="n">
        <x:f>'117_价格概率传导'!A16</x:f>
        <x:v>299900</x:v>
      </x:c>
      <x:c r="J391" s="23" t="n">
        <x:f>'117_价格概率传导'!E16</x:f>
        <x:v>0.01</x:v>
      </x:c>
      <x:c r="K391" s="23" t="n">
        <x:f>0</x:f>
        <x:v>0</x:v>
      </x:c>
      <x:c r="L391" s="23" t="n">
        <x:f>SUM('117_价格概率传导'!$E$16:$E$16)</x:f>
        <x:v>0.01</x:v>
      </x:c>
      <x:c r="M391" s="23" t="n">
        <x:f>MAX(0,MIN(H391,L391)-MAX(G391,K391))</x:f>
        <x:v>0.01</x:v>
      </x:c>
      <x:c r="N391" s="23" t="n">
        <x:f>B391*D391*M391</x:f>
        <x:v>0.0009</x:v>
      </x:c>
      <x:c r="O391" s="460" t="n">
        <x:f>I391</x:f>
        <x:v>299900</x:v>
      </x:c>
      <x:c r="P391" s="460" t="str">
        <x:f>""</x:f>
      </x:c>
      <x:c r="Q391" s="460" t="str">
        <x:f>""</x:f>
      </x:c>
      <x:c r="R391" s="460" t="n">
        <x:f>O391-E391</x:f>
        <x:v>40000</x:v>
      </x:c>
      <x:c r="S391" s="460" t="str">
        <x:f>IF(P391&gt;0,P391-E391,"")</x:f>
      </x:c>
      <x:c r="T391" s="460" t="str">
        <x:f>IF(Q391&gt;0,Q391-E391,"")</x:f>
      </x:c>
      <x:c r="U391" s="23" t="n">
        <x:f>IF(R391&lt;30000,N391,0)</x:f>
        <x:v>0</x:v>
      </x:c>
      <x:c r="V391" s="23" t="n">
        <x:f>IF(P391&gt;0,N391,0)</x:f>
        <x:v>0</x:v>
      </x:c>
      <x:c r="W391" s="23" t="n">
        <x:f>IF(AND(P391&gt;0,S391&lt;0),N391,0)</x:f>
        <x:v>0</x:v>
      </x:c>
      <x:c r="X391" s="23" t="n">
        <x:f>IF(AND(P391&gt;0,S391=0),N391,0)</x:f>
        <x:v>0</x:v>
      </x:c>
      <x:c r="Y391" s="23" t="n">
        <x:f>IF(Q391&gt;0,N391,0)</x:f>
        <x:v>0</x:v>
      </x:c>
      <x:c r="Z391" s="460" t="n">
        <x:f>IF(P391&gt;0,N391*S391,0)</x:f>
        <x:v>0</x:v>
      </x:c>
      <x:c r="AA391" s="460" t="n">
        <x:f>IF(Q391&gt;0,N391*T391,0)</x:f>
        <x:v>0</x:v>
      </x:c>
      <x:c r="AB391" s="460" t="n">
        <x:f>N391*R391</x:f>
        <x:v>36</x:v>
      </x:c>
      <x:c r="AC391" s="460" t="n">
        <x:f>IF(N391&gt;0,R391,999999)</x:f>
        <x:v>40000</x:v>
      </x:c>
      <x:c r="AD391" s="460" t="n">
        <x:f>IF(AND(N391&gt;0,P391&gt;0),S391,999999)</x:f>
        <x:v>999999</x:v>
      </x:c>
      <x:c r="AE391" s="460" t="n">
        <x:f>IF(AND(N391&gt;0,Q391&gt;0),T391,999999)</x:f>
        <x:v>999999</x:v>
      </x:c>
      <x:c r="AF391" s="23" t="n">
        <x:f>B391*D391*F391*J391</x:f>
        <x:v>0.000009</x:v>
      </x:c>
      <x:c r="AG391" s="23" t="n">
        <x:f>IF(P391&gt;0,AF391,0)</x:f>
        <x:v>0</x:v>
      </x:c>
      <x:c r="AH391" s="23" t="n">
        <x:f>IF(AND(P391&gt;0,S391&lt;0),AF391,0)</x:f>
        <x:v>0</x:v>
      </x:c>
      <x:c r="AI391" s="23" t="n">
        <x:f>IF(AND(P391&gt;0,S391=0),AF391,0)</x:f>
        <x:v>0</x:v>
      </x:c>
      <x:c r="AJ391" s="23" t="n">
        <x:f>IF(R391&lt;30000,AF391,0)</x:f>
        <x:v>0</x:v>
      </x:c>
      <x:c r="AK391" s="460" t="n">
        <x:f>IF(P391&gt;0,AF391*S391,0)</x:f>
        <x:v>0</x:v>
      </x:c>
    </x:row>
    <x:row r="392" ht="22" customHeight="1">
      <x:c r="A392" s="643" t="str">
        <x:v>进取</x:v>
      </x:c>
      <x:c r="B392" s="648" t="n">
        <x:f>'114_降本系数'!B28</x:f>
        <x:v>0.15</x:v>
      </x:c>
      <x:c r="C392" s="643" t="str">
        <x:v>L0</x:v>
      </x:c>
      <x:c r="D392" s="648" t="n">
        <x:f>'130_联合算法'!C16</x:f>
        <x:v>0.6</x:v>
      </x:c>
      <x:c r="E392" s="647" t="n">
        <x:f>'117_价格概率传导'!A6</x:f>
        <x:v>259900</x:v>
      </x:c>
      <x:c r="F392" s="648" t="n">
        <x:f>'117_价格概率传导'!E6</x:f>
        <x:v>0.01</x:v>
      </x:c>
      <x:c r="G392" s="648" t="n">
        <x:f>0</x:f>
        <x:v>0</x:v>
      </x:c>
      <x:c r="H392" s="648" t="n">
        <x:f>SUM('117_价格概率传导'!$E$6:$E$6)</x:f>
        <x:v>0.01</x:v>
      </x:c>
      <x:c r="I392" s="647" t="n">
        <x:f>'117_价格概率传导'!A17</x:f>
        <x:v>293900</x:v>
      </x:c>
      <x:c r="J392" s="648" t="n">
        <x:f>'117_价格概率传导'!E17</x:f>
        <x:v>0.01</x:v>
      </x:c>
      <x:c r="K392" s="648" t="n">
        <x:f>SUM('117_价格概率传导'!$E$16:$E$16)</x:f>
        <x:v>0.01</x:v>
      </x:c>
      <x:c r="L392" s="648" t="n">
        <x:f>SUM('117_价格概率传导'!$E$16:$E$17)</x:f>
        <x:v>0.02</x:v>
      </x:c>
      <x:c r="M392" s="648" t="n">
        <x:f>MAX(0,MIN(H392,L392)-MAX(G392,K392))</x:f>
        <x:v>0</x:v>
      </x:c>
      <x:c r="N392" s="648" t="n">
        <x:f>B392*D392*M392</x:f>
        <x:v>0</x:v>
      </x:c>
      <x:c r="O392" s="647" t="n">
        <x:f>I392</x:f>
        <x:v>293900</x:v>
      </x:c>
      <x:c r="P392" s="647" t="str">
        <x:f>""</x:f>
      </x:c>
      <x:c r="Q392" s="647" t="str">
        <x:f>""</x:f>
      </x:c>
      <x:c r="R392" s="647" t="n">
        <x:f>O392-E392</x:f>
        <x:v>34000</x:v>
      </x:c>
      <x:c r="S392" s="647" t="str">
        <x:f>IF(P392&gt;0,P392-E392,"")</x:f>
      </x:c>
      <x:c r="T392" s="647" t="str">
        <x:f>IF(Q392&gt;0,Q392-E392,"")</x:f>
      </x:c>
      <x:c r="U392" s="648" t="n">
        <x:f>IF(R392&lt;30000,N392,0)</x:f>
        <x:v>0</x:v>
      </x:c>
      <x:c r="V392" s="648" t="n">
        <x:f>IF(P392&gt;0,N392,0)</x:f>
        <x:v>0</x:v>
      </x:c>
      <x:c r="W392" s="648" t="n">
        <x:f>IF(AND(P392&gt;0,S392&lt;0),N392,0)</x:f>
        <x:v>0</x:v>
      </x:c>
      <x:c r="X392" s="648" t="n">
        <x:f>IF(AND(P392&gt;0,S392=0),N392,0)</x:f>
        <x:v>0</x:v>
      </x:c>
      <x:c r="Y392" s="648" t="n">
        <x:f>IF(Q392&gt;0,N392,0)</x:f>
        <x:v>0</x:v>
      </x:c>
      <x:c r="Z392" s="647" t="n">
        <x:f>IF(P392&gt;0,N392*S392,0)</x:f>
        <x:v>0</x:v>
      </x:c>
      <x:c r="AA392" s="647" t="n">
        <x:f>IF(Q392&gt;0,N392*T392,0)</x:f>
        <x:v>0</x:v>
      </x:c>
      <x:c r="AB392" s="647" t="n">
        <x:f>N392*R392</x:f>
        <x:v>0</x:v>
      </x:c>
      <x:c r="AC392" s="647" t="n">
        <x:f>IF(N392&gt;0,R392,999999)</x:f>
        <x:v>999999</x:v>
      </x:c>
      <x:c r="AD392" s="647" t="n">
        <x:f>IF(AND(N392&gt;0,P392&gt;0),S392,999999)</x:f>
        <x:v>999999</x:v>
      </x:c>
      <x:c r="AE392" s="647" t="n">
        <x:f>IF(AND(N392&gt;0,Q392&gt;0),T392,999999)</x:f>
        <x:v>999999</x:v>
      </x:c>
      <x:c r="AF392" s="648" t="n">
        <x:f>B392*D392*F392*J392</x:f>
        <x:v>0.000009</x:v>
      </x:c>
      <x:c r="AG392" s="648" t="n">
        <x:f>IF(P392&gt;0,AF392,0)</x:f>
        <x:v>0</x:v>
      </x:c>
      <x:c r="AH392" s="648" t="n">
        <x:f>IF(AND(P392&gt;0,S392&lt;0),AF392,0)</x:f>
        <x:v>0</x:v>
      </x:c>
      <x:c r="AI392" s="648" t="n">
        <x:f>IF(AND(P392&gt;0,S392=0),AF392,0)</x:f>
        <x:v>0</x:v>
      </x:c>
      <x:c r="AJ392" s="648" t="n">
        <x:f>IF(R392&lt;30000,AF392,0)</x:f>
        <x:v>0</x:v>
      </x:c>
      <x:c r="AK392" s="647" t="n">
        <x:f>IF(P392&gt;0,AF392*S392,0)</x:f>
        <x:v>0</x:v>
      </x:c>
    </x:row>
    <x:row r="393" ht="22" customHeight="1">
      <x:c r="A393" s="19" t="str">
        <x:v>进取</x:v>
      </x:c>
      <x:c r="B393" s="23" t="n">
        <x:f>'114_降本系数'!B28</x:f>
        <x:v>0.15</x:v>
      </x:c>
      <x:c r="C393" s="19" t="str">
        <x:v>L0</x:v>
      </x:c>
      <x:c r="D393" s="23" t="n">
        <x:f>'130_联合算法'!C16</x:f>
        <x:v>0.6</x:v>
      </x:c>
      <x:c r="E393" s="460" t="n">
        <x:f>'117_价格概率传导'!A6</x:f>
        <x:v>259900</x:v>
      </x:c>
      <x:c r="F393" s="23" t="n">
        <x:f>'117_价格概率传导'!E6</x:f>
        <x:v>0.01</x:v>
      </x:c>
      <x:c r="G393" s="23" t="n">
        <x:f>0</x:f>
        <x:v>0</x:v>
      </x:c>
      <x:c r="H393" s="23" t="n">
        <x:f>SUM('117_价格概率传导'!$E$6:$E$6)</x:f>
        <x:v>0.01</x:v>
      </x:c>
      <x:c r="I393" s="460" t="n">
        <x:f>'117_价格概率传导'!A18</x:f>
        <x:v>289900</x:v>
      </x:c>
      <x:c r="J393" s="23" t="n">
        <x:f>'117_价格概率传导'!E18</x:f>
        <x:v>0.1</x:v>
      </x:c>
      <x:c r="K393" s="23" t="n">
        <x:f>SUM('117_价格概率传导'!$E$16:$E$17)</x:f>
        <x:v>0.02</x:v>
      </x:c>
      <x:c r="L393" s="23" t="n">
        <x:f>SUM('117_价格概率传导'!$E$16:$E$18)</x:f>
        <x:v>0.12000000000000001</x:v>
      </x:c>
      <x:c r="M393" s="23" t="n">
        <x:f>MAX(0,MIN(H393,L393)-MAX(G393,K393))</x:f>
        <x:v>0</x:v>
      </x:c>
      <x:c r="N393" s="23" t="n">
        <x:f>B393*D393*M393</x:f>
        <x:v>0</x:v>
      </x:c>
      <x:c r="O393" s="460" t="n">
        <x:f>I393</x:f>
        <x:v>289900</x:v>
      </x:c>
      <x:c r="P393" s="460" t="str">
        <x:f>""</x:f>
      </x:c>
      <x:c r="Q393" s="460" t="str">
        <x:f>""</x:f>
      </x:c>
      <x:c r="R393" s="460" t="n">
        <x:f>O393-E393</x:f>
        <x:v>30000</x:v>
      </x:c>
      <x:c r="S393" s="460" t="str">
        <x:f>IF(P393&gt;0,P393-E393,"")</x:f>
      </x:c>
      <x:c r="T393" s="460" t="str">
        <x:f>IF(Q393&gt;0,Q393-E393,"")</x:f>
      </x:c>
      <x:c r="U393" s="23" t="n">
        <x:f>IF(R393&lt;30000,N393,0)</x:f>
        <x:v>0</x:v>
      </x:c>
      <x:c r="V393" s="23" t="n">
        <x:f>IF(P393&gt;0,N393,0)</x:f>
        <x:v>0</x:v>
      </x:c>
      <x:c r="W393" s="23" t="n">
        <x:f>IF(AND(P393&gt;0,S393&lt;0),N393,0)</x:f>
        <x:v>0</x:v>
      </x:c>
      <x:c r="X393" s="23" t="n">
        <x:f>IF(AND(P393&gt;0,S393=0),N393,0)</x:f>
        <x:v>0</x:v>
      </x:c>
      <x:c r="Y393" s="23" t="n">
        <x:f>IF(Q393&gt;0,N393,0)</x:f>
        <x:v>0</x:v>
      </x:c>
      <x:c r="Z393" s="460" t="n">
        <x:f>IF(P393&gt;0,N393*S393,0)</x:f>
        <x:v>0</x:v>
      </x:c>
      <x:c r="AA393" s="460" t="n">
        <x:f>IF(Q393&gt;0,N393*T393,0)</x:f>
        <x:v>0</x:v>
      </x:c>
      <x:c r="AB393" s="460" t="n">
        <x:f>N393*R393</x:f>
        <x:v>0</x:v>
      </x:c>
      <x:c r="AC393" s="460" t="n">
        <x:f>IF(N393&gt;0,R393,999999)</x:f>
        <x:v>999999</x:v>
      </x:c>
      <x:c r="AD393" s="460" t="n">
        <x:f>IF(AND(N393&gt;0,P393&gt;0),S393,999999)</x:f>
        <x:v>999999</x:v>
      </x:c>
      <x:c r="AE393" s="460" t="n">
        <x:f>IF(AND(N393&gt;0,Q393&gt;0),T393,999999)</x:f>
        <x:v>999999</x:v>
      </x:c>
      <x:c r="AF393" s="23" t="n">
        <x:f>B393*D393*F393*J393</x:f>
        <x:v>0.00009</x:v>
      </x:c>
      <x:c r="AG393" s="23" t="n">
        <x:f>IF(P393&gt;0,AF393,0)</x:f>
        <x:v>0</x:v>
      </x:c>
      <x:c r="AH393" s="23" t="n">
        <x:f>IF(AND(P393&gt;0,S393&lt;0),AF393,0)</x:f>
        <x:v>0</x:v>
      </x:c>
      <x:c r="AI393" s="23" t="n">
        <x:f>IF(AND(P393&gt;0,S393=0),AF393,0)</x:f>
        <x:v>0</x:v>
      </x:c>
      <x:c r="AJ393" s="23" t="n">
        <x:f>IF(R393&lt;30000,AF393,0)</x:f>
        <x:v>0</x:v>
      </x:c>
      <x:c r="AK393" s="460" t="n">
        <x:f>IF(P393&gt;0,AF393*S393,0)</x:f>
        <x:v>0</x:v>
      </x:c>
    </x:row>
    <x:row r="394" ht="22" customHeight="1">
      <x:c r="A394" s="643" t="str">
        <x:v>进取</x:v>
      </x:c>
      <x:c r="B394" s="648" t="n">
        <x:f>'114_降本系数'!B28</x:f>
        <x:v>0.15</x:v>
      </x:c>
      <x:c r="C394" s="643" t="str">
        <x:v>L0</x:v>
      </x:c>
      <x:c r="D394" s="648" t="n">
        <x:f>'130_联合算法'!C16</x:f>
        <x:v>0.6</x:v>
      </x:c>
      <x:c r="E394" s="647" t="n">
        <x:f>'117_价格概率传导'!A6</x:f>
        <x:v>259900</x:v>
      </x:c>
      <x:c r="F394" s="648" t="n">
        <x:f>'117_价格概率传导'!E6</x:f>
        <x:v>0.01</x:v>
      </x:c>
      <x:c r="G394" s="648" t="n">
        <x:f>0</x:f>
        <x:v>0</x:v>
      </x:c>
      <x:c r="H394" s="648" t="n">
        <x:f>SUM('117_价格概率传导'!$E$6:$E$6)</x:f>
        <x:v>0.01</x:v>
      </x:c>
      <x:c r="I394" s="647" t="n">
        <x:f>'117_价格概率传导'!A19</x:f>
        <x:v>279900</x:v>
      </x:c>
      <x:c r="J394" s="648" t="n">
        <x:f>'117_价格概率传导'!E19</x:f>
        <x:v>0.3</x:v>
      </x:c>
      <x:c r="K394" s="648" t="n">
        <x:f>SUM('117_价格概率传导'!$E$16:$E$18)</x:f>
        <x:v>0.12000000000000001</x:v>
      </x:c>
      <x:c r="L394" s="648" t="n">
        <x:f>SUM('117_价格概率传导'!$E$16:$E$19)</x:f>
        <x:v>0.42</x:v>
      </x:c>
      <x:c r="M394" s="648" t="n">
        <x:f>MAX(0,MIN(H394,L394)-MAX(G394,K394))</x:f>
        <x:v>0</x:v>
      </x:c>
      <x:c r="N394" s="648" t="n">
        <x:f>B394*D394*M394</x:f>
        <x:v>0</x:v>
      </x:c>
      <x:c r="O394" s="647" t="n">
        <x:f>I394</x:f>
        <x:v>279900</x:v>
      </x:c>
      <x:c r="P394" s="647" t="str">
        <x:f>""</x:f>
      </x:c>
      <x:c r="Q394" s="647" t="str">
        <x:f>""</x:f>
      </x:c>
      <x:c r="R394" s="647" t="n">
        <x:f>O394-E394</x:f>
        <x:v>20000</x:v>
      </x:c>
      <x:c r="S394" s="647" t="str">
        <x:f>IF(P394&gt;0,P394-E394,"")</x:f>
      </x:c>
      <x:c r="T394" s="647" t="str">
        <x:f>IF(Q394&gt;0,Q394-E394,"")</x:f>
      </x:c>
      <x:c r="U394" s="648" t="n">
        <x:f>IF(R394&lt;30000,N394,0)</x:f>
        <x:v>0</x:v>
      </x:c>
      <x:c r="V394" s="648" t="n">
        <x:f>IF(P394&gt;0,N394,0)</x:f>
        <x:v>0</x:v>
      </x:c>
      <x:c r="W394" s="648" t="n">
        <x:f>IF(AND(P394&gt;0,S394&lt;0),N394,0)</x:f>
        <x:v>0</x:v>
      </x:c>
      <x:c r="X394" s="648" t="n">
        <x:f>IF(AND(P394&gt;0,S394=0),N394,0)</x:f>
        <x:v>0</x:v>
      </x:c>
      <x:c r="Y394" s="648" t="n">
        <x:f>IF(Q394&gt;0,N394,0)</x:f>
        <x:v>0</x:v>
      </x:c>
      <x:c r="Z394" s="647" t="n">
        <x:f>IF(P394&gt;0,N394*S394,0)</x:f>
        <x:v>0</x:v>
      </x:c>
      <x:c r="AA394" s="647" t="n">
        <x:f>IF(Q394&gt;0,N394*T394,0)</x:f>
        <x:v>0</x:v>
      </x:c>
      <x:c r="AB394" s="647" t="n">
        <x:f>N394*R394</x:f>
        <x:v>0</x:v>
      </x:c>
      <x:c r="AC394" s="647" t="n">
        <x:f>IF(N394&gt;0,R394,999999)</x:f>
        <x:v>999999</x:v>
      </x:c>
      <x:c r="AD394" s="647" t="n">
        <x:f>IF(AND(N394&gt;0,P394&gt;0),S394,999999)</x:f>
        <x:v>999999</x:v>
      </x:c>
      <x:c r="AE394" s="647" t="n">
        <x:f>IF(AND(N394&gt;0,Q394&gt;0),T394,999999)</x:f>
        <x:v>999999</x:v>
      </x:c>
      <x:c r="AF394" s="648" t="n">
        <x:f>B394*D394*F394*J394</x:f>
        <x:v>0.00027</x:v>
      </x:c>
      <x:c r="AG394" s="648" t="n">
        <x:f>IF(P394&gt;0,AF394,0)</x:f>
        <x:v>0</x:v>
      </x:c>
      <x:c r="AH394" s="648" t="n">
        <x:f>IF(AND(P394&gt;0,S394&lt;0),AF394,0)</x:f>
        <x:v>0</x:v>
      </x:c>
      <x:c r="AI394" s="648" t="n">
        <x:f>IF(AND(P394&gt;0,S394=0),AF394,0)</x:f>
        <x:v>0</x:v>
      </x:c>
      <x:c r="AJ394" s="648" t="n">
        <x:f>IF(R394&lt;30000,AF394,0)</x:f>
        <x:v>0.00027</x:v>
      </x:c>
      <x:c r="AK394" s="647" t="n">
        <x:f>IF(P394&gt;0,AF394*S394,0)</x:f>
        <x:v>0</x:v>
      </x:c>
    </x:row>
    <x:row r="395" ht="22" customHeight="1">
      <x:c r="A395" s="19" t="str">
        <x:v>进取</x:v>
      </x:c>
      <x:c r="B395" s="23" t="n">
        <x:f>'114_降本系数'!B28</x:f>
        <x:v>0.15</x:v>
      </x:c>
      <x:c r="C395" s="19" t="str">
        <x:v>L0</x:v>
      </x:c>
      <x:c r="D395" s="23" t="n">
        <x:f>'130_联合算法'!C16</x:f>
        <x:v>0.6</x:v>
      </x:c>
      <x:c r="E395" s="460" t="n">
        <x:f>'117_价格概率传导'!A6</x:f>
        <x:v>259900</x:v>
      </x:c>
      <x:c r="F395" s="23" t="n">
        <x:f>'117_价格概率传导'!E6</x:f>
        <x:v>0.01</x:v>
      </x:c>
      <x:c r="G395" s="23" t="n">
        <x:f>0</x:f>
        <x:v>0</x:v>
      </x:c>
      <x:c r="H395" s="23" t="n">
        <x:f>SUM('117_价格概率传导'!$E$6:$E$6)</x:f>
        <x:v>0.01</x:v>
      </x:c>
      <x:c r="I395" s="460" t="n">
        <x:f>'117_价格概率传导'!A20</x:f>
        <x:v>269900</x:v>
      </x:c>
      <x:c r="J395" s="23" t="n">
        <x:f>'117_价格概率传导'!E20</x:f>
        <x:v>0.38</x:v>
      </x:c>
      <x:c r="K395" s="23" t="n">
        <x:f>SUM('117_价格概率传导'!$E$16:$E$19)</x:f>
        <x:v>0.42</x:v>
      </x:c>
      <x:c r="L395" s="23" t="n">
        <x:f>SUM('117_价格概率传导'!$E$16:$E$20)</x:f>
        <x:v>0.8</x:v>
      </x:c>
      <x:c r="M395" s="23" t="n">
        <x:f>MAX(0,MIN(H395,L395)-MAX(G395,K395))</x:f>
        <x:v>0</x:v>
      </x:c>
      <x:c r="N395" s="23" t="n">
        <x:f>B395*D395*M395</x:f>
        <x:v>0</x:v>
      </x:c>
      <x:c r="O395" s="460" t="n">
        <x:f>I395</x:f>
        <x:v>269900</x:v>
      </x:c>
      <x:c r="P395" s="460" t="str">
        <x:f>""</x:f>
      </x:c>
      <x:c r="Q395" s="460" t="str">
        <x:f>""</x:f>
      </x:c>
      <x:c r="R395" s="460" t="n">
        <x:f>O395-E395</x:f>
        <x:v>10000</x:v>
      </x:c>
      <x:c r="S395" s="460" t="str">
        <x:f>IF(P395&gt;0,P395-E395,"")</x:f>
      </x:c>
      <x:c r="T395" s="460" t="str">
        <x:f>IF(Q395&gt;0,Q395-E395,"")</x:f>
      </x:c>
      <x:c r="U395" s="23" t="n">
        <x:f>IF(R395&lt;30000,N395,0)</x:f>
        <x:v>0</x:v>
      </x:c>
      <x:c r="V395" s="23" t="n">
        <x:f>IF(P395&gt;0,N395,0)</x:f>
        <x:v>0</x:v>
      </x:c>
      <x:c r="W395" s="23" t="n">
        <x:f>IF(AND(P395&gt;0,S395&lt;0),N395,0)</x:f>
        <x:v>0</x:v>
      </x:c>
      <x:c r="X395" s="23" t="n">
        <x:f>IF(AND(P395&gt;0,S395=0),N395,0)</x:f>
        <x:v>0</x:v>
      </x:c>
      <x:c r="Y395" s="23" t="n">
        <x:f>IF(Q395&gt;0,N395,0)</x:f>
        <x:v>0</x:v>
      </x:c>
      <x:c r="Z395" s="460" t="n">
        <x:f>IF(P395&gt;0,N395*S395,0)</x:f>
        <x:v>0</x:v>
      </x:c>
      <x:c r="AA395" s="460" t="n">
        <x:f>IF(Q395&gt;0,N395*T395,0)</x:f>
        <x:v>0</x:v>
      </x:c>
      <x:c r="AB395" s="460" t="n">
        <x:f>N395*R395</x:f>
        <x:v>0</x:v>
      </x:c>
      <x:c r="AC395" s="460" t="n">
        <x:f>IF(N395&gt;0,R395,999999)</x:f>
        <x:v>999999</x:v>
      </x:c>
      <x:c r="AD395" s="460" t="n">
        <x:f>IF(AND(N395&gt;0,P395&gt;0),S395,999999)</x:f>
        <x:v>999999</x:v>
      </x:c>
      <x:c r="AE395" s="460" t="n">
        <x:f>IF(AND(N395&gt;0,Q395&gt;0),T395,999999)</x:f>
        <x:v>999999</x:v>
      </x:c>
      <x:c r="AF395" s="23" t="n">
        <x:f>B395*D395*F395*J395</x:f>
        <x:v>0.000342</x:v>
      </x:c>
      <x:c r="AG395" s="23" t="n">
        <x:f>IF(P395&gt;0,AF395,0)</x:f>
        <x:v>0</x:v>
      </x:c>
      <x:c r="AH395" s="23" t="n">
        <x:f>IF(AND(P395&gt;0,S395&lt;0),AF395,0)</x:f>
        <x:v>0</x:v>
      </x:c>
      <x:c r="AI395" s="23" t="n">
        <x:f>IF(AND(P395&gt;0,S395=0),AF395,0)</x:f>
        <x:v>0</x:v>
      </x:c>
      <x:c r="AJ395" s="23" t="n">
        <x:f>IF(R395&lt;30000,AF395,0)</x:f>
        <x:v>0.000342</x:v>
      </x:c>
      <x:c r="AK395" s="460" t="n">
        <x:f>IF(P395&gt;0,AF395*S395,0)</x:f>
        <x:v>0</x:v>
      </x:c>
    </x:row>
    <x:row r="396" ht="22" customHeight="1">
      <x:c r="A396" s="643" t="str">
        <x:v>进取</x:v>
      </x:c>
      <x:c r="B396" s="648" t="n">
        <x:f>'114_降本系数'!B28</x:f>
        <x:v>0.15</x:v>
      </x:c>
      <x:c r="C396" s="643" t="str">
        <x:v>L0</x:v>
      </x:c>
      <x:c r="D396" s="648" t="n">
        <x:f>'130_联合算法'!C16</x:f>
        <x:v>0.6</x:v>
      </x:c>
      <x:c r="E396" s="647" t="n">
        <x:f>'117_价格概率传导'!A6</x:f>
        <x:v>259900</x:v>
      </x:c>
      <x:c r="F396" s="648" t="n">
        <x:f>'117_价格概率传导'!E6</x:f>
        <x:v>0.01</x:v>
      </x:c>
      <x:c r="G396" s="648" t="n">
        <x:f>0</x:f>
        <x:v>0</x:v>
      </x:c>
      <x:c r="H396" s="648" t="n">
        <x:f>SUM('117_价格概率传导'!$E$6:$E$6)</x:f>
        <x:v>0.01</x:v>
      </x:c>
      <x:c r="I396" s="647" t="n">
        <x:f>'117_价格概率传导'!A21</x:f>
        <x:v>259900</x:v>
      </x:c>
      <x:c r="J396" s="648" t="n">
        <x:f>'117_价格概率传导'!E21</x:f>
        <x:v>0.2</x:v>
      </x:c>
      <x:c r="K396" s="648" t="n">
        <x:f>SUM('117_价格概率传导'!$E$16:$E$20)</x:f>
        <x:v>0.8</x:v>
      </x:c>
      <x:c r="L396" s="648" t="n">
        <x:f>SUM('117_价格概率传导'!$E$16:$E$21)</x:f>
        <x:v>1</x:v>
      </x:c>
      <x:c r="M396" s="648" t="n">
        <x:f>MAX(0,MIN(H396,L396)-MAX(G396,K396))</x:f>
        <x:v>0</x:v>
      </x:c>
      <x:c r="N396" s="648" t="n">
        <x:f>B396*D396*M396</x:f>
        <x:v>0</x:v>
      </x:c>
      <x:c r="O396" s="647" t="n">
        <x:f>I396</x:f>
        <x:v>259900</x:v>
      </x:c>
      <x:c r="P396" s="647" t="str">
        <x:f>""</x:f>
      </x:c>
      <x:c r="Q396" s="647" t="str">
        <x:f>""</x:f>
      </x:c>
      <x:c r="R396" s="647" t="n">
        <x:f>O396-E396</x:f>
        <x:v>0</x:v>
      </x:c>
      <x:c r="S396" s="647" t="str">
        <x:f>IF(P396&gt;0,P396-E396,"")</x:f>
      </x:c>
      <x:c r="T396" s="647" t="str">
        <x:f>IF(Q396&gt;0,Q396-E396,"")</x:f>
      </x:c>
      <x:c r="U396" s="648" t="n">
        <x:f>IF(R396&lt;30000,N396,0)</x:f>
        <x:v>0</x:v>
      </x:c>
      <x:c r="V396" s="648" t="n">
        <x:f>IF(P396&gt;0,N396,0)</x:f>
        <x:v>0</x:v>
      </x:c>
      <x:c r="W396" s="648" t="n">
        <x:f>IF(AND(P396&gt;0,S396&lt;0),N396,0)</x:f>
        <x:v>0</x:v>
      </x:c>
      <x:c r="X396" s="648" t="n">
        <x:f>IF(AND(P396&gt;0,S396=0),N396,0)</x:f>
        <x:v>0</x:v>
      </x:c>
      <x:c r="Y396" s="648" t="n">
        <x:f>IF(Q396&gt;0,N396,0)</x:f>
        <x:v>0</x:v>
      </x:c>
      <x:c r="Z396" s="647" t="n">
        <x:f>IF(P396&gt;0,N396*S396,0)</x:f>
        <x:v>0</x:v>
      </x:c>
      <x:c r="AA396" s="647" t="n">
        <x:f>IF(Q396&gt;0,N396*T396,0)</x:f>
        <x:v>0</x:v>
      </x:c>
      <x:c r="AB396" s="647" t="n">
        <x:f>N396*R396</x:f>
        <x:v>0</x:v>
      </x:c>
      <x:c r="AC396" s="647" t="n">
        <x:f>IF(N396&gt;0,R396,999999)</x:f>
        <x:v>999999</x:v>
      </x:c>
      <x:c r="AD396" s="647" t="n">
        <x:f>IF(AND(N396&gt;0,P396&gt;0),S396,999999)</x:f>
        <x:v>999999</x:v>
      </x:c>
      <x:c r="AE396" s="647" t="n">
        <x:f>IF(AND(N396&gt;0,Q396&gt;0),T396,999999)</x:f>
        <x:v>999999</x:v>
      </x:c>
      <x:c r="AF396" s="648" t="n">
        <x:f>B396*D396*F396*J396</x:f>
        <x:v>0.00018</x:v>
      </x:c>
      <x:c r="AG396" s="648" t="n">
        <x:f>IF(P396&gt;0,AF396,0)</x:f>
        <x:v>0</x:v>
      </x:c>
      <x:c r="AH396" s="648" t="n">
        <x:f>IF(AND(P396&gt;0,S396&lt;0),AF396,0)</x:f>
        <x:v>0</x:v>
      </x:c>
      <x:c r="AI396" s="648" t="n">
        <x:f>IF(AND(P396&gt;0,S396=0),AF396,0)</x:f>
        <x:v>0</x:v>
      </x:c>
      <x:c r="AJ396" s="648" t="n">
        <x:f>IF(R396&lt;30000,AF396,0)</x:f>
        <x:v>0.00018</x:v>
      </x:c>
      <x:c r="AK396" s="647" t="n">
        <x:f>IF(P396&gt;0,AF396*S396,0)</x:f>
        <x:v>0</x:v>
      </x:c>
    </x:row>
    <x:row r="397" ht="22" customHeight="1">
      <x:c r="A397" s="19" t="str">
        <x:v>进取</x:v>
      </x:c>
      <x:c r="B397" s="23" t="n">
        <x:f>'114_降本系数'!B28</x:f>
        <x:v>0.15</x:v>
      </x:c>
      <x:c r="C397" s="19" t="str">
        <x:v>L0</x:v>
      </x:c>
      <x:c r="D397" s="23" t="n">
        <x:f>'130_联合算法'!C16</x:f>
        <x:v>0.6</x:v>
      </x:c>
      <x:c r="E397" s="460" t="n">
        <x:f>'117_价格概率传导'!A7</x:f>
        <x:v>253900</x:v>
      </x:c>
      <x:c r="F397" s="23" t="n">
        <x:f>'117_价格概率传导'!E7</x:f>
        <x:v>0.02</x:v>
      </x:c>
      <x:c r="G397" s="23" t="n">
        <x:f>SUM('117_价格概率传导'!$E$6:$E$6)</x:f>
        <x:v>0.01</x:v>
      </x:c>
      <x:c r="H397" s="23" t="n">
        <x:f>SUM('117_价格概率传导'!$E$6:$E$7)</x:f>
        <x:v>0.03</x:v>
      </x:c>
      <x:c r="I397" s="460" t="n">
        <x:f>'117_价格概率传导'!A16</x:f>
        <x:v>299900</x:v>
      </x:c>
      <x:c r="J397" s="23" t="n">
        <x:f>'117_价格概率传导'!E16</x:f>
        <x:v>0.01</x:v>
      </x:c>
      <x:c r="K397" s="23" t="n">
        <x:f>0</x:f>
        <x:v>0</x:v>
      </x:c>
      <x:c r="L397" s="23" t="n">
        <x:f>SUM('117_价格概率传导'!$E$16:$E$16)</x:f>
        <x:v>0.01</x:v>
      </x:c>
      <x:c r="M397" s="23" t="n">
        <x:f>MAX(0,MIN(H397,L397)-MAX(G397,K397))</x:f>
        <x:v>0</x:v>
      </x:c>
      <x:c r="N397" s="23" t="n">
        <x:f>B397*D397*M397</x:f>
        <x:v>0</x:v>
      </x:c>
      <x:c r="O397" s="460" t="n">
        <x:f>I397</x:f>
        <x:v>299900</x:v>
      </x:c>
      <x:c r="P397" s="460" t="str">
        <x:f>""</x:f>
      </x:c>
      <x:c r="Q397" s="460" t="str">
        <x:f>""</x:f>
      </x:c>
      <x:c r="R397" s="460" t="n">
        <x:f>O397-E397</x:f>
        <x:v>46000</x:v>
      </x:c>
      <x:c r="S397" s="460" t="str">
        <x:f>IF(P397&gt;0,P397-E397,"")</x:f>
      </x:c>
      <x:c r="T397" s="460" t="str">
        <x:f>IF(Q397&gt;0,Q397-E397,"")</x:f>
      </x:c>
      <x:c r="U397" s="23" t="n">
        <x:f>IF(R397&lt;30000,N397,0)</x:f>
        <x:v>0</x:v>
      </x:c>
      <x:c r="V397" s="23" t="n">
        <x:f>IF(P397&gt;0,N397,0)</x:f>
        <x:v>0</x:v>
      </x:c>
      <x:c r="W397" s="23" t="n">
        <x:f>IF(AND(P397&gt;0,S397&lt;0),N397,0)</x:f>
        <x:v>0</x:v>
      </x:c>
      <x:c r="X397" s="23" t="n">
        <x:f>IF(AND(P397&gt;0,S397=0),N397,0)</x:f>
        <x:v>0</x:v>
      </x:c>
      <x:c r="Y397" s="23" t="n">
        <x:f>IF(Q397&gt;0,N397,0)</x:f>
        <x:v>0</x:v>
      </x:c>
      <x:c r="Z397" s="460" t="n">
        <x:f>IF(P397&gt;0,N397*S397,0)</x:f>
        <x:v>0</x:v>
      </x:c>
      <x:c r="AA397" s="460" t="n">
        <x:f>IF(Q397&gt;0,N397*T397,0)</x:f>
        <x:v>0</x:v>
      </x:c>
      <x:c r="AB397" s="460" t="n">
        <x:f>N397*R397</x:f>
        <x:v>0</x:v>
      </x:c>
      <x:c r="AC397" s="460" t="n">
        <x:f>IF(N397&gt;0,R397,999999)</x:f>
        <x:v>999999</x:v>
      </x:c>
      <x:c r="AD397" s="460" t="n">
        <x:f>IF(AND(N397&gt;0,P397&gt;0),S397,999999)</x:f>
        <x:v>999999</x:v>
      </x:c>
      <x:c r="AE397" s="460" t="n">
        <x:f>IF(AND(N397&gt;0,Q397&gt;0),T397,999999)</x:f>
        <x:v>999999</x:v>
      </x:c>
      <x:c r="AF397" s="23" t="n">
        <x:f>B397*D397*F397*J397</x:f>
        <x:v>0.000018</x:v>
      </x:c>
      <x:c r="AG397" s="23" t="n">
        <x:f>IF(P397&gt;0,AF397,0)</x:f>
        <x:v>0</x:v>
      </x:c>
      <x:c r="AH397" s="23" t="n">
        <x:f>IF(AND(P397&gt;0,S397&lt;0),AF397,0)</x:f>
        <x:v>0</x:v>
      </x:c>
      <x:c r="AI397" s="23" t="n">
        <x:f>IF(AND(P397&gt;0,S397=0),AF397,0)</x:f>
        <x:v>0</x:v>
      </x:c>
      <x:c r="AJ397" s="23" t="n">
        <x:f>IF(R397&lt;30000,AF397,0)</x:f>
        <x:v>0</x:v>
      </x:c>
      <x:c r="AK397" s="460" t="n">
        <x:f>IF(P397&gt;0,AF397*S397,0)</x:f>
        <x:v>0</x:v>
      </x:c>
    </x:row>
    <x:row r="398" ht="22" customHeight="1">
      <x:c r="A398" s="643" t="str">
        <x:v>进取</x:v>
      </x:c>
      <x:c r="B398" s="648" t="n">
        <x:f>'114_降本系数'!B28</x:f>
        <x:v>0.15</x:v>
      </x:c>
      <x:c r="C398" s="643" t="str">
        <x:v>L0</x:v>
      </x:c>
      <x:c r="D398" s="648" t="n">
        <x:f>'130_联合算法'!C16</x:f>
        <x:v>0.6</x:v>
      </x:c>
      <x:c r="E398" s="647" t="n">
        <x:f>'117_价格概率传导'!A7</x:f>
        <x:v>253900</x:v>
      </x:c>
      <x:c r="F398" s="648" t="n">
        <x:f>'117_价格概率传导'!E7</x:f>
        <x:v>0.02</x:v>
      </x:c>
      <x:c r="G398" s="648" t="n">
        <x:f>SUM('117_价格概率传导'!$E$6:$E$6)</x:f>
        <x:v>0.01</x:v>
      </x:c>
      <x:c r="H398" s="648" t="n">
        <x:f>SUM('117_价格概率传导'!$E$6:$E$7)</x:f>
        <x:v>0.03</x:v>
      </x:c>
      <x:c r="I398" s="647" t="n">
        <x:f>'117_价格概率传导'!A17</x:f>
        <x:v>293900</x:v>
      </x:c>
      <x:c r="J398" s="648" t="n">
        <x:f>'117_价格概率传导'!E17</x:f>
        <x:v>0.01</x:v>
      </x:c>
      <x:c r="K398" s="648" t="n">
        <x:f>SUM('117_价格概率传导'!$E$16:$E$16)</x:f>
        <x:v>0.01</x:v>
      </x:c>
      <x:c r="L398" s="648" t="n">
        <x:f>SUM('117_价格概率传导'!$E$16:$E$17)</x:f>
        <x:v>0.02</x:v>
      </x:c>
      <x:c r="M398" s="648" t="n">
        <x:f>MAX(0,MIN(H398,L398)-MAX(G398,K398))</x:f>
        <x:v>0.01</x:v>
      </x:c>
      <x:c r="N398" s="648" t="n">
        <x:f>B398*D398*M398</x:f>
        <x:v>0.0009</x:v>
      </x:c>
      <x:c r="O398" s="647" t="n">
        <x:f>I398</x:f>
        <x:v>293900</x:v>
      </x:c>
      <x:c r="P398" s="647" t="str">
        <x:f>""</x:f>
      </x:c>
      <x:c r="Q398" s="647" t="str">
        <x:f>""</x:f>
      </x:c>
      <x:c r="R398" s="647" t="n">
        <x:f>O398-E398</x:f>
        <x:v>40000</x:v>
      </x:c>
      <x:c r="S398" s="647" t="str">
        <x:f>IF(P398&gt;0,P398-E398,"")</x:f>
      </x:c>
      <x:c r="T398" s="647" t="str">
        <x:f>IF(Q398&gt;0,Q398-E398,"")</x:f>
      </x:c>
      <x:c r="U398" s="648" t="n">
        <x:f>IF(R398&lt;30000,N398,0)</x:f>
        <x:v>0</x:v>
      </x:c>
      <x:c r="V398" s="648" t="n">
        <x:f>IF(P398&gt;0,N398,0)</x:f>
        <x:v>0</x:v>
      </x:c>
      <x:c r="W398" s="648" t="n">
        <x:f>IF(AND(P398&gt;0,S398&lt;0),N398,0)</x:f>
        <x:v>0</x:v>
      </x:c>
      <x:c r="X398" s="648" t="n">
        <x:f>IF(AND(P398&gt;0,S398=0),N398,0)</x:f>
        <x:v>0</x:v>
      </x:c>
      <x:c r="Y398" s="648" t="n">
        <x:f>IF(Q398&gt;0,N398,0)</x:f>
        <x:v>0</x:v>
      </x:c>
      <x:c r="Z398" s="647" t="n">
        <x:f>IF(P398&gt;0,N398*S398,0)</x:f>
        <x:v>0</x:v>
      </x:c>
      <x:c r="AA398" s="647" t="n">
        <x:f>IF(Q398&gt;0,N398*T398,0)</x:f>
        <x:v>0</x:v>
      </x:c>
      <x:c r="AB398" s="647" t="n">
        <x:f>N398*R398</x:f>
        <x:v>36</x:v>
      </x:c>
      <x:c r="AC398" s="647" t="n">
        <x:f>IF(N398&gt;0,R398,999999)</x:f>
        <x:v>40000</x:v>
      </x:c>
      <x:c r="AD398" s="647" t="n">
        <x:f>IF(AND(N398&gt;0,P398&gt;0),S398,999999)</x:f>
        <x:v>999999</x:v>
      </x:c>
      <x:c r="AE398" s="647" t="n">
        <x:f>IF(AND(N398&gt;0,Q398&gt;0),T398,999999)</x:f>
        <x:v>999999</x:v>
      </x:c>
      <x:c r="AF398" s="648" t="n">
        <x:f>B398*D398*F398*J398</x:f>
        <x:v>0.000018</x:v>
      </x:c>
      <x:c r="AG398" s="648" t="n">
        <x:f>IF(P398&gt;0,AF398,0)</x:f>
        <x:v>0</x:v>
      </x:c>
      <x:c r="AH398" s="648" t="n">
        <x:f>IF(AND(P398&gt;0,S398&lt;0),AF398,0)</x:f>
        <x:v>0</x:v>
      </x:c>
      <x:c r="AI398" s="648" t="n">
        <x:f>IF(AND(P398&gt;0,S398=0),AF398,0)</x:f>
        <x:v>0</x:v>
      </x:c>
      <x:c r="AJ398" s="648" t="n">
        <x:f>IF(R398&lt;30000,AF398,0)</x:f>
        <x:v>0</x:v>
      </x:c>
      <x:c r="AK398" s="647" t="n">
        <x:f>IF(P398&gt;0,AF398*S398,0)</x:f>
        <x:v>0</x:v>
      </x:c>
    </x:row>
    <x:row r="399" ht="22" customHeight="1">
      <x:c r="A399" s="19" t="str">
        <x:v>进取</x:v>
      </x:c>
      <x:c r="B399" s="23" t="n">
        <x:f>'114_降本系数'!B28</x:f>
        <x:v>0.15</x:v>
      </x:c>
      <x:c r="C399" s="19" t="str">
        <x:v>L0</x:v>
      </x:c>
      <x:c r="D399" s="23" t="n">
        <x:f>'130_联合算法'!C16</x:f>
        <x:v>0.6</x:v>
      </x:c>
      <x:c r="E399" s="460" t="n">
        <x:f>'117_价格概率传导'!A7</x:f>
        <x:v>253900</x:v>
      </x:c>
      <x:c r="F399" s="23" t="n">
        <x:f>'117_价格概率传导'!E7</x:f>
        <x:v>0.02</x:v>
      </x:c>
      <x:c r="G399" s="23" t="n">
        <x:f>SUM('117_价格概率传导'!$E$6:$E$6)</x:f>
        <x:v>0.01</x:v>
      </x:c>
      <x:c r="H399" s="23" t="n">
        <x:f>SUM('117_价格概率传导'!$E$6:$E$7)</x:f>
        <x:v>0.03</x:v>
      </x:c>
      <x:c r="I399" s="460" t="n">
        <x:f>'117_价格概率传导'!A18</x:f>
        <x:v>289900</x:v>
      </x:c>
      <x:c r="J399" s="23" t="n">
        <x:f>'117_价格概率传导'!E18</x:f>
        <x:v>0.1</x:v>
      </x:c>
      <x:c r="K399" s="23" t="n">
        <x:f>SUM('117_价格概率传导'!$E$16:$E$17)</x:f>
        <x:v>0.02</x:v>
      </x:c>
      <x:c r="L399" s="23" t="n">
        <x:f>SUM('117_价格概率传导'!$E$16:$E$18)</x:f>
        <x:v>0.12000000000000001</x:v>
      </x:c>
      <x:c r="M399" s="23" t="n">
        <x:f>MAX(0,MIN(H399,L399)-MAX(G399,K399))</x:f>
        <x:v>0.009999999999999998</x:v>
      </x:c>
      <x:c r="N399" s="23" t="n">
        <x:f>B399*D399*M399</x:f>
        <x:v>0.0008999999999999999</x:v>
      </x:c>
      <x:c r="O399" s="460" t="n">
        <x:f>I399</x:f>
        <x:v>289900</x:v>
      </x:c>
      <x:c r="P399" s="460" t="str">
        <x:f>""</x:f>
      </x:c>
      <x:c r="Q399" s="460" t="str">
        <x:f>""</x:f>
      </x:c>
      <x:c r="R399" s="460" t="n">
        <x:f>O399-E399</x:f>
        <x:v>36000</x:v>
      </x:c>
      <x:c r="S399" s="460" t="str">
        <x:f>IF(P399&gt;0,P399-E399,"")</x:f>
      </x:c>
      <x:c r="T399" s="460" t="str">
        <x:f>IF(Q399&gt;0,Q399-E399,"")</x:f>
      </x:c>
      <x:c r="U399" s="23" t="n">
        <x:f>IF(R399&lt;30000,N399,0)</x:f>
        <x:v>0</x:v>
      </x:c>
      <x:c r="V399" s="23" t="n">
        <x:f>IF(P399&gt;0,N399,0)</x:f>
        <x:v>0</x:v>
      </x:c>
      <x:c r="W399" s="23" t="n">
        <x:f>IF(AND(P399&gt;0,S399&lt;0),N399,0)</x:f>
        <x:v>0</x:v>
      </x:c>
      <x:c r="X399" s="23" t="n">
        <x:f>IF(AND(P399&gt;0,S399=0),N399,0)</x:f>
        <x:v>0</x:v>
      </x:c>
      <x:c r="Y399" s="23" t="n">
        <x:f>IF(Q399&gt;0,N399,0)</x:f>
        <x:v>0</x:v>
      </x:c>
      <x:c r="Z399" s="460" t="n">
        <x:f>IF(P399&gt;0,N399*S399,0)</x:f>
        <x:v>0</x:v>
      </x:c>
      <x:c r="AA399" s="460" t="n">
        <x:f>IF(Q399&gt;0,N399*T399,0)</x:f>
        <x:v>0</x:v>
      </x:c>
      <x:c r="AB399" s="460" t="n">
        <x:f>N399*R399</x:f>
        <x:v>32.4</x:v>
      </x:c>
      <x:c r="AC399" s="460" t="n">
        <x:f>IF(N399&gt;0,R399,999999)</x:f>
        <x:v>36000</x:v>
      </x:c>
      <x:c r="AD399" s="460" t="n">
        <x:f>IF(AND(N399&gt;0,P399&gt;0),S399,999999)</x:f>
        <x:v>999999</x:v>
      </x:c>
      <x:c r="AE399" s="460" t="n">
        <x:f>IF(AND(N399&gt;0,Q399&gt;0),T399,999999)</x:f>
        <x:v>999999</x:v>
      </x:c>
      <x:c r="AF399" s="23" t="n">
        <x:f>B399*D399*F399*J399</x:f>
        <x:v>0.00018</x:v>
      </x:c>
      <x:c r="AG399" s="23" t="n">
        <x:f>IF(P399&gt;0,AF399,0)</x:f>
        <x:v>0</x:v>
      </x:c>
      <x:c r="AH399" s="23" t="n">
        <x:f>IF(AND(P399&gt;0,S399&lt;0),AF399,0)</x:f>
        <x:v>0</x:v>
      </x:c>
      <x:c r="AI399" s="23" t="n">
        <x:f>IF(AND(P399&gt;0,S399=0),AF399,0)</x:f>
        <x:v>0</x:v>
      </x:c>
      <x:c r="AJ399" s="23" t="n">
        <x:f>IF(R399&lt;30000,AF399,0)</x:f>
        <x:v>0</x:v>
      </x:c>
      <x:c r="AK399" s="460" t="n">
        <x:f>IF(P399&gt;0,AF399*S399,0)</x:f>
        <x:v>0</x:v>
      </x:c>
    </x:row>
    <x:row r="400" ht="22" customHeight="1">
      <x:c r="A400" s="643" t="str">
        <x:v>进取</x:v>
      </x:c>
      <x:c r="B400" s="648" t="n">
        <x:f>'114_降本系数'!B28</x:f>
        <x:v>0.15</x:v>
      </x:c>
      <x:c r="C400" s="643" t="str">
        <x:v>L0</x:v>
      </x:c>
      <x:c r="D400" s="648" t="n">
        <x:f>'130_联合算法'!C16</x:f>
        <x:v>0.6</x:v>
      </x:c>
      <x:c r="E400" s="647" t="n">
        <x:f>'117_价格概率传导'!A7</x:f>
        <x:v>253900</x:v>
      </x:c>
      <x:c r="F400" s="648" t="n">
        <x:f>'117_价格概率传导'!E7</x:f>
        <x:v>0.02</x:v>
      </x:c>
      <x:c r="G400" s="648" t="n">
        <x:f>SUM('117_价格概率传导'!$E$6:$E$6)</x:f>
        <x:v>0.01</x:v>
      </x:c>
      <x:c r="H400" s="648" t="n">
        <x:f>SUM('117_价格概率传导'!$E$6:$E$7)</x:f>
        <x:v>0.03</x:v>
      </x:c>
      <x:c r="I400" s="647" t="n">
        <x:f>'117_价格概率传导'!A19</x:f>
        <x:v>279900</x:v>
      </x:c>
      <x:c r="J400" s="648" t="n">
        <x:f>'117_价格概率传导'!E19</x:f>
        <x:v>0.3</x:v>
      </x:c>
      <x:c r="K400" s="648" t="n">
        <x:f>SUM('117_价格概率传导'!$E$16:$E$18)</x:f>
        <x:v>0.12000000000000001</x:v>
      </x:c>
      <x:c r="L400" s="648" t="n">
        <x:f>SUM('117_价格概率传导'!$E$16:$E$19)</x:f>
        <x:v>0.42</x:v>
      </x:c>
      <x:c r="M400" s="648" t="n">
        <x:f>MAX(0,MIN(H400,L400)-MAX(G400,K400))</x:f>
        <x:v>0</x:v>
      </x:c>
      <x:c r="N400" s="648" t="n">
        <x:f>B400*D400*M400</x:f>
        <x:v>0</x:v>
      </x:c>
      <x:c r="O400" s="647" t="n">
        <x:f>I400</x:f>
        <x:v>279900</x:v>
      </x:c>
      <x:c r="P400" s="647" t="str">
        <x:f>""</x:f>
      </x:c>
      <x:c r="Q400" s="647" t="str">
        <x:f>""</x:f>
      </x:c>
      <x:c r="R400" s="647" t="n">
        <x:f>O400-E400</x:f>
        <x:v>26000</x:v>
      </x:c>
      <x:c r="S400" s="647" t="str">
        <x:f>IF(P400&gt;0,P400-E400,"")</x:f>
      </x:c>
      <x:c r="T400" s="647" t="str">
        <x:f>IF(Q400&gt;0,Q400-E400,"")</x:f>
      </x:c>
      <x:c r="U400" s="648" t="n">
        <x:f>IF(R400&lt;30000,N400,0)</x:f>
        <x:v>0</x:v>
      </x:c>
      <x:c r="V400" s="648" t="n">
        <x:f>IF(P400&gt;0,N400,0)</x:f>
        <x:v>0</x:v>
      </x:c>
      <x:c r="W400" s="648" t="n">
        <x:f>IF(AND(P400&gt;0,S400&lt;0),N400,0)</x:f>
        <x:v>0</x:v>
      </x:c>
      <x:c r="X400" s="648" t="n">
        <x:f>IF(AND(P400&gt;0,S400=0),N400,0)</x:f>
        <x:v>0</x:v>
      </x:c>
      <x:c r="Y400" s="648" t="n">
        <x:f>IF(Q400&gt;0,N400,0)</x:f>
        <x:v>0</x:v>
      </x:c>
      <x:c r="Z400" s="647" t="n">
        <x:f>IF(P400&gt;0,N400*S400,0)</x:f>
        <x:v>0</x:v>
      </x:c>
      <x:c r="AA400" s="647" t="n">
        <x:f>IF(Q400&gt;0,N400*T400,0)</x:f>
        <x:v>0</x:v>
      </x:c>
      <x:c r="AB400" s="647" t="n">
        <x:f>N400*R400</x:f>
        <x:v>0</x:v>
      </x:c>
      <x:c r="AC400" s="647" t="n">
        <x:f>IF(N400&gt;0,R400,999999)</x:f>
        <x:v>999999</x:v>
      </x:c>
      <x:c r="AD400" s="647" t="n">
        <x:f>IF(AND(N400&gt;0,P400&gt;0),S400,999999)</x:f>
        <x:v>999999</x:v>
      </x:c>
      <x:c r="AE400" s="647" t="n">
        <x:f>IF(AND(N400&gt;0,Q400&gt;0),T400,999999)</x:f>
        <x:v>999999</x:v>
      </x:c>
      <x:c r="AF400" s="648" t="n">
        <x:f>B400*D400*F400*J400</x:f>
        <x:v>0.00054</x:v>
      </x:c>
      <x:c r="AG400" s="648" t="n">
        <x:f>IF(P400&gt;0,AF400,0)</x:f>
        <x:v>0</x:v>
      </x:c>
      <x:c r="AH400" s="648" t="n">
        <x:f>IF(AND(P400&gt;0,S400&lt;0),AF400,0)</x:f>
        <x:v>0</x:v>
      </x:c>
      <x:c r="AI400" s="648" t="n">
        <x:f>IF(AND(P400&gt;0,S400=0),AF400,0)</x:f>
        <x:v>0</x:v>
      </x:c>
      <x:c r="AJ400" s="648" t="n">
        <x:f>IF(R400&lt;30000,AF400,0)</x:f>
        <x:v>0.00054</x:v>
      </x:c>
      <x:c r="AK400" s="647" t="n">
        <x:f>IF(P400&gt;0,AF400*S400,0)</x:f>
        <x:v>0</x:v>
      </x:c>
    </x:row>
    <x:row r="401" ht="22" customHeight="1">
      <x:c r="A401" s="19" t="str">
        <x:v>进取</x:v>
      </x:c>
      <x:c r="B401" s="23" t="n">
        <x:f>'114_降本系数'!B28</x:f>
        <x:v>0.15</x:v>
      </x:c>
      <x:c r="C401" s="19" t="str">
        <x:v>L0</x:v>
      </x:c>
      <x:c r="D401" s="23" t="n">
        <x:f>'130_联合算法'!C16</x:f>
        <x:v>0.6</x:v>
      </x:c>
      <x:c r="E401" s="460" t="n">
        <x:f>'117_价格概率传导'!A7</x:f>
        <x:v>253900</x:v>
      </x:c>
      <x:c r="F401" s="23" t="n">
        <x:f>'117_价格概率传导'!E7</x:f>
        <x:v>0.02</x:v>
      </x:c>
      <x:c r="G401" s="23" t="n">
        <x:f>SUM('117_价格概率传导'!$E$6:$E$6)</x:f>
        <x:v>0.01</x:v>
      </x:c>
      <x:c r="H401" s="23" t="n">
        <x:f>SUM('117_价格概率传导'!$E$6:$E$7)</x:f>
        <x:v>0.03</x:v>
      </x:c>
      <x:c r="I401" s="460" t="n">
        <x:f>'117_价格概率传导'!A20</x:f>
        <x:v>269900</x:v>
      </x:c>
      <x:c r="J401" s="23" t="n">
        <x:f>'117_价格概率传导'!E20</x:f>
        <x:v>0.38</x:v>
      </x:c>
      <x:c r="K401" s="23" t="n">
        <x:f>SUM('117_价格概率传导'!$E$16:$E$19)</x:f>
        <x:v>0.42</x:v>
      </x:c>
      <x:c r="L401" s="23" t="n">
        <x:f>SUM('117_价格概率传导'!$E$16:$E$20)</x:f>
        <x:v>0.8</x:v>
      </x:c>
      <x:c r="M401" s="23" t="n">
        <x:f>MAX(0,MIN(H401,L401)-MAX(G401,K401))</x:f>
        <x:v>0</x:v>
      </x:c>
      <x:c r="N401" s="23" t="n">
        <x:f>B401*D401*M401</x:f>
        <x:v>0</x:v>
      </x:c>
      <x:c r="O401" s="460" t="n">
        <x:f>I401</x:f>
        <x:v>269900</x:v>
      </x:c>
      <x:c r="P401" s="460" t="str">
        <x:f>""</x:f>
      </x:c>
      <x:c r="Q401" s="460" t="str">
        <x:f>""</x:f>
      </x:c>
      <x:c r="R401" s="460" t="n">
        <x:f>O401-E401</x:f>
        <x:v>16000</x:v>
      </x:c>
      <x:c r="S401" s="460" t="str">
        <x:f>IF(P401&gt;0,P401-E401,"")</x:f>
      </x:c>
      <x:c r="T401" s="460" t="str">
        <x:f>IF(Q401&gt;0,Q401-E401,"")</x:f>
      </x:c>
      <x:c r="U401" s="23" t="n">
        <x:f>IF(R401&lt;30000,N401,0)</x:f>
        <x:v>0</x:v>
      </x:c>
      <x:c r="V401" s="23" t="n">
        <x:f>IF(P401&gt;0,N401,0)</x:f>
        <x:v>0</x:v>
      </x:c>
      <x:c r="W401" s="23" t="n">
        <x:f>IF(AND(P401&gt;0,S401&lt;0),N401,0)</x:f>
        <x:v>0</x:v>
      </x:c>
      <x:c r="X401" s="23" t="n">
        <x:f>IF(AND(P401&gt;0,S401=0),N401,0)</x:f>
        <x:v>0</x:v>
      </x:c>
      <x:c r="Y401" s="23" t="n">
        <x:f>IF(Q401&gt;0,N401,0)</x:f>
        <x:v>0</x:v>
      </x:c>
      <x:c r="Z401" s="460" t="n">
        <x:f>IF(P401&gt;0,N401*S401,0)</x:f>
        <x:v>0</x:v>
      </x:c>
      <x:c r="AA401" s="460" t="n">
        <x:f>IF(Q401&gt;0,N401*T401,0)</x:f>
        <x:v>0</x:v>
      </x:c>
      <x:c r="AB401" s="460" t="n">
        <x:f>N401*R401</x:f>
        <x:v>0</x:v>
      </x:c>
      <x:c r="AC401" s="460" t="n">
        <x:f>IF(N401&gt;0,R401,999999)</x:f>
        <x:v>999999</x:v>
      </x:c>
      <x:c r="AD401" s="460" t="n">
        <x:f>IF(AND(N401&gt;0,P401&gt;0),S401,999999)</x:f>
        <x:v>999999</x:v>
      </x:c>
      <x:c r="AE401" s="460" t="n">
        <x:f>IF(AND(N401&gt;0,Q401&gt;0),T401,999999)</x:f>
        <x:v>999999</x:v>
      </x:c>
      <x:c r="AF401" s="23" t="n">
        <x:f>B401*D401*F401*J401</x:f>
        <x:v>0.000684</x:v>
      </x:c>
      <x:c r="AG401" s="23" t="n">
        <x:f>IF(P401&gt;0,AF401,0)</x:f>
        <x:v>0</x:v>
      </x:c>
      <x:c r="AH401" s="23" t="n">
        <x:f>IF(AND(P401&gt;0,S401&lt;0),AF401,0)</x:f>
        <x:v>0</x:v>
      </x:c>
      <x:c r="AI401" s="23" t="n">
        <x:f>IF(AND(P401&gt;0,S401=0),AF401,0)</x:f>
        <x:v>0</x:v>
      </x:c>
      <x:c r="AJ401" s="23" t="n">
        <x:f>IF(R401&lt;30000,AF401,0)</x:f>
        <x:v>0.000684</x:v>
      </x:c>
      <x:c r="AK401" s="460" t="n">
        <x:f>IF(P401&gt;0,AF401*S401,0)</x:f>
        <x:v>0</x:v>
      </x:c>
    </x:row>
    <x:row r="402" ht="22" customHeight="1">
      <x:c r="A402" s="643" t="str">
        <x:v>进取</x:v>
      </x:c>
      <x:c r="B402" s="648" t="n">
        <x:f>'114_降本系数'!B28</x:f>
        <x:v>0.15</x:v>
      </x:c>
      <x:c r="C402" s="643" t="str">
        <x:v>L0</x:v>
      </x:c>
      <x:c r="D402" s="648" t="n">
        <x:f>'130_联合算法'!C16</x:f>
        <x:v>0.6</x:v>
      </x:c>
      <x:c r="E402" s="647" t="n">
        <x:f>'117_价格概率传导'!A7</x:f>
        <x:v>253900</x:v>
      </x:c>
      <x:c r="F402" s="648" t="n">
        <x:f>'117_价格概率传导'!E7</x:f>
        <x:v>0.02</x:v>
      </x:c>
      <x:c r="G402" s="648" t="n">
        <x:f>SUM('117_价格概率传导'!$E$6:$E$6)</x:f>
        <x:v>0.01</x:v>
      </x:c>
      <x:c r="H402" s="648" t="n">
        <x:f>SUM('117_价格概率传导'!$E$6:$E$7)</x:f>
        <x:v>0.03</x:v>
      </x:c>
      <x:c r="I402" s="647" t="n">
        <x:f>'117_价格概率传导'!A21</x:f>
        <x:v>259900</x:v>
      </x:c>
      <x:c r="J402" s="648" t="n">
        <x:f>'117_价格概率传导'!E21</x:f>
        <x:v>0.2</x:v>
      </x:c>
      <x:c r="K402" s="648" t="n">
        <x:f>SUM('117_价格概率传导'!$E$16:$E$20)</x:f>
        <x:v>0.8</x:v>
      </x:c>
      <x:c r="L402" s="648" t="n">
        <x:f>SUM('117_价格概率传导'!$E$16:$E$21)</x:f>
        <x:v>1</x:v>
      </x:c>
      <x:c r="M402" s="648" t="n">
        <x:f>MAX(0,MIN(H402,L402)-MAX(G402,K402))</x:f>
        <x:v>0</x:v>
      </x:c>
      <x:c r="N402" s="648" t="n">
        <x:f>B402*D402*M402</x:f>
        <x:v>0</x:v>
      </x:c>
      <x:c r="O402" s="647" t="n">
        <x:f>I402</x:f>
        <x:v>259900</x:v>
      </x:c>
      <x:c r="P402" s="647" t="str">
        <x:f>""</x:f>
      </x:c>
      <x:c r="Q402" s="647" t="str">
        <x:f>""</x:f>
      </x:c>
      <x:c r="R402" s="647" t="n">
        <x:f>O402-E402</x:f>
        <x:v>6000</x:v>
      </x:c>
      <x:c r="S402" s="647" t="str">
        <x:f>IF(P402&gt;0,P402-E402,"")</x:f>
      </x:c>
      <x:c r="T402" s="647" t="str">
        <x:f>IF(Q402&gt;0,Q402-E402,"")</x:f>
      </x:c>
      <x:c r="U402" s="648" t="n">
        <x:f>IF(R402&lt;30000,N402,0)</x:f>
        <x:v>0</x:v>
      </x:c>
      <x:c r="V402" s="648" t="n">
        <x:f>IF(P402&gt;0,N402,0)</x:f>
        <x:v>0</x:v>
      </x:c>
      <x:c r="W402" s="648" t="n">
        <x:f>IF(AND(P402&gt;0,S402&lt;0),N402,0)</x:f>
        <x:v>0</x:v>
      </x:c>
      <x:c r="X402" s="648" t="n">
        <x:f>IF(AND(P402&gt;0,S402=0),N402,0)</x:f>
        <x:v>0</x:v>
      </x:c>
      <x:c r="Y402" s="648" t="n">
        <x:f>IF(Q402&gt;0,N402,0)</x:f>
        <x:v>0</x:v>
      </x:c>
      <x:c r="Z402" s="647" t="n">
        <x:f>IF(P402&gt;0,N402*S402,0)</x:f>
        <x:v>0</x:v>
      </x:c>
      <x:c r="AA402" s="647" t="n">
        <x:f>IF(Q402&gt;0,N402*T402,0)</x:f>
        <x:v>0</x:v>
      </x:c>
      <x:c r="AB402" s="647" t="n">
        <x:f>N402*R402</x:f>
        <x:v>0</x:v>
      </x:c>
      <x:c r="AC402" s="647" t="n">
        <x:f>IF(N402&gt;0,R402,999999)</x:f>
        <x:v>999999</x:v>
      </x:c>
      <x:c r="AD402" s="647" t="n">
        <x:f>IF(AND(N402&gt;0,P402&gt;0),S402,999999)</x:f>
        <x:v>999999</x:v>
      </x:c>
      <x:c r="AE402" s="647" t="n">
        <x:f>IF(AND(N402&gt;0,Q402&gt;0),T402,999999)</x:f>
        <x:v>999999</x:v>
      </x:c>
      <x:c r="AF402" s="648" t="n">
        <x:f>B402*D402*F402*J402</x:f>
        <x:v>0.00036</x:v>
      </x:c>
      <x:c r="AG402" s="648" t="n">
        <x:f>IF(P402&gt;0,AF402,0)</x:f>
        <x:v>0</x:v>
      </x:c>
      <x:c r="AH402" s="648" t="n">
        <x:f>IF(AND(P402&gt;0,S402&lt;0),AF402,0)</x:f>
        <x:v>0</x:v>
      </x:c>
      <x:c r="AI402" s="648" t="n">
        <x:f>IF(AND(P402&gt;0,S402=0),AF402,0)</x:f>
        <x:v>0</x:v>
      </x:c>
      <x:c r="AJ402" s="648" t="n">
        <x:f>IF(R402&lt;30000,AF402,0)</x:f>
        <x:v>0.00036</x:v>
      </x:c>
      <x:c r="AK402" s="647" t="n">
        <x:f>IF(P402&gt;0,AF402*S402,0)</x:f>
        <x:v>0</x:v>
      </x:c>
    </x:row>
    <x:row r="403" ht="22" customHeight="1">
      <x:c r="A403" s="19" t="str">
        <x:v>进取</x:v>
      </x:c>
      <x:c r="B403" s="23" t="n">
        <x:f>'114_降本系数'!B28</x:f>
        <x:v>0.15</x:v>
      </x:c>
      <x:c r="C403" s="19" t="str">
        <x:v>L0</x:v>
      </x:c>
      <x:c r="D403" s="23" t="n">
        <x:f>'130_联合算法'!C16</x:f>
        <x:v>0.6</x:v>
      </x:c>
      <x:c r="E403" s="460" t="n">
        <x:f>'117_价格概率传导'!A8</x:f>
        <x:v>249900</x:v>
      </x:c>
      <x:c r="F403" s="23" t="n">
        <x:f>'117_价格概率传导'!E8</x:f>
        <x:v>0.22</x:v>
      </x:c>
      <x:c r="G403" s="23" t="n">
        <x:f>SUM('117_价格概率传导'!$E$6:$E$7)</x:f>
        <x:v>0.03</x:v>
      </x:c>
      <x:c r="H403" s="23" t="n">
        <x:f>SUM('117_价格概率传导'!$E$6:$E$8)</x:f>
        <x:v>0.25</x:v>
      </x:c>
      <x:c r="I403" s="460" t="n">
        <x:f>'117_价格概率传导'!A16</x:f>
        <x:v>299900</x:v>
      </x:c>
      <x:c r="J403" s="23" t="n">
        <x:f>'117_价格概率传导'!E16</x:f>
        <x:v>0.01</x:v>
      </x:c>
      <x:c r="K403" s="23" t="n">
        <x:f>0</x:f>
        <x:v>0</x:v>
      </x:c>
      <x:c r="L403" s="23" t="n">
        <x:f>SUM('117_价格概率传导'!$E$16:$E$16)</x:f>
        <x:v>0.01</x:v>
      </x:c>
      <x:c r="M403" s="23" t="n">
        <x:f>MAX(0,MIN(H403,L403)-MAX(G403,K403))</x:f>
        <x:v>0</x:v>
      </x:c>
      <x:c r="N403" s="23" t="n">
        <x:f>B403*D403*M403</x:f>
        <x:v>0</x:v>
      </x:c>
      <x:c r="O403" s="460" t="n">
        <x:f>I403</x:f>
        <x:v>299900</x:v>
      </x:c>
      <x:c r="P403" s="460" t="str">
        <x:f>""</x:f>
      </x:c>
      <x:c r="Q403" s="460" t="str">
        <x:f>""</x:f>
      </x:c>
      <x:c r="R403" s="460" t="n">
        <x:f>O403-E403</x:f>
        <x:v>50000</x:v>
      </x:c>
      <x:c r="S403" s="460" t="str">
        <x:f>IF(P403&gt;0,P403-E403,"")</x:f>
      </x:c>
      <x:c r="T403" s="460" t="str">
        <x:f>IF(Q403&gt;0,Q403-E403,"")</x:f>
      </x:c>
      <x:c r="U403" s="23" t="n">
        <x:f>IF(R403&lt;30000,N403,0)</x:f>
        <x:v>0</x:v>
      </x:c>
      <x:c r="V403" s="23" t="n">
        <x:f>IF(P403&gt;0,N403,0)</x:f>
        <x:v>0</x:v>
      </x:c>
      <x:c r="W403" s="23" t="n">
        <x:f>IF(AND(P403&gt;0,S403&lt;0),N403,0)</x:f>
        <x:v>0</x:v>
      </x:c>
      <x:c r="X403" s="23" t="n">
        <x:f>IF(AND(P403&gt;0,S403=0),N403,0)</x:f>
        <x:v>0</x:v>
      </x:c>
      <x:c r="Y403" s="23" t="n">
        <x:f>IF(Q403&gt;0,N403,0)</x:f>
        <x:v>0</x:v>
      </x:c>
      <x:c r="Z403" s="460" t="n">
        <x:f>IF(P403&gt;0,N403*S403,0)</x:f>
        <x:v>0</x:v>
      </x:c>
      <x:c r="AA403" s="460" t="n">
        <x:f>IF(Q403&gt;0,N403*T403,0)</x:f>
        <x:v>0</x:v>
      </x:c>
      <x:c r="AB403" s="460" t="n">
        <x:f>N403*R403</x:f>
        <x:v>0</x:v>
      </x:c>
      <x:c r="AC403" s="460" t="n">
        <x:f>IF(N403&gt;0,R403,999999)</x:f>
        <x:v>999999</x:v>
      </x:c>
      <x:c r="AD403" s="460" t="n">
        <x:f>IF(AND(N403&gt;0,P403&gt;0),S403,999999)</x:f>
        <x:v>999999</x:v>
      </x:c>
      <x:c r="AE403" s="460" t="n">
        <x:f>IF(AND(N403&gt;0,Q403&gt;0),T403,999999)</x:f>
        <x:v>999999</x:v>
      </x:c>
      <x:c r="AF403" s="23" t="n">
        <x:f>B403*D403*F403*J403</x:f>
        <x:v>0.000198</x:v>
      </x:c>
      <x:c r="AG403" s="23" t="n">
        <x:f>IF(P403&gt;0,AF403,0)</x:f>
        <x:v>0</x:v>
      </x:c>
      <x:c r="AH403" s="23" t="n">
        <x:f>IF(AND(P403&gt;0,S403&lt;0),AF403,0)</x:f>
        <x:v>0</x:v>
      </x:c>
      <x:c r="AI403" s="23" t="n">
        <x:f>IF(AND(P403&gt;0,S403=0),AF403,0)</x:f>
        <x:v>0</x:v>
      </x:c>
      <x:c r="AJ403" s="23" t="n">
        <x:f>IF(R403&lt;30000,AF403,0)</x:f>
        <x:v>0</x:v>
      </x:c>
      <x:c r="AK403" s="460" t="n">
        <x:f>IF(P403&gt;0,AF403*S403,0)</x:f>
        <x:v>0</x:v>
      </x:c>
    </x:row>
    <x:row r="404" ht="22" customHeight="1">
      <x:c r="A404" s="643" t="str">
        <x:v>进取</x:v>
      </x:c>
      <x:c r="B404" s="648" t="n">
        <x:f>'114_降本系数'!B28</x:f>
        <x:v>0.15</x:v>
      </x:c>
      <x:c r="C404" s="643" t="str">
        <x:v>L0</x:v>
      </x:c>
      <x:c r="D404" s="648" t="n">
        <x:f>'130_联合算法'!C16</x:f>
        <x:v>0.6</x:v>
      </x:c>
      <x:c r="E404" s="647" t="n">
        <x:f>'117_价格概率传导'!A8</x:f>
        <x:v>249900</x:v>
      </x:c>
      <x:c r="F404" s="648" t="n">
        <x:f>'117_价格概率传导'!E8</x:f>
        <x:v>0.22</x:v>
      </x:c>
      <x:c r="G404" s="648" t="n">
        <x:f>SUM('117_价格概率传导'!$E$6:$E$7)</x:f>
        <x:v>0.03</x:v>
      </x:c>
      <x:c r="H404" s="648" t="n">
        <x:f>SUM('117_价格概率传导'!$E$6:$E$8)</x:f>
        <x:v>0.25</x:v>
      </x:c>
      <x:c r="I404" s="647" t="n">
        <x:f>'117_价格概率传导'!A17</x:f>
        <x:v>293900</x:v>
      </x:c>
      <x:c r="J404" s="648" t="n">
        <x:f>'117_价格概率传导'!E17</x:f>
        <x:v>0.01</x:v>
      </x:c>
      <x:c r="K404" s="648" t="n">
        <x:f>SUM('117_价格概率传导'!$E$16:$E$16)</x:f>
        <x:v>0.01</x:v>
      </x:c>
      <x:c r="L404" s="648" t="n">
        <x:f>SUM('117_价格概率传导'!$E$16:$E$17)</x:f>
        <x:v>0.02</x:v>
      </x:c>
      <x:c r="M404" s="648" t="n">
        <x:f>MAX(0,MIN(H404,L404)-MAX(G404,K404))</x:f>
        <x:v>0</x:v>
      </x:c>
      <x:c r="N404" s="648" t="n">
        <x:f>B404*D404*M404</x:f>
        <x:v>0</x:v>
      </x:c>
      <x:c r="O404" s="647" t="n">
        <x:f>I404</x:f>
        <x:v>293900</x:v>
      </x:c>
      <x:c r="P404" s="647" t="str">
        <x:f>""</x:f>
      </x:c>
      <x:c r="Q404" s="647" t="str">
        <x:f>""</x:f>
      </x:c>
      <x:c r="R404" s="647" t="n">
        <x:f>O404-E404</x:f>
        <x:v>44000</x:v>
      </x:c>
      <x:c r="S404" s="647" t="str">
        <x:f>IF(P404&gt;0,P404-E404,"")</x:f>
      </x:c>
      <x:c r="T404" s="647" t="str">
        <x:f>IF(Q404&gt;0,Q404-E404,"")</x:f>
      </x:c>
      <x:c r="U404" s="648" t="n">
        <x:f>IF(R404&lt;30000,N404,0)</x:f>
        <x:v>0</x:v>
      </x:c>
      <x:c r="V404" s="648" t="n">
        <x:f>IF(P404&gt;0,N404,0)</x:f>
        <x:v>0</x:v>
      </x:c>
      <x:c r="W404" s="648" t="n">
        <x:f>IF(AND(P404&gt;0,S404&lt;0),N404,0)</x:f>
        <x:v>0</x:v>
      </x:c>
      <x:c r="X404" s="648" t="n">
        <x:f>IF(AND(P404&gt;0,S404=0),N404,0)</x:f>
        <x:v>0</x:v>
      </x:c>
      <x:c r="Y404" s="648" t="n">
        <x:f>IF(Q404&gt;0,N404,0)</x:f>
        <x:v>0</x:v>
      </x:c>
      <x:c r="Z404" s="647" t="n">
        <x:f>IF(P404&gt;0,N404*S404,0)</x:f>
        <x:v>0</x:v>
      </x:c>
      <x:c r="AA404" s="647" t="n">
        <x:f>IF(Q404&gt;0,N404*T404,0)</x:f>
        <x:v>0</x:v>
      </x:c>
      <x:c r="AB404" s="647" t="n">
        <x:f>N404*R404</x:f>
        <x:v>0</x:v>
      </x:c>
      <x:c r="AC404" s="647" t="n">
        <x:f>IF(N404&gt;0,R404,999999)</x:f>
        <x:v>999999</x:v>
      </x:c>
      <x:c r="AD404" s="647" t="n">
        <x:f>IF(AND(N404&gt;0,P404&gt;0),S404,999999)</x:f>
        <x:v>999999</x:v>
      </x:c>
      <x:c r="AE404" s="647" t="n">
        <x:f>IF(AND(N404&gt;0,Q404&gt;0),T404,999999)</x:f>
        <x:v>999999</x:v>
      </x:c>
      <x:c r="AF404" s="648" t="n">
        <x:f>B404*D404*F404*J404</x:f>
        <x:v>0.000198</x:v>
      </x:c>
      <x:c r="AG404" s="648" t="n">
        <x:f>IF(P404&gt;0,AF404,0)</x:f>
        <x:v>0</x:v>
      </x:c>
      <x:c r="AH404" s="648" t="n">
        <x:f>IF(AND(P404&gt;0,S404&lt;0),AF404,0)</x:f>
        <x:v>0</x:v>
      </x:c>
      <x:c r="AI404" s="648" t="n">
        <x:f>IF(AND(P404&gt;0,S404=0),AF404,0)</x:f>
        <x:v>0</x:v>
      </x:c>
      <x:c r="AJ404" s="648" t="n">
        <x:f>IF(R404&lt;30000,AF404,0)</x:f>
        <x:v>0</x:v>
      </x:c>
      <x:c r="AK404" s="647" t="n">
        <x:f>IF(P404&gt;0,AF404*S404,0)</x:f>
        <x:v>0</x:v>
      </x:c>
    </x:row>
    <x:row r="405" ht="22" customHeight="1">
      <x:c r="A405" s="19" t="str">
        <x:v>进取</x:v>
      </x:c>
      <x:c r="B405" s="23" t="n">
        <x:f>'114_降本系数'!B28</x:f>
        <x:v>0.15</x:v>
      </x:c>
      <x:c r="C405" s="19" t="str">
        <x:v>L0</x:v>
      </x:c>
      <x:c r="D405" s="23" t="n">
        <x:f>'130_联合算法'!C16</x:f>
        <x:v>0.6</x:v>
      </x:c>
      <x:c r="E405" s="460" t="n">
        <x:f>'117_价格概率传导'!A8</x:f>
        <x:v>249900</x:v>
      </x:c>
      <x:c r="F405" s="23" t="n">
        <x:f>'117_价格概率传导'!E8</x:f>
        <x:v>0.22</x:v>
      </x:c>
      <x:c r="G405" s="23" t="n">
        <x:f>SUM('117_价格概率传导'!$E$6:$E$7)</x:f>
        <x:v>0.03</x:v>
      </x:c>
      <x:c r="H405" s="23" t="n">
        <x:f>SUM('117_价格概率传导'!$E$6:$E$8)</x:f>
        <x:v>0.25</x:v>
      </x:c>
      <x:c r="I405" s="460" t="n">
        <x:f>'117_价格概率传导'!A18</x:f>
        <x:v>289900</x:v>
      </x:c>
      <x:c r="J405" s="23" t="n">
        <x:f>'117_价格概率传导'!E18</x:f>
        <x:v>0.1</x:v>
      </x:c>
      <x:c r="K405" s="23" t="n">
        <x:f>SUM('117_价格概率传导'!$E$16:$E$17)</x:f>
        <x:v>0.02</x:v>
      </x:c>
      <x:c r="L405" s="23" t="n">
        <x:f>SUM('117_价格概率传导'!$E$16:$E$18)</x:f>
        <x:v>0.12000000000000001</x:v>
      </x:c>
      <x:c r="M405" s="23" t="n">
        <x:f>MAX(0,MIN(H405,L405)-MAX(G405,K405))</x:f>
        <x:v>0.09000000000000001</x:v>
      </x:c>
      <x:c r="N405" s="23" t="n">
        <x:f>B405*D405*M405</x:f>
        <x:v>0.008100000000000001</x:v>
      </x:c>
      <x:c r="O405" s="460" t="n">
        <x:f>I405</x:f>
        <x:v>289900</x:v>
      </x:c>
      <x:c r="P405" s="460" t="str">
        <x:f>""</x:f>
      </x:c>
      <x:c r="Q405" s="460" t="str">
        <x:f>""</x:f>
      </x:c>
      <x:c r="R405" s="460" t="n">
        <x:f>O405-E405</x:f>
        <x:v>40000</x:v>
      </x:c>
      <x:c r="S405" s="460" t="str">
        <x:f>IF(P405&gt;0,P405-E405,"")</x:f>
      </x:c>
      <x:c r="T405" s="460" t="str">
        <x:f>IF(Q405&gt;0,Q405-E405,"")</x:f>
      </x:c>
      <x:c r="U405" s="23" t="n">
        <x:f>IF(R405&lt;30000,N405,0)</x:f>
        <x:v>0</x:v>
      </x:c>
      <x:c r="V405" s="23" t="n">
        <x:f>IF(P405&gt;0,N405,0)</x:f>
        <x:v>0</x:v>
      </x:c>
      <x:c r="W405" s="23" t="n">
        <x:f>IF(AND(P405&gt;0,S405&lt;0),N405,0)</x:f>
        <x:v>0</x:v>
      </x:c>
      <x:c r="X405" s="23" t="n">
        <x:f>IF(AND(P405&gt;0,S405=0),N405,0)</x:f>
        <x:v>0</x:v>
      </x:c>
      <x:c r="Y405" s="23" t="n">
        <x:f>IF(Q405&gt;0,N405,0)</x:f>
        <x:v>0</x:v>
      </x:c>
      <x:c r="Z405" s="460" t="n">
        <x:f>IF(P405&gt;0,N405*S405,0)</x:f>
        <x:v>0</x:v>
      </x:c>
      <x:c r="AA405" s="460" t="n">
        <x:f>IF(Q405&gt;0,N405*T405,0)</x:f>
        <x:v>0</x:v>
      </x:c>
      <x:c r="AB405" s="460" t="n">
        <x:f>N405*R405</x:f>
        <x:v>324.00000000000006</x:v>
      </x:c>
      <x:c r="AC405" s="460" t="n">
        <x:f>IF(N405&gt;0,R405,999999)</x:f>
        <x:v>40000</x:v>
      </x:c>
      <x:c r="AD405" s="460" t="n">
        <x:f>IF(AND(N405&gt;0,P405&gt;0),S405,999999)</x:f>
        <x:v>999999</x:v>
      </x:c>
      <x:c r="AE405" s="460" t="n">
        <x:f>IF(AND(N405&gt;0,Q405&gt;0),T405,999999)</x:f>
        <x:v>999999</x:v>
      </x:c>
      <x:c r="AF405" s="23" t="n">
        <x:f>B405*D405*F405*J405</x:f>
        <x:v>0.00198</x:v>
      </x:c>
      <x:c r="AG405" s="23" t="n">
        <x:f>IF(P405&gt;0,AF405,0)</x:f>
        <x:v>0</x:v>
      </x:c>
      <x:c r="AH405" s="23" t="n">
        <x:f>IF(AND(P405&gt;0,S405&lt;0),AF405,0)</x:f>
        <x:v>0</x:v>
      </x:c>
      <x:c r="AI405" s="23" t="n">
        <x:f>IF(AND(P405&gt;0,S405=0),AF405,0)</x:f>
        <x:v>0</x:v>
      </x:c>
      <x:c r="AJ405" s="23" t="n">
        <x:f>IF(R405&lt;30000,AF405,0)</x:f>
        <x:v>0</x:v>
      </x:c>
      <x:c r="AK405" s="460" t="n">
        <x:f>IF(P405&gt;0,AF405*S405,0)</x:f>
        <x:v>0</x:v>
      </x:c>
    </x:row>
    <x:row r="406" ht="22" customHeight="1">
      <x:c r="A406" s="643" t="str">
        <x:v>进取</x:v>
      </x:c>
      <x:c r="B406" s="648" t="n">
        <x:f>'114_降本系数'!B28</x:f>
        <x:v>0.15</x:v>
      </x:c>
      <x:c r="C406" s="643" t="str">
        <x:v>L0</x:v>
      </x:c>
      <x:c r="D406" s="648" t="n">
        <x:f>'130_联合算法'!C16</x:f>
        <x:v>0.6</x:v>
      </x:c>
      <x:c r="E406" s="647" t="n">
        <x:f>'117_价格概率传导'!A8</x:f>
        <x:v>249900</x:v>
      </x:c>
      <x:c r="F406" s="648" t="n">
        <x:f>'117_价格概率传导'!E8</x:f>
        <x:v>0.22</x:v>
      </x:c>
      <x:c r="G406" s="648" t="n">
        <x:f>SUM('117_价格概率传导'!$E$6:$E$7)</x:f>
        <x:v>0.03</x:v>
      </x:c>
      <x:c r="H406" s="648" t="n">
        <x:f>SUM('117_价格概率传导'!$E$6:$E$8)</x:f>
        <x:v>0.25</x:v>
      </x:c>
      <x:c r="I406" s="647" t="n">
        <x:f>'117_价格概率传导'!A19</x:f>
        <x:v>279900</x:v>
      </x:c>
      <x:c r="J406" s="648" t="n">
        <x:f>'117_价格概率传导'!E19</x:f>
        <x:v>0.3</x:v>
      </x:c>
      <x:c r="K406" s="648" t="n">
        <x:f>SUM('117_价格概率传导'!$E$16:$E$18)</x:f>
        <x:v>0.12000000000000001</x:v>
      </x:c>
      <x:c r="L406" s="648" t="n">
        <x:f>SUM('117_价格概率传导'!$E$16:$E$19)</x:f>
        <x:v>0.42</x:v>
      </x:c>
      <x:c r="M406" s="648" t="n">
        <x:f>MAX(0,MIN(H406,L406)-MAX(G406,K406))</x:f>
        <x:v>0.13</x:v>
      </x:c>
      <x:c r="N406" s="648" t="n">
        <x:f>B406*D406*M406</x:f>
        <x:v>0.0117</x:v>
      </x:c>
      <x:c r="O406" s="647" t="n">
        <x:f>I406</x:f>
        <x:v>279900</x:v>
      </x:c>
      <x:c r="P406" s="647" t="str">
        <x:f>""</x:f>
      </x:c>
      <x:c r="Q406" s="647" t="str">
        <x:f>""</x:f>
      </x:c>
      <x:c r="R406" s="647" t="n">
        <x:f>O406-E406</x:f>
        <x:v>30000</x:v>
      </x:c>
      <x:c r="S406" s="647" t="str">
        <x:f>IF(P406&gt;0,P406-E406,"")</x:f>
      </x:c>
      <x:c r="T406" s="647" t="str">
        <x:f>IF(Q406&gt;0,Q406-E406,"")</x:f>
      </x:c>
      <x:c r="U406" s="648" t="n">
        <x:f>IF(R406&lt;30000,N406,0)</x:f>
        <x:v>0</x:v>
      </x:c>
      <x:c r="V406" s="648" t="n">
        <x:f>IF(P406&gt;0,N406,0)</x:f>
        <x:v>0</x:v>
      </x:c>
      <x:c r="W406" s="648" t="n">
        <x:f>IF(AND(P406&gt;0,S406&lt;0),N406,0)</x:f>
        <x:v>0</x:v>
      </x:c>
      <x:c r="X406" s="648" t="n">
        <x:f>IF(AND(P406&gt;0,S406=0),N406,0)</x:f>
        <x:v>0</x:v>
      </x:c>
      <x:c r="Y406" s="648" t="n">
        <x:f>IF(Q406&gt;0,N406,0)</x:f>
        <x:v>0</x:v>
      </x:c>
      <x:c r="Z406" s="647" t="n">
        <x:f>IF(P406&gt;0,N406*S406,0)</x:f>
        <x:v>0</x:v>
      </x:c>
      <x:c r="AA406" s="647" t="n">
        <x:f>IF(Q406&gt;0,N406*T406,0)</x:f>
        <x:v>0</x:v>
      </x:c>
      <x:c r="AB406" s="647" t="n">
        <x:f>N406*R406</x:f>
        <x:v>351</x:v>
      </x:c>
      <x:c r="AC406" s="647" t="n">
        <x:f>IF(N406&gt;0,R406,999999)</x:f>
        <x:v>30000</x:v>
      </x:c>
      <x:c r="AD406" s="647" t="n">
        <x:f>IF(AND(N406&gt;0,P406&gt;0),S406,999999)</x:f>
        <x:v>999999</x:v>
      </x:c>
      <x:c r="AE406" s="647" t="n">
        <x:f>IF(AND(N406&gt;0,Q406&gt;0),T406,999999)</x:f>
        <x:v>999999</x:v>
      </x:c>
      <x:c r="AF406" s="648" t="n">
        <x:f>B406*D406*F406*J406</x:f>
        <x:v>0.005939999999999999</x:v>
      </x:c>
      <x:c r="AG406" s="648" t="n">
        <x:f>IF(P406&gt;0,AF406,0)</x:f>
        <x:v>0</x:v>
      </x:c>
      <x:c r="AH406" s="648" t="n">
        <x:f>IF(AND(P406&gt;0,S406&lt;0),AF406,0)</x:f>
        <x:v>0</x:v>
      </x:c>
      <x:c r="AI406" s="648" t="n">
        <x:f>IF(AND(P406&gt;0,S406=0),AF406,0)</x:f>
        <x:v>0</x:v>
      </x:c>
      <x:c r="AJ406" s="648" t="n">
        <x:f>IF(R406&lt;30000,AF406,0)</x:f>
        <x:v>0</x:v>
      </x:c>
      <x:c r="AK406" s="647" t="n">
        <x:f>IF(P406&gt;0,AF406*S406,0)</x:f>
        <x:v>0</x:v>
      </x:c>
    </x:row>
    <x:row r="407" ht="22" customHeight="1">
      <x:c r="A407" s="19" t="str">
        <x:v>进取</x:v>
      </x:c>
      <x:c r="B407" s="23" t="n">
        <x:f>'114_降本系数'!B28</x:f>
        <x:v>0.15</x:v>
      </x:c>
      <x:c r="C407" s="19" t="str">
        <x:v>L0</x:v>
      </x:c>
      <x:c r="D407" s="23" t="n">
        <x:f>'130_联合算法'!C16</x:f>
        <x:v>0.6</x:v>
      </x:c>
      <x:c r="E407" s="460" t="n">
        <x:f>'117_价格概率传导'!A8</x:f>
        <x:v>249900</x:v>
      </x:c>
      <x:c r="F407" s="23" t="n">
        <x:f>'117_价格概率传导'!E8</x:f>
        <x:v>0.22</x:v>
      </x:c>
      <x:c r="G407" s="23" t="n">
        <x:f>SUM('117_价格概率传导'!$E$6:$E$7)</x:f>
        <x:v>0.03</x:v>
      </x:c>
      <x:c r="H407" s="23" t="n">
        <x:f>SUM('117_价格概率传导'!$E$6:$E$8)</x:f>
        <x:v>0.25</x:v>
      </x:c>
      <x:c r="I407" s="460" t="n">
        <x:f>'117_价格概率传导'!A20</x:f>
        <x:v>269900</x:v>
      </x:c>
      <x:c r="J407" s="23" t="n">
        <x:f>'117_价格概率传导'!E20</x:f>
        <x:v>0.38</x:v>
      </x:c>
      <x:c r="K407" s="23" t="n">
        <x:f>SUM('117_价格概率传导'!$E$16:$E$19)</x:f>
        <x:v>0.42</x:v>
      </x:c>
      <x:c r="L407" s="23" t="n">
        <x:f>SUM('117_价格概率传导'!$E$16:$E$20)</x:f>
        <x:v>0.8</x:v>
      </x:c>
      <x:c r="M407" s="23" t="n">
        <x:f>MAX(0,MIN(H407,L407)-MAX(G407,K407))</x:f>
        <x:v>0</x:v>
      </x:c>
      <x:c r="N407" s="23" t="n">
        <x:f>B407*D407*M407</x:f>
        <x:v>0</x:v>
      </x:c>
      <x:c r="O407" s="460" t="n">
        <x:f>I407</x:f>
        <x:v>269900</x:v>
      </x:c>
      <x:c r="P407" s="460" t="str">
        <x:f>""</x:f>
      </x:c>
      <x:c r="Q407" s="460" t="str">
        <x:f>""</x:f>
      </x:c>
      <x:c r="R407" s="460" t="n">
        <x:f>O407-E407</x:f>
        <x:v>20000</x:v>
      </x:c>
      <x:c r="S407" s="460" t="str">
        <x:f>IF(P407&gt;0,P407-E407,"")</x:f>
      </x:c>
      <x:c r="T407" s="460" t="str">
        <x:f>IF(Q407&gt;0,Q407-E407,"")</x:f>
      </x:c>
      <x:c r="U407" s="23" t="n">
        <x:f>IF(R407&lt;30000,N407,0)</x:f>
        <x:v>0</x:v>
      </x:c>
      <x:c r="V407" s="23" t="n">
        <x:f>IF(P407&gt;0,N407,0)</x:f>
        <x:v>0</x:v>
      </x:c>
      <x:c r="W407" s="23" t="n">
        <x:f>IF(AND(P407&gt;0,S407&lt;0),N407,0)</x:f>
        <x:v>0</x:v>
      </x:c>
      <x:c r="X407" s="23" t="n">
        <x:f>IF(AND(P407&gt;0,S407=0),N407,0)</x:f>
        <x:v>0</x:v>
      </x:c>
      <x:c r="Y407" s="23" t="n">
        <x:f>IF(Q407&gt;0,N407,0)</x:f>
        <x:v>0</x:v>
      </x:c>
      <x:c r="Z407" s="460" t="n">
        <x:f>IF(P407&gt;0,N407*S407,0)</x:f>
        <x:v>0</x:v>
      </x:c>
      <x:c r="AA407" s="460" t="n">
        <x:f>IF(Q407&gt;0,N407*T407,0)</x:f>
        <x:v>0</x:v>
      </x:c>
      <x:c r="AB407" s="460" t="n">
        <x:f>N407*R407</x:f>
        <x:v>0</x:v>
      </x:c>
      <x:c r="AC407" s="460" t="n">
        <x:f>IF(N407&gt;0,R407,999999)</x:f>
        <x:v>999999</x:v>
      </x:c>
      <x:c r="AD407" s="460" t="n">
        <x:f>IF(AND(N407&gt;0,P407&gt;0),S407,999999)</x:f>
        <x:v>999999</x:v>
      </x:c>
      <x:c r="AE407" s="460" t="n">
        <x:f>IF(AND(N407&gt;0,Q407&gt;0),T407,999999)</x:f>
        <x:v>999999</x:v>
      </x:c>
      <x:c r="AF407" s="23" t="n">
        <x:f>B407*D407*F407*J407</x:f>
        <x:v>0.0075239999999999994</x:v>
      </x:c>
      <x:c r="AG407" s="23" t="n">
        <x:f>IF(P407&gt;0,AF407,0)</x:f>
        <x:v>0</x:v>
      </x:c>
      <x:c r="AH407" s="23" t="n">
        <x:f>IF(AND(P407&gt;0,S407&lt;0),AF407,0)</x:f>
        <x:v>0</x:v>
      </x:c>
      <x:c r="AI407" s="23" t="n">
        <x:f>IF(AND(P407&gt;0,S407=0),AF407,0)</x:f>
        <x:v>0</x:v>
      </x:c>
      <x:c r="AJ407" s="23" t="n">
        <x:f>IF(R407&lt;30000,AF407,0)</x:f>
        <x:v>0.0075239999999999994</x:v>
      </x:c>
      <x:c r="AK407" s="460" t="n">
        <x:f>IF(P407&gt;0,AF407*S407,0)</x:f>
        <x:v>0</x:v>
      </x:c>
    </x:row>
    <x:row r="408" ht="22" customHeight="1">
      <x:c r="A408" s="643" t="str">
        <x:v>进取</x:v>
      </x:c>
      <x:c r="B408" s="648" t="n">
        <x:f>'114_降本系数'!B28</x:f>
        <x:v>0.15</x:v>
      </x:c>
      <x:c r="C408" s="643" t="str">
        <x:v>L0</x:v>
      </x:c>
      <x:c r="D408" s="648" t="n">
        <x:f>'130_联合算法'!C16</x:f>
        <x:v>0.6</x:v>
      </x:c>
      <x:c r="E408" s="647" t="n">
        <x:f>'117_价格概率传导'!A8</x:f>
        <x:v>249900</x:v>
      </x:c>
      <x:c r="F408" s="648" t="n">
        <x:f>'117_价格概率传导'!E8</x:f>
        <x:v>0.22</x:v>
      </x:c>
      <x:c r="G408" s="648" t="n">
        <x:f>SUM('117_价格概率传导'!$E$6:$E$7)</x:f>
        <x:v>0.03</x:v>
      </x:c>
      <x:c r="H408" s="648" t="n">
        <x:f>SUM('117_价格概率传导'!$E$6:$E$8)</x:f>
        <x:v>0.25</x:v>
      </x:c>
      <x:c r="I408" s="647" t="n">
        <x:f>'117_价格概率传导'!A21</x:f>
        <x:v>259900</x:v>
      </x:c>
      <x:c r="J408" s="648" t="n">
        <x:f>'117_价格概率传导'!E21</x:f>
        <x:v>0.2</x:v>
      </x:c>
      <x:c r="K408" s="648" t="n">
        <x:f>SUM('117_价格概率传导'!$E$16:$E$20)</x:f>
        <x:v>0.8</x:v>
      </x:c>
      <x:c r="L408" s="648" t="n">
        <x:f>SUM('117_价格概率传导'!$E$16:$E$21)</x:f>
        <x:v>1</x:v>
      </x:c>
      <x:c r="M408" s="648" t="n">
        <x:f>MAX(0,MIN(H408,L408)-MAX(G408,K408))</x:f>
        <x:v>0</x:v>
      </x:c>
      <x:c r="N408" s="648" t="n">
        <x:f>B408*D408*M408</x:f>
        <x:v>0</x:v>
      </x:c>
      <x:c r="O408" s="647" t="n">
        <x:f>I408</x:f>
        <x:v>259900</x:v>
      </x:c>
      <x:c r="P408" s="647" t="str">
        <x:f>""</x:f>
      </x:c>
      <x:c r="Q408" s="647" t="str">
        <x:f>""</x:f>
      </x:c>
      <x:c r="R408" s="647" t="n">
        <x:f>O408-E408</x:f>
        <x:v>10000</x:v>
      </x:c>
      <x:c r="S408" s="647" t="str">
        <x:f>IF(P408&gt;0,P408-E408,"")</x:f>
      </x:c>
      <x:c r="T408" s="647" t="str">
        <x:f>IF(Q408&gt;0,Q408-E408,"")</x:f>
      </x:c>
      <x:c r="U408" s="648" t="n">
        <x:f>IF(R408&lt;30000,N408,0)</x:f>
        <x:v>0</x:v>
      </x:c>
      <x:c r="V408" s="648" t="n">
        <x:f>IF(P408&gt;0,N408,0)</x:f>
        <x:v>0</x:v>
      </x:c>
      <x:c r="W408" s="648" t="n">
        <x:f>IF(AND(P408&gt;0,S408&lt;0),N408,0)</x:f>
        <x:v>0</x:v>
      </x:c>
      <x:c r="X408" s="648" t="n">
        <x:f>IF(AND(P408&gt;0,S408=0),N408,0)</x:f>
        <x:v>0</x:v>
      </x:c>
      <x:c r="Y408" s="648" t="n">
        <x:f>IF(Q408&gt;0,N408,0)</x:f>
        <x:v>0</x:v>
      </x:c>
      <x:c r="Z408" s="647" t="n">
        <x:f>IF(P408&gt;0,N408*S408,0)</x:f>
        <x:v>0</x:v>
      </x:c>
      <x:c r="AA408" s="647" t="n">
        <x:f>IF(Q408&gt;0,N408*T408,0)</x:f>
        <x:v>0</x:v>
      </x:c>
      <x:c r="AB408" s="647" t="n">
        <x:f>N408*R408</x:f>
        <x:v>0</x:v>
      </x:c>
      <x:c r="AC408" s="647" t="n">
        <x:f>IF(N408&gt;0,R408,999999)</x:f>
        <x:v>999999</x:v>
      </x:c>
      <x:c r="AD408" s="647" t="n">
        <x:f>IF(AND(N408&gt;0,P408&gt;0),S408,999999)</x:f>
        <x:v>999999</x:v>
      </x:c>
      <x:c r="AE408" s="647" t="n">
        <x:f>IF(AND(N408&gt;0,Q408&gt;0),T408,999999)</x:f>
        <x:v>999999</x:v>
      </x:c>
      <x:c r="AF408" s="648" t="n">
        <x:f>B408*D408*F408*J408</x:f>
        <x:v>0.00396</x:v>
      </x:c>
      <x:c r="AG408" s="648" t="n">
        <x:f>IF(P408&gt;0,AF408,0)</x:f>
        <x:v>0</x:v>
      </x:c>
      <x:c r="AH408" s="648" t="n">
        <x:f>IF(AND(P408&gt;0,S408&lt;0),AF408,0)</x:f>
        <x:v>0</x:v>
      </x:c>
      <x:c r="AI408" s="648" t="n">
        <x:f>IF(AND(P408&gt;0,S408=0),AF408,0)</x:f>
        <x:v>0</x:v>
      </x:c>
      <x:c r="AJ408" s="648" t="n">
        <x:f>IF(R408&lt;30000,AF408,0)</x:f>
        <x:v>0.00396</x:v>
      </x:c>
      <x:c r="AK408" s="647" t="n">
        <x:f>IF(P408&gt;0,AF408*S408,0)</x:f>
        <x:v>0</x:v>
      </x:c>
    </x:row>
    <x:row r="409" ht="22" customHeight="1">
      <x:c r="A409" s="19" t="str">
        <x:v>进取</x:v>
      </x:c>
      <x:c r="B409" s="23" t="n">
        <x:f>'114_降本系数'!B28</x:f>
        <x:v>0.15</x:v>
      </x:c>
      <x:c r="C409" s="19" t="str">
        <x:v>L0</x:v>
      </x:c>
      <x:c r="D409" s="23" t="n">
        <x:f>'130_联合算法'!C16</x:f>
        <x:v>0.6</x:v>
      </x:c>
      <x:c r="E409" s="460" t="n">
        <x:f>'117_价格概率传导'!A9</x:f>
        <x:v>239900</x:v>
      </x:c>
      <x:c r="F409" s="23" t="n">
        <x:f>'117_价格概率传导'!E9</x:f>
        <x:v>0.32</x:v>
      </x:c>
      <x:c r="G409" s="23" t="n">
        <x:f>SUM('117_价格概率传导'!$E$6:$E$8)</x:f>
        <x:v>0.25</x:v>
      </x:c>
      <x:c r="H409" s="23" t="n">
        <x:f>SUM('117_价格概率传导'!$E$6:$E$9)</x:f>
        <x:v>0.5700000000000001</x:v>
      </x:c>
      <x:c r="I409" s="460" t="n">
        <x:f>'117_价格概率传导'!A16</x:f>
        <x:v>299900</x:v>
      </x:c>
      <x:c r="J409" s="23" t="n">
        <x:f>'117_价格概率传导'!E16</x:f>
        <x:v>0.01</x:v>
      </x:c>
      <x:c r="K409" s="23" t="n">
        <x:f>0</x:f>
        <x:v>0</x:v>
      </x:c>
      <x:c r="L409" s="23" t="n">
        <x:f>SUM('117_价格概率传导'!$E$16:$E$16)</x:f>
        <x:v>0.01</x:v>
      </x:c>
      <x:c r="M409" s="23" t="n">
        <x:f>MAX(0,MIN(H409,L409)-MAX(G409,K409))</x:f>
        <x:v>0</x:v>
      </x:c>
      <x:c r="N409" s="23" t="n">
        <x:f>B409*D409*M409</x:f>
        <x:v>0</x:v>
      </x:c>
      <x:c r="O409" s="460" t="n">
        <x:f>I409</x:f>
        <x:v>299900</x:v>
      </x:c>
      <x:c r="P409" s="460" t="str">
        <x:f>""</x:f>
      </x:c>
      <x:c r="Q409" s="460" t="str">
        <x:f>""</x:f>
      </x:c>
      <x:c r="R409" s="460" t="n">
        <x:f>O409-E409</x:f>
        <x:v>60000</x:v>
      </x:c>
      <x:c r="S409" s="460" t="str">
        <x:f>IF(P409&gt;0,P409-E409,"")</x:f>
      </x:c>
      <x:c r="T409" s="460" t="str">
        <x:f>IF(Q409&gt;0,Q409-E409,"")</x:f>
      </x:c>
      <x:c r="U409" s="23" t="n">
        <x:f>IF(R409&lt;30000,N409,0)</x:f>
        <x:v>0</x:v>
      </x:c>
      <x:c r="V409" s="23" t="n">
        <x:f>IF(P409&gt;0,N409,0)</x:f>
        <x:v>0</x:v>
      </x:c>
      <x:c r="W409" s="23" t="n">
        <x:f>IF(AND(P409&gt;0,S409&lt;0),N409,0)</x:f>
        <x:v>0</x:v>
      </x:c>
      <x:c r="X409" s="23" t="n">
        <x:f>IF(AND(P409&gt;0,S409=0),N409,0)</x:f>
        <x:v>0</x:v>
      </x:c>
      <x:c r="Y409" s="23" t="n">
        <x:f>IF(Q409&gt;0,N409,0)</x:f>
        <x:v>0</x:v>
      </x:c>
      <x:c r="Z409" s="460" t="n">
        <x:f>IF(P409&gt;0,N409*S409,0)</x:f>
        <x:v>0</x:v>
      </x:c>
      <x:c r="AA409" s="460" t="n">
        <x:f>IF(Q409&gt;0,N409*T409,0)</x:f>
        <x:v>0</x:v>
      </x:c>
      <x:c r="AB409" s="460" t="n">
        <x:f>N409*R409</x:f>
        <x:v>0</x:v>
      </x:c>
      <x:c r="AC409" s="460" t="n">
        <x:f>IF(N409&gt;0,R409,999999)</x:f>
        <x:v>999999</x:v>
      </x:c>
      <x:c r="AD409" s="460" t="n">
        <x:f>IF(AND(N409&gt;0,P409&gt;0),S409,999999)</x:f>
        <x:v>999999</x:v>
      </x:c>
      <x:c r="AE409" s="460" t="n">
        <x:f>IF(AND(N409&gt;0,Q409&gt;0),T409,999999)</x:f>
        <x:v>999999</x:v>
      </x:c>
      <x:c r="AF409" s="23" t="n">
        <x:f>B409*D409*F409*J409</x:f>
        <x:v>0.000288</x:v>
      </x:c>
      <x:c r="AG409" s="23" t="n">
        <x:f>IF(P409&gt;0,AF409,0)</x:f>
        <x:v>0</x:v>
      </x:c>
      <x:c r="AH409" s="23" t="n">
        <x:f>IF(AND(P409&gt;0,S409&lt;0),AF409,0)</x:f>
        <x:v>0</x:v>
      </x:c>
      <x:c r="AI409" s="23" t="n">
        <x:f>IF(AND(P409&gt;0,S409=0),AF409,0)</x:f>
        <x:v>0</x:v>
      </x:c>
      <x:c r="AJ409" s="23" t="n">
        <x:f>IF(R409&lt;30000,AF409,0)</x:f>
        <x:v>0</x:v>
      </x:c>
      <x:c r="AK409" s="460" t="n">
        <x:f>IF(P409&gt;0,AF409*S409,0)</x:f>
        <x:v>0</x:v>
      </x:c>
    </x:row>
    <x:row r="410" ht="22" customHeight="1">
      <x:c r="A410" s="643" t="str">
        <x:v>进取</x:v>
      </x:c>
      <x:c r="B410" s="648" t="n">
        <x:f>'114_降本系数'!B28</x:f>
        <x:v>0.15</x:v>
      </x:c>
      <x:c r="C410" s="643" t="str">
        <x:v>L0</x:v>
      </x:c>
      <x:c r="D410" s="648" t="n">
        <x:f>'130_联合算法'!C16</x:f>
        <x:v>0.6</x:v>
      </x:c>
      <x:c r="E410" s="647" t="n">
        <x:f>'117_价格概率传导'!A9</x:f>
        <x:v>239900</x:v>
      </x:c>
      <x:c r="F410" s="648" t="n">
        <x:f>'117_价格概率传导'!E9</x:f>
        <x:v>0.32</x:v>
      </x:c>
      <x:c r="G410" s="648" t="n">
        <x:f>SUM('117_价格概率传导'!$E$6:$E$8)</x:f>
        <x:v>0.25</x:v>
      </x:c>
      <x:c r="H410" s="648" t="n">
        <x:f>SUM('117_价格概率传导'!$E$6:$E$9)</x:f>
        <x:v>0.5700000000000001</x:v>
      </x:c>
      <x:c r="I410" s="647" t="n">
        <x:f>'117_价格概率传导'!A17</x:f>
        <x:v>293900</x:v>
      </x:c>
      <x:c r="J410" s="648" t="n">
        <x:f>'117_价格概率传导'!E17</x:f>
        <x:v>0.01</x:v>
      </x:c>
      <x:c r="K410" s="648" t="n">
        <x:f>SUM('117_价格概率传导'!$E$16:$E$16)</x:f>
        <x:v>0.01</x:v>
      </x:c>
      <x:c r="L410" s="648" t="n">
        <x:f>SUM('117_价格概率传导'!$E$16:$E$17)</x:f>
        <x:v>0.02</x:v>
      </x:c>
      <x:c r="M410" s="648" t="n">
        <x:f>MAX(0,MIN(H410,L410)-MAX(G410,K410))</x:f>
        <x:v>0</x:v>
      </x:c>
      <x:c r="N410" s="648" t="n">
        <x:f>B410*D410*M410</x:f>
        <x:v>0</x:v>
      </x:c>
      <x:c r="O410" s="647" t="n">
        <x:f>I410</x:f>
        <x:v>293900</x:v>
      </x:c>
      <x:c r="P410" s="647" t="str">
        <x:f>""</x:f>
      </x:c>
      <x:c r="Q410" s="647" t="str">
        <x:f>""</x:f>
      </x:c>
      <x:c r="R410" s="647" t="n">
        <x:f>O410-E410</x:f>
        <x:v>54000</x:v>
      </x:c>
      <x:c r="S410" s="647" t="str">
        <x:f>IF(P410&gt;0,P410-E410,"")</x:f>
      </x:c>
      <x:c r="T410" s="647" t="str">
        <x:f>IF(Q410&gt;0,Q410-E410,"")</x:f>
      </x:c>
      <x:c r="U410" s="648" t="n">
        <x:f>IF(R410&lt;30000,N410,0)</x:f>
        <x:v>0</x:v>
      </x:c>
      <x:c r="V410" s="648" t="n">
        <x:f>IF(P410&gt;0,N410,0)</x:f>
        <x:v>0</x:v>
      </x:c>
      <x:c r="W410" s="648" t="n">
        <x:f>IF(AND(P410&gt;0,S410&lt;0),N410,0)</x:f>
        <x:v>0</x:v>
      </x:c>
      <x:c r="X410" s="648" t="n">
        <x:f>IF(AND(P410&gt;0,S410=0),N410,0)</x:f>
        <x:v>0</x:v>
      </x:c>
      <x:c r="Y410" s="648" t="n">
        <x:f>IF(Q410&gt;0,N410,0)</x:f>
        <x:v>0</x:v>
      </x:c>
      <x:c r="Z410" s="647" t="n">
        <x:f>IF(P410&gt;0,N410*S410,0)</x:f>
        <x:v>0</x:v>
      </x:c>
      <x:c r="AA410" s="647" t="n">
        <x:f>IF(Q410&gt;0,N410*T410,0)</x:f>
        <x:v>0</x:v>
      </x:c>
      <x:c r="AB410" s="647" t="n">
        <x:f>N410*R410</x:f>
        <x:v>0</x:v>
      </x:c>
      <x:c r="AC410" s="647" t="n">
        <x:f>IF(N410&gt;0,R410,999999)</x:f>
        <x:v>999999</x:v>
      </x:c>
      <x:c r="AD410" s="647" t="n">
        <x:f>IF(AND(N410&gt;0,P410&gt;0),S410,999999)</x:f>
        <x:v>999999</x:v>
      </x:c>
      <x:c r="AE410" s="647" t="n">
        <x:f>IF(AND(N410&gt;0,Q410&gt;0),T410,999999)</x:f>
        <x:v>999999</x:v>
      </x:c>
      <x:c r="AF410" s="648" t="n">
        <x:f>B410*D410*F410*J410</x:f>
        <x:v>0.000288</x:v>
      </x:c>
      <x:c r="AG410" s="648" t="n">
        <x:f>IF(P410&gt;0,AF410,0)</x:f>
        <x:v>0</x:v>
      </x:c>
      <x:c r="AH410" s="648" t="n">
        <x:f>IF(AND(P410&gt;0,S410&lt;0),AF410,0)</x:f>
        <x:v>0</x:v>
      </x:c>
      <x:c r="AI410" s="648" t="n">
        <x:f>IF(AND(P410&gt;0,S410=0),AF410,0)</x:f>
        <x:v>0</x:v>
      </x:c>
      <x:c r="AJ410" s="648" t="n">
        <x:f>IF(R410&lt;30000,AF410,0)</x:f>
        <x:v>0</x:v>
      </x:c>
      <x:c r="AK410" s="647" t="n">
        <x:f>IF(P410&gt;0,AF410*S410,0)</x:f>
        <x:v>0</x:v>
      </x:c>
    </x:row>
    <x:row r="411" ht="22" customHeight="1">
      <x:c r="A411" s="19" t="str">
        <x:v>进取</x:v>
      </x:c>
      <x:c r="B411" s="23" t="n">
        <x:f>'114_降本系数'!B28</x:f>
        <x:v>0.15</x:v>
      </x:c>
      <x:c r="C411" s="19" t="str">
        <x:v>L0</x:v>
      </x:c>
      <x:c r="D411" s="23" t="n">
        <x:f>'130_联合算法'!C16</x:f>
        <x:v>0.6</x:v>
      </x:c>
      <x:c r="E411" s="460" t="n">
        <x:f>'117_价格概率传导'!A9</x:f>
        <x:v>239900</x:v>
      </x:c>
      <x:c r="F411" s="23" t="n">
        <x:f>'117_价格概率传导'!E9</x:f>
        <x:v>0.32</x:v>
      </x:c>
      <x:c r="G411" s="23" t="n">
        <x:f>SUM('117_价格概率传导'!$E$6:$E$8)</x:f>
        <x:v>0.25</x:v>
      </x:c>
      <x:c r="H411" s="23" t="n">
        <x:f>SUM('117_价格概率传导'!$E$6:$E$9)</x:f>
        <x:v>0.5700000000000001</x:v>
      </x:c>
      <x:c r="I411" s="460" t="n">
        <x:f>'117_价格概率传导'!A18</x:f>
        <x:v>289900</x:v>
      </x:c>
      <x:c r="J411" s="23" t="n">
        <x:f>'117_价格概率传导'!E18</x:f>
        <x:v>0.1</x:v>
      </x:c>
      <x:c r="K411" s="23" t="n">
        <x:f>SUM('117_价格概率传导'!$E$16:$E$17)</x:f>
        <x:v>0.02</x:v>
      </x:c>
      <x:c r="L411" s="23" t="n">
        <x:f>SUM('117_价格概率传导'!$E$16:$E$18)</x:f>
        <x:v>0.12000000000000001</x:v>
      </x:c>
      <x:c r="M411" s="23" t="n">
        <x:f>MAX(0,MIN(H411,L411)-MAX(G411,K411))</x:f>
        <x:v>0</x:v>
      </x:c>
      <x:c r="N411" s="23" t="n">
        <x:f>B411*D411*M411</x:f>
        <x:v>0</x:v>
      </x:c>
      <x:c r="O411" s="460" t="n">
        <x:f>I411</x:f>
        <x:v>289900</x:v>
      </x:c>
      <x:c r="P411" s="460" t="str">
        <x:f>""</x:f>
      </x:c>
      <x:c r="Q411" s="460" t="str">
        <x:f>""</x:f>
      </x:c>
      <x:c r="R411" s="460" t="n">
        <x:f>O411-E411</x:f>
        <x:v>50000</x:v>
      </x:c>
      <x:c r="S411" s="460" t="str">
        <x:f>IF(P411&gt;0,P411-E411,"")</x:f>
      </x:c>
      <x:c r="T411" s="460" t="str">
        <x:f>IF(Q411&gt;0,Q411-E411,"")</x:f>
      </x:c>
      <x:c r="U411" s="23" t="n">
        <x:f>IF(R411&lt;30000,N411,0)</x:f>
        <x:v>0</x:v>
      </x:c>
      <x:c r="V411" s="23" t="n">
        <x:f>IF(P411&gt;0,N411,0)</x:f>
        <x:v>0</x:v>
      </x:c>
      <x:c r="W411" s="23" t="n">
        <x:f>IF(AND(P411&gt;0,S411&lt;0),N411,0)</x:f>
        <x:v>0</x:v>
      </x:c>
      <x:c r="X411" s="23" t="n">
        <x:f>IF(AND(P411&gt;0,S411=0),N411,0)</x:f>
        <x:v>0</x:v>
      </x:c>
      <x:c r="Y411" s="23" t="n">
        <x:f>IF(Q411&gt;0,N411,0)</x:f>
        <x:v>0</x:v>
      </x:c>
      <x:c r="Z411" s="460" t="n">
        <x:f>IF(P411&gt;0,N411*S411,0)</x:f>
        <x:v>0</x:v>
      </x:c>
      <x:c r="AA411" s="460" t="n">
        <x:f>IF(Q411&gt;0,N411*T411,0)</x:f>
        <x:v>0</x:v>
      </x:c>
      <x:c r="AB411" s="460" t="n">
        <x:f>N411*R411</x:f>
        <x:v>0</x:v>
      </x:c>
      <x:c r="AC411" s="460" t="n">
        <x:f>IF(N411&gt;0,R411,999999)</x:f>
        <x:v>999999</x:v>
      </x:c>
      <x:c r="AD411" s="460" t="n">
        <x:f>IF(AND(N411&gt;0,P411&gt;0),S411,999999)</x:f>
        <x:v>999999</x:v>
      </x:c>
      <x:c r="AE411" s="460" t="n">
        <x:f>IF(AND(N411&gt;0,Q411&gt;0),T411,999999)</x:f>
        <x:v>999999</x:v>
      </x:c>
      <x:c r="AF411" s="23" t="n">
        <x:f>B411*D411*F411*J411</x:f>
        <x:v>0.00288</x:v>
      </x:c>
      <x:c r="AG411" s="23" t="n">
        <x:f>IF(P411&gt;0,AF411,0)</x:f>
        <x:v>0</x:v>
      </x:c>
      <x:c r="AH411" s="23" t="n">
        <x:f>IF(AND(P411&gt;0,S411&lt;0),AF411,0)</x:f>
        <x:v>0</x:v>
      </x:c>
      <x:c r="AI411" s="23" t="n">
        <x:f>IF(AND(P411&gt;0,S411=0),AF411,0)</x:f>
        <x:v>0</x:v>
      </x:c>
      <x:c r="AJ411" s="23" t="n">
        <x:f>IF(R411&lt;30000,AF411,0)</x:f>
        <x:v>0</x:v>
      </x:c>
      <x:c r="AK411" s="460" t="n">
        <x:f>IF(P411&gt;0,AF411*S411,0)</x:f>
        <x:v>0</x:v>
      </x:c>
    </x:row>
    <x:row r="412" ht="22" customHeight="1">
      <x:c r="A412" s="643" t="str">
        <x:v>进取</x:v>
      </x:c>
      <x:c r="B412" s="648" t="n">
        <x:f>'114_降本系数'!B28</x:f>
        <x:v>0.15</x:v>
      </x:c>
      <x:c r="C412" s="643" t="str">
        <x:v>L0</x:v>
      </x:c>
      <x:c r="D412" s="648" t="n">
        <x:f>'130_联合算法'!C16</x:f>
        <x:v>0.6</x:v>
      </x:c>
      <x:c r="E412" s="647" t="n">
        <x:f>'117_价格概率传导'!A9</x:f>
        <x:v>239900</x:v>
      </x:c>
      <x:c r="F412" s="648" t="n">
        <x:f>'117_价格概率传导'!E9</x:f>
        <x:v>0.32</x:v>
      </x:c>
      <x:c r="G412" s="648" t="n">
        <x:f>SUM('117_价格概率传导'!$E$6:$E$8)</x:f>
        <x:v>0.25</x:v>
      </x:c>
      <x:c r="H412" s="648" t="n">
        <x:f>SUM('117_价格概率传导'!$E$6:$E$9)</x:f>
        <x:v>0.5700000000000001</x:v>
      </x:c>
      <x:c r="I412" s="647" t="n">
        <x:f>'117_价格概率传导'!A19</x:f>
        <x:v>279900</x:v>
      </x:c>
      <x:c r="J412" s="648" t="n">
        <x:f>'117_价格概率传导'!E19</x:f>
        <x:v>0.3</x:v>
      </x:c>
      <x:c r="K412" s="648" t="n">
        <x:f>SUM('117_价格概率传导'!$E$16:$E$18)</x:f>
        <x:v>0.12000000000000001</x:v>
      </x:c>
      <x:c r="L412" s="648" t="n">
        <x:f>SUM('117_价格概率传导'!$E$16:$E$19)</x:f>
        <x:v>0.42</x:v>
      </x:c>
      <x:c r="M412" s="648" t="n">
        <x:f>MAX(0,MIN(H412,L412)-MAX(G412,K412))</x:f>
        <x:v>0.16999999999999998</x:v>
      </x:c>
      <x:c r="N412" s="648" t="n">
        <x:f>B412*D412*M412</x:f>
        <x:v>0.015299999999999998</x:v>
      </x:c>
      <x:c r="O412" s="647" t="n">
        <x:f>I412</x:f>
        <x:v>279900</x:v>
      </x:c>
      <x:c r="P412" s="647" t="str">
        <x:f>""</x:f>
      </x:c>
      <x:c r="Q412" s="647" t="str">
        <x:f>""</x:f>
      </x:c>
      <x:c r="R412" s="647" t="n">
        <x:f>O412-E412</x:f>
        <x:v>40000</x:v>
      </x:c>
      <x:c r="S412" s="647" t="str">
        <x:f>IF(P412&gt;0,P412-E412,"")</x:f>
      </x:c>
      <x:c r="T412" s="647" t="str">
        <x:f>IF(Q412&gt;0,Q412-E412,"")</x:f>
      </x:c>
      <x:c r="U412" s="648" t="n">
        <x:f>IF(R412&lt;30000,N412,0)</x:f>
        <x:v>0</x:v>
      </x:c>
      <x:c r="V412" s="648" t="n">
        <x:f>IF(P412&gt;0,N412,0)</x:f>
        <x:v>0</x:v>
      </x:c>
      <x:c r="W412" s="648" t="n">
        <x:f>IF(AND(P412&gt;0,S412&lt;0),N412,0)</x:f>
        <x:v>0</x:v>
      </x:c>
      <x:c r="X412" s="648" t="n">
        <x:f>IF(AND(P412&gt;0,S412=0),N412,0)</x:f>
        <x:v>0</x:v>
      </x:c>
      <x:c r="Y412" s="648" t="n">
        <x:f>IF(Q412&gt;0,N412,0)</x:f>
        <x:v>0</x:v>
      </x:c>
      <x:c r="Z412" s="647" t="n">
        <x:f>IF(P412&gt;0,N412*S412,0)</x:f>
        <x:v>0</x:v>
      </x:c>
      <x:c r="AA412" s="647" t="n">
        <x:f>IF(Q412&gt;0,N412*T412,0)</x:f>
        <x:v>0</x:v>
      </x:c>
      <x:c r="AB412" s="647" t="n">
        <x:f>N412*R412</x:f>
        <x:v>611.9999999999999</x:v>
      </x:c>
      <x:c r="AC412" s="647" t="n">
        <x:f>IF(N412&gt;0,R412,999999)</x:f>
        <x:v>40000</x:v>
      </x:c>
      <x:c r="AD412" s="647" t="n">
        <x:f>IF(AND(N412&gt;0,P412&gt;0),S412,999999)</x:f>
        <x:v>999999</x:v>
      </x:c>
      <x:c r="AE412" s="647" t="n">
        <x:f>IF(AND(N412&gt;0,Q412&gt;0),T412,999999)</x:f>
        <x:v>999999</x:v>
      </x:c>
      <x:c r="AF412" s="648" t="n">
        <x:f>B412*D412*F412*J412</x:f>
        <x:v>0.00864</x:v>
      </x:c>
      <x:c r="AG412" s="648" t="n">
        <x:f>IF(P412&gt;0,AF412,0)</x:f>
        <x:v>0</x:v>
      </x:c>
      <x:c r="AH412" s="648" t="n">
        <x:f>IF(AND(P412&gt;0,S412&lt;0),AF412,0)</x:f>
        <x:v>0</x:v>
      </x:c>
      <x:c r="AI412" s="648" t="n">
        <x:f>IF(AND(P412&gt;0,S412=0),AF412,0)</x:f>
        <x:v>0</x:v>
      </x:c>
      <x:c r="AJ412" s="648" t="n">
        <x:f>IF(R412&lt;30000,AF412,0)</x:f>
        <x:v>0</x:v>
      </x:c>
      <x:c r="AK412" s="647" t="n">
        <x:f>IF(P412&gt;0,AF412*S412,0)</x:f>
        <x:v>0</x:v>
      </x:c>
    </x:row>
    <x:row r="413" ht="22" customHeight="1">
      <x:c r="A413" s="19" t="str">
        <x:v>进取</x:v>
      </x:c>
      <x:c r="B413" s="23" t="n">
        <x:f>'114_降本系数'!B28</x:f>
        <x:v>0.15</x:v>
      </x:c>
      <x:c r="C413" s="19" t="str">
        <x:v>L0</x:v>
      </x:c>
      <x:c r="D413" s="23" t="n">
        <x:f>'130_联合算法'!C16</x:f>
        <x:v>0.6</x:v>
      </x:c>
      <x:c r="E413" s="460" t="n">
        <x:f>'117_价格概率传导'!A9</x:f>
        <x:v>239900</x:v>
      </x:c>
      <x:c r="F413" s="23" t="n">
        <x:f>'117_价格概率传导'!E9</x:f>
        <x:v>0.32</x:v>
      </x:c>
      <x:c r="G413" s="23" t="n">
        <x:f>SUM('117_价格概率传导'!$E$6:$E$8)</x:f>
        <x:v>0.25</x:v>
      </x:c>
      <x:c r="H413" s="23" t="n">
        <x:f>SUM('117_价格概率传导'!$E$6:$E$9)</x:f>
        <x:v>0.5700000000000001</x:v>
      </x:c>
      <x:c r="I413" s="460" t="n">
        <x:f>'117_价格概率传导'!A20</x:f>
        <x:v>269900</x:v>
      </x:c>
      <x:c r="J413" s="23" t="n">
        <x:f>'117_价格概率传导'!E20</x:f>
        <x:v>0.38</x:v>
      </x:c>
      <x:c r="K413" s="23" t="n">
        <x:f>SUM('117_价格概率传导'!$E$16:$E$19)</x:f>
        <x:v>0.42</x:v>
      </x:c>
      <x:c r="L413" s="23" t="n">
        <x:f>SUM('117_价格概率传导'!$E$16:$E$20)</x:f>
        <x:v>0.8</x:v>
      </x:c>
      <x:c r="M413" s="23" t="n">
        <x:f>MAX(0,MIN(H413,L413)-MAX(G413,K413))</x:f>
        <x:v>0.15000000000000008</x:v>
      </x:c>
      <x:c r="N413" s="23" t="n">
        <x:f>B413*D413*M413</x:f>
        <x:v>0.013500000000000007</x:v>
      </x:c>
      <x:c r="O413" s="460" t="n">
        <x:f>I413</x:f>
        <x:v>269900</x:v>
      </x:c>
      <x:c r="P413" s="460" t="str">
        <x:f>""</x:f>
      </x:c>
      <x:c r="Q413" s="460" t="str">
        <x:f>""</x:f>
      </x:c>
      <x:c r="R413" s="460" t="n">
        <x:f>O413-E413</x:f>
        <x:v>30000</x:v>
      </x:c>
      <x:c r="S413" s="460" t="str">
        <x:f>IF(P413&gt;0,P413-E413,"")</x:f>
      </x:c>
      <x:c r="T413" s="460" t="str">
        <x:f>IF(Q413&gt;0,Q413-E413,"")</x:f>
      </x:c>
      <x:c r="U413" s="23" t="n">
        <x:f>IF(R413&lt;30000,N413,0)</x:f>
        <x:v>0</x:v>
      </x:c>
      <x:c r="V413" s="23" t="n">
        <x:f>IF(P413&gt;0,N413,0)</x:f>
        <x:v>0</x:v>
      </x:c>
      <x:c r="W413" s="23" t="n">
        <x:f>IF(AND(P413&gt;0,S413&lt;0),N413,0)</x:f>
        <x:v>0</x:v>
      </x:c>
      <x:c r="X413" s="23" t="n">
        <x:f>IF(AND(P413&gt;0,S413=0),N413,0)</x:f>
        <x:v>0</x:v>
      </x:c>
      <x:c r="Y413" s="23" t="n">
        <x:f>IF(Q413&gt;0,N413,0)</x:f>
        <x:v>0</x:v>
      </x:c>
      <x:c r="Z413" s="460" t="n">
        <x:f>IF(P413&gt;0,N413*S413,0)</x:f>
        <x:v>0</x:v>
      </x:c>
      <x:c r="AA413" s="460" t="n">
        <x:f>IF(Q413&gt;0,N413*T413,0)</x:f>
        <x:v>0</x:v>
      </x:c>
      <x:c r="AB413" s="460" t="n">
        <x:f>N413*R413</x:f>
        <x:v>405.0000000000002</x:v>
      </x:c>
      <x:c r="AC413" s="460" t="n">
        <x:f>IF(N413&gt;0,R413,999999)</x:f>
        <x:v>30000</x:v>
      </x:c>
      <x:c r="AD413" s="460" t="n">
        <x:f>IF(AND(N413&gt;0,P413&gt;0),S413,999999)</x:f>
        <x:v>999999</x:v>
      </x:c>
      <x:c r="AE413" s="460" t="n">
        <x:f>IF(AND(N413&gt;0,Q413&gt;0),T413,999999)</x:f>
        <x:v>999999</x:v>
      </x:c>
      <x:c r="AF413" s="23" t="n">
        <x:f>B413*D413*F413*J413</x:f>
        <x:v>0.010944</x:v>
      </x:c>
      <x:c r="AG413" s="23" t="n">
        <x:f>IF(P413&gt;0,AF413,0)</x:f>
        <x:v>0</x:v>
      </x:c>
      <x:c r="AH413" s="23" t="n">
        <x:f>IF(AND(P413&gt;0,S413&lt;0),AF413,0)</x:f>
        <x:v>0</x:v>
      </x:c>
      <x:c r="AI413" s="23" t="n">
        <x:f>IF(AND(P413&gt;0,S413=0),AF413,0)</x:f>
        <x:v>0</x:v>
      </x:c>
      <x:c r="AJ413" s="23" t="n">
        <x:f>IF(R413&lt;30000,AF413,0)</x:f>
        <x:v>0</x:v>
      </x:c>
      <x:c r="AK413" s="460" t="n">
        <x:f>IF(P413&gt;0,AF413*S413,0)</x:f>
        <x:v>0</x:v>
      </x:c>
    </x:row>
    <x:row r="414" ht="22" customHeight="1">
      <x:c r="A414" s="643" t="str">
        <x:v>进取</x:v>
      </x:c>
      <x:c r="B414" s="648" t="n">
        <x:f>'114_降本系数'!B28</x:f>
        <x:v>0.15</x:v>
      </x:c>
      <x:c r="C414" s="643" t="str">
        <x:v>L0</x:v>
      </x:c>
      <x:c r="D414" s="648" t="n">
        <x:f>'130_联合算法'!C16</x:f>
        <x:v>0.6</x:v>
      </x:c>
      <x:c r="E414" s="647" t="n">
        <x:f>'117_价格概率传导'!A9</x:f>
        <x:v>239900</x:v>
      </x:c>
      <x:c r="F414" s="648" t="n">
        <x:f>'117_价格概率传导'!E9</x:f>
        <x:v>0.32</x:v>
      </x:c>
      <x:c r="G414" s="648" t="n">
        <x:f>SUM('117_价格概率传导'!$E$6:$E$8)</x:f>
        <x:v>0.25</x:v>
      </x:c>
      <x:c r="H414" s="648" t="n">
        <x:f>SUM('117_价格概率传导'!$E$6:$E$9)</x:f>
        <x:v>0.5700000000000001</x:v>
      </x:c>
      <x:c r="I414" s="647" t="n">
        <x:f>'117_价格概率传导'!A21</x:f>
        <x:v>259900</x:v>
      </x:c>
      <x:c r="J414" s="648" t="n">
        <x:f>'117_价格概率传导'!E21</x:f>
        <x:v>0.2</x:v>
      </x:c>
      <x:c r="K414" s="648" t="n">
        <x:f>SUM('117_价格概率传导'!$E$16:$E$20)</x:f>
        <x:v>0.8</x:v>
      </x:c>
      <x:c r="L414" s="648" t="n">
        <x:f>SUM('117_价格概率传导'!$E$16:$E$21)</x:f>
        <x:v>1</x:v>
      </x:c>
      <x:c r="M414" s="648" t="n">
        <x:f>MAX(0,MIN(H414,L414)-MAX(G414,K414))</x:f>
        <x:v>0</x:v>
      </x:c>
      <x:c r="N414" s="648" t="n">
        <x:f>B414*D414*M414</x:f>
        <x:v>0</x:v>
      </x:c>
      <x:c r="O414" s="647" t="n">
        <x:f>I414</x:f>
        <x:v>259900</x:v>
      </x:c>
      <x:c r="P414" s="647" t="str">
        <x:f>""</x:f>
      </x:c>
      <x:c r="Q414" s="647" t="str">
        <x:f>""</x:f>
      </x:c>
      <x:c r="R414" s="647" t="n">
        <x:f>O414-E414</x:f>
        <x:v>20000</x:v>
      </x:c>
      <x:c r="S414" s="647" t="str">
        <x:f>IF(P414&gt;0,P414-E414,"")</x:f>
      </x:c>
      <x:c r="T414" s="647" t="str">
        <x:f>IF(Q414&gt;0,Q414-E414,"")</x:f>
      </x:c>
      <x:c r="U414" s="648" t="n">
        <x:f>IF(R414&lt;30000,N414,0)</x:f>
        <x:v>0</x:v>
      </x:c>
      <x:c r="V414" s="648" t="n">
        <x:f>IF(P414&gt;0,N414,0)</x:f>
        <x:v>0</x:v>
      </x:c>
      <x:c r="W414" s="648" t="n">
        <x:f>IF(AND(P414&gt;0,S414&lt;0),N414,0)</x:f>
        <x:v>0</x:v>
      </x:c>
      <x:c r="X414" s="648" t="n">
        <x:f>IF(AND(P414&gt;0,S414=0),N414,0)</x:f>
        <x:v>0</x:v>
      </x:c>
      <x:c r="Y414" s="648" t="n">
        <x:f>IF(Q414&gt;0,N414,0)</x:f>
        <x:v>0</x:v>
      </x:c>
      <x:c r="Z414" s="647" t="n">
        <x:f>IF(P414&gt;0,N414*S414,0)</x:f>
        <x:v>0</x:v>
      </x:c>
      <x:c r="AA414" s="647" t="n">
        <x:f>IF(Q414&gt;0,N414*T414,0)</x:f>
        <x:v>0</x:v>
      </x:c>
      <x:c r="AB414" s="647" t="n">
        <x:f>N414*R414</x:f>
        <x:v>0</x:v>
      </x:c>
      <x:c r="AC414" s="647" t="n">
        <x:f>IF(N414&gt;0,R414,999999)</x:f>
        <x:v>999999</x:v>
      </x:c>
      <x:c r="AD414" s="647" t="n">
        <x:f>IF(AND(N414&gt;0,P414&gt;0),S414,999999)</x:f>
        <x:v>999999</x:v>
      </x:c>
      <x:c r="AE414" s="647" t="n">
        <x:f>IF(AND(N414&gt;0,Q414&gt;0),T414,999999)</x:f>
        <x:v>999999</x:v>
      </x:c>
      <x:c r="AF414" s="648" t="n">
        <x:f>B414*D414*F414*J414</x:f>
        <x:v>0.00576</x:v>
      </x:c>
      <x:c r="AG414" s="648" t="n">
        <x:f>IF(P414&gt;0,AF414,0)</x:f>
        <x:v>0</x:v>
      </x:c>
      <x:c r="AH414" s="648" t="n">
        <x:f>IF(AND(P414&gt;0,S414&lt;0),AF414,0)</x:f>
        <x:v>0</x:v>
      </x:c>
      <x:c r="AI414" s="648" t="n">
        <x:f>IF(AND(P414&gt;0,S414=0),AF414,0)</x:f>
        <x:v>0</x:v>
      </x:c>
      <x:c r="AJ414" s="648" t="n">
        <x:f>IF(R414&lt;30000,AF414,0)</x:f>
        <x:v>0.00576</x:v>
      </x:c>
      <x:c r="AK414" s="647" t="n">
        <x:f>IF(P414&gt;0,AF414*S414,0)</x:f>
        <x:v>0</x:v>
      </x:c>
    </x:row>
    <x:row r="415" ht="22" customHeight="1">
      <x:c r="A415" s="19" t="str">
        <x:v>进取</x:v>
      </x:c>
      <x:c r="B415" s="23" t="n">
        <x:f>'114_降本系数'!B28</x:f>
        <x:v>0.15</x:v>
      </x:c>
      <x:c r="C415" s="19" t="str">
        <x:v>L0</x:v>
      </x:c>
      <x:c r="D415" s="23" t="n">
        <x:f>'130_联合算法'!C16</x:f>
        <x:v>0.6</x:v>
      </x:c>
      <x:c r="E415" s="460" t="n">
        <x:f>'117_价格概率传导'!A10</x:f>
        <x:v>229900</x:v>
      </x:c>
      <x:c r="F415" s="23" t="n">
        <x:f>'117_价格概率传导'!E10</x:f>
        <x:v>0.28</x:v>
      </x:c>
      <x:c r="G415" s="23" t="n">
        <x:f>SUM('117_价格概率传导'!$E$6:$E$9)</x:f>
        <x:v>0.5700000000000001</x:v>
      </x:c>
      <x:c r="H415" s="23" t="n">
        <x:f>SUM('117_价格概率传导'!$E$6:$E$10)</x:f>
        <x:v>0.8500000000000001</x:v>
      </x:c>
      <x:c r="I415" s="460" t="n">
        <x:f>'117_价格概率传导'!A16</x:f>
        <x:v>299900</x:v>
      </x:c>
      <x:c r="J415" s="23" t="n">
        <x:f>'117_价格概率传导'!E16</x:f>
        <x:v>0.01</x:v>
      </x:c>
      <x:c r="K415" s="23" t="n">
        <x:f>0</x:f>
        <x:v>0</x:v>
      </x:c>
      <x:c r="L415" s="23" t="n">
        <x:f>SUM('117_价格概率传导'!$E$16:$E$16)</x:f>
        <x:v>0.01</x:v>
      </x:c>
      <x:c r="M415" s="23" t="n">
        <x:f>MAX(0,MIN(H415,L415)-MAX(G415,K415))</x:f>
        <x:v>0</x:v>
      </x:c>
      <x:c r="N415" s="23" t="n">
        <x:f>B415*D415*M415</x:f>
        <x:v>0</x:v>
      </x:c>
      <x:c r="O415" s="460" t="n">
        <x:f>I415</x:f>
        <x:v>299900</x:v>
      </x:c>
      <x:c r="P415" s="460" t="str">
        <x:f>""</x:f>
      </x:c>
      <x:c r="Q415" s="460" t="str">
        <x:f>""</x:f>
      </x:c>
      <x:c r="R415" s="460" t="n">
        <x:f>O415-E415</x:f>
        <x:v>70000</x:v>
      </x:c>
      <x:c r="S415" s="460" t="str">
        <x:f>IF(P415&gt;0,P415-E415,"")</x:f>
      </x:c>
      <x:c r="T415" s="460" t="str">
        <x:f>IF(Q415&gt;0,Q415-E415,"")</x:f>
      </x:c>
      <x:c r="U415" s="23" t="n">
        <x:f>IF(R415&lt;30000,N415,0)</x:f>
        <x:v>0</x:v>
      </x:c>
      <x:c r="V415" s="23" t="n">
        <x:f>IF(P415&gt;0,N415,0)</x:f>
        <x:v>0</x:v>
      </x:c>
      <x:c r="W415" s="23" t="n">
        <x:f>IF(AND(P415&gt;0,S415&lt;0),N415,0)</x:f>
        <x:v>0</x:v>
      </x:c>
      <x:c r="X415" s="23" t="n">
        <x:f>IF(AND(P415&gt;0,S415=0),N415,0)</x:f>
        <x:v>0</x:v>
      </x:c>
      <x:c r="Y415" s="23" t="n">
        <x:f>IF(Q415&gt;0,N415,0)</x:f>
        <x:v>0</x:v>
      </x:c>
      <x:c r="Z415" s="460" t="n">
        <x:f>IF(P415&gt;0,N415*S415,0)</x:f>
        <x:v>0</x:v>
      </x:c>
      <x:c r="AA415" s="460" t="n">
        <x:f>IF(Q415&gt;0,N415*T415,0)</x:f>
        <x:v>0</x:v>
      </x:c>
      <x:c r="AB415" s="460" t="n">
        <x:f>N415*R415</x:f>
        <x:v>0</x:v>
      </x:c>
      <x:c r="AC415" s="460" t="n">
        <x:f>IF(N415&gt;0,R415,999999)</x:f>
        <x:v>999999</x:v>
      </x:c>
      <x:c r="AD415" s="460" t="n">
        <x:f>IF(AND(N415&gt;0,P415&gt;0),S415,999999)</x:f>
        <x:v>999999</x:v>
      </x:c>
      <x:c r="AE415" s="460" t="n">
        <x:f>IF(AND(N415&gt;0,Q415&gt;0),T415,999999)</x:f>
        <x:v>999999</x:v>
      </x:c>
      <x:c r="AF415" s="23" t="n">
        <x:f>B415*D415*F415*J415</x:f>
        <x:v>0.000252</x:v>
      </x:c>
      <x:c r="AG415" s="23" t="n">
        <x:f>IF(P415&gt;0,AF415,0)</x:f>
        <x:v>0</x:v>
      </x:c>
      <x:c r="AH415" s="23" t="n">
        <x:f>IF(AND(P415&gt;0,S415&lt;0),AF415,0)</x:f>
        <x:v>0</x:v>
      </x:c>
      <x:c r="AI415" s="23" t="n">
        <x:f>IF(AND(P415&gt;0,S415=0),AF415,0)</x:f>
        <x:v>0</x:v>
      </x:c>
      <x:c r="AJ415" s="23" t="n">
        <x:f>IF(R415&lt;30000,AF415,0)</x:f>
        <x:v>0</x:v>
      </x:c>
      <x:c r="AK415" s="460" t="n">
        <x:f>IF(P415&gt;0,AF415*S415,0)</x:f>
        <x:v>0</x:v>
      </x:c>
    </x:row>
    <x:row r="416" ht="22" customHeight="1">
      <x:c r="A416" s="643" t="str">
        <x:v>进取</x:v>
      </x:c>
      <x:c r="B416" s="648" t="n">
        <x:f>'114_降本系数'!B28</x:f>
        <x:v>0.15</x:v>
      </x:c>
      <x:c r="C416" s="643" t="str">
        <x:v>L0</x:v>
      </x:c>
      <x:c r="D416" s="648" t="n">
        <x:f>'130_联合算法'!C16</x:f>
        <x:v>0.6</x:v>
      </x:c>
      <x:c r="E416" s="647" t="n">
        <x:f>'117_价格概率传导'!A10</x:f>
        <x:v>229900</x:v>
      </x:c>
      <x:c r="F416" s="648" t="n">
        <x:f>'117_价格概率传导'!E10</x:f>
        <x:v>0.28</x:v>
      </x:c>
      <x:c r="G416" s="648" t="n">
        <x:f>SUM('117_价格概率传导'!$E$6:$E$9)</x:f>
        <x:v>0.5700000000000001</x:v>
      </x:c>
      <x:c r="H416" s="648" t="n">
        <x:f>SUM('117_价格概率传导'!$E$6:$E$10)</x:f>
        <x:v>0.8500000000000001</x:v>
      </x:c>
      <x:c r="I416" s="647" t="n">
        <x:f>'117_价格概率传导'!A17</x:f>
        <x:v>293900</x:v>
      </x:c>
      <x:c r="J416" s="648" t="n">
        <x:f>'117_价格概率传导'!E17</x:f>
        <x:v>0.01</x:v>
      </x:c>
      <x:c r="K416" s="648" t="n">
        <x:f>SUM('117_价格概率传导'!$E$16:$E$16)</x:f>
        <x:v>0.01</x:v>
      </x:c>
      <x:c r="L416" s="648" t="n">
        <x:f>SUM('117_价格概率传导'!$E$16:$E$17)</x:f>
        <x:v>0.02</x:v>
      </x:c>
      <x:c r="M416" s="648" t="n">
        <x:f>MAX(0,MIN(H416,L416)-MAX(G416,K416))</x:f>
        <x:v>0</x:v>
      </x:c>
      <x:c r="N416" s="648" t="n">
        <x:f>B416*D416*M416</x:f>
        <x:v>0</x:v>
      </x:c>
      <x:c r="O416" s="647" t="n">
        <x:f>I416</x:f>
        <x:v>293900</x:v>
      </x:c>
      <x:c r="P416" s="647" t="str">
        <x:f>""</x:f>
      </x:c>
      <x:c r="Q416" s="647" t="str">
        <x:f>""</x:f>
      </x:c>
      <x:c r="R416" s="647" t="n">
        <x:f>O416-E416</x:f>
        <x:v>64000</x:v>
      </x:c>
      <x:c r="S416" s="647" t="str">
        <x:f>IF(P416&gt;0,P416-E416,"")</x:f>
      </x:c>
      <x:c r="T416" s="647" t="str">
        <x:f>IF(Q416&gt;0,Q416-E416,"")</x:f>
      </x:c>
      <x:c r="U416" s="648" t="n">
        <x:f>IF(R416&lt;30000,N416,0)</x:f>
        <x:v>0</x:v>
      </x:c>
      <x:c r="V416" s="648" t="n">
        <x:f>IF(P416&gt;0,N416,0)</x:f>
        <x:v>0</x:v>
      </x:c>
      <x:c r="W416" s="648" t="n">
        <x:f>IF(AND(P416&gt;0,S416&lt;0),N416,0)</x:f>
        <x:v>0</x:v>
      </x:c>
      <x:c r="X416" s="648" t="n">
        <x:f>IF(AND(P416&gt;0,S416=0),N416,0)</x:f>
        <x:v>0</x:v>
      </x:c>
      <x:c r="Y416" s="648" t="n">
        <x:f>IF(Q416&gt;0,N416,0)</x:f>
        <x:v>0</x:v>
      </x:c>
      <x:c r="Z416" s="647" t="n">
        <x:f>IF(P416&gt;0,N416*S416,0)</x:f>
        <x:v>0</x:v>
      </x:c>
      <x:c r="AA416" s="647" t="n">
        <x:f>IF(Q416&gt;0,N416*T416,0)</x:f>
        <x:v>0</x:v>
      </x:c>
      <x:c r="AB416" s="647" t="n">
        <x:f>N416*R416</x:f>
        <x:v>0</x:v>
      </x:c>
      <x:c r="AC416" s="647" t="n">
        <x:f>IF(N416&gt;0,R416,999999)</x:f>
        <x:v>999999</x:v>
      </x:c>
      <x:c r="AD416" s="647" t="n">
        <x:f>IF(AND(N416&gt;0,P416&gt;0),S416,999999)</x:f>
        <x:v>999999</x:v>
      </x:c>
      <x:c r="AE416" s="647" t="n">
        <x:f>IF(AND(N416&gt;0,Q416&gt;0),T416,999999)</x:f>
        <x:v>999999</x:v>
      </x:c>
      <x:c r="AF416" s="648" t="n">
        <x:f>B416*D416*F416*J416</x:f>
        <x:v>0.000252</x:v>
      </x:c>
      <x:c r="AG416" s="648" t="n">
        <x:f>IF(P416&gt;0,AF416,0)</x:f>
        <x:v>0</x:v>
      </x:c>
      <x:c r="AH416" s="648" t="n">
        <x:f>IF(AND(P416&gt;0,S416&lt;0),AF416,0)</x:f>
        <x:v>0</x:v>
      </x:c>
      <x:c r="AI416" s="648" t="n">
        <x:f>IF(AND(P416&gt;0,S416=0),AF416,0)</x:f>
        <x:v>0</x:v>
      </x:c>
      <x:c r="AJ416" s="648" t="n">
        <x:f>IF(R416&lt;30000,AF416,0)</x:f>
        <x:v>0</x:v>
      </x:c>
      <x:c r="AK416" s="647" t="n">
        <x:f>IF(P416&gt;0,AF416*S416,0)</x:f>
        <x:v>0</x:v>
      </x:c>
    </x:row>
    <x:row r="417" ht="22" customHeight="1">
      <x:c r="A417" s="19" t="str">
        <x:v>进取</x:v>
      </x:c>
      <x:c r="B417" s="23" t="n">
        <x:f>'114_降本系数'!B28</x:f>
        <x:v>0.15</x:v>
      </x:c>
      <x:c r="C417" s="19" t="str">
        <x:v>L0</x:v>
      </x:c>
      <x:c r="D417" s="23" t="n">
        <x:f>'130_联合算法'!C16</x:f>
        <x:v>0.6</x:v>
      </x:c>
      <x:c r="E417" s="460" t="n">
        <x:f>'117_价格概率传导'!A10</x:f>
        <x:v>229900</x:v>
      </x:c>
      <x:c r="F417" s="23" t="n">
        <x:f>'117_价格概率传导'!E10</x:f>
        <x:v>0.28</x:v>
      </x:c>
      <x:c r="G417" s="23" t="n">
        <x:f>SUM('117_价格概率传导'!$E$6:$E$9)</x:f>
        <x:v>0.5700000000000001</x:v>
      </x:c>
      <x:c r="H417" s="23" t="n">
        <x:f>SUM('117_价格概率传导'!$E$6:$E$10)</x:f>
        <x:v>0.8500000000000001</x:v>
      </x:c>
      <x:c r="I417" s="460" t="n">
        <x:f>'117_价格概率传导'!A18</x:f>
        <x:v>289900</x:v>
      </x:c>
      <x:c r="J417" s="23" t="n">
        <x:f>'117_价格概率传导'!E18</x:f>
        <x:v>0.1</x:v>
      </x:c>
      <x:c r="K417" s="23" t="n">
        <x:f>SUM('117_价格概率传导'!$E$16:$E$17)</x:f>
        <x:v>0.02</x:v>
      </x:c>
      <x:c r="L417" s="23" t="n">
        <x:f>SUM('117_价格概率传导'!$E$16:$E$18)</x:f>
        <x:v>0.12000000000000001</x:v>
      </x:c>
      <x:c r="M417" s="23" t="n">
        <x:f>MAX(0,MIN(H417,L417)-MAX(G417,K417))</x:f>
        <x:v>0</x:v>
      </x:c>
      <x:c r="N417" s="23" t="n">
        <x:f>B417*D417*M417</x:f>
        <x:v>0</x:v>
      </x:c>
      <x:c r="O417" s="460" t="n">
        <x:f>I417</x:f>
        <x:v>289900</x:v>
      </x:c>
      <x:c r="P417" s="460" t="str">
        <x:f>""</x:f>
      </x:c>
      <x:c r="Q417" s="460" t="str">
        <x:f>""</x:f>
      </x:c>
      <x:c r="R417" s="460" t="n">
        <x:f>O417-E417</x:f>
        <x:v>60000</x:v>
      </x:c>
      <x:c r="S417" s="460" t="str">
        <x:f>IF(P417&gt;0,P417-E417,"")</x:f>
      </x:c>
      <x:c r="T417" s="460" t="str">
        <x:f>IF(Q417&gt;0,Q417-E417,"")</x:f>
      </x:c>
      <x:c r="U417" s="23" t="n">
        <x:f>IF(R417&lt;30000,N417,0)</x:f>
        <x:v>0</x:v>
      </x:c>
      <x:c r="V417" s="23" t="n">
        <x:f>IF(P417&gt;0,N417,0)</x:f>
        <x:v>0</x:v>
      </x:c>
      <x:c r="W417" s="23" t="n">
        <x:f>IF(AND(P417&gt;0,S417&lt;0),N417,0)</x:f>
        <x:v>0</x:v>
      </x:c>
      <x:c r="X417" s="23" t="n">
        <x:f>IF(AND(P417&gt;0,S417=0),N417,0)</x:f>
        <x:v>0</x:v>
      </x:c>
      <x:c r="Y417" s="23" t="n">
        <x:f>IF(Q417&gt;0,N417,0)</x:f>
        <x:v>0</x:v>
      </x:c>
      <x:c r="Z417" s="460" t="n">
        <x:f>IF(P417&gt;0,N417*S417,0)</x:f>
        <x:v>0</x:v>
      </x:c>
      <x:c r="AA417" s="460" t="n">
        <x:f>IF(Q417&gt;0,N417*T417,0)</x:f>
        <x:v>0</x:v>
      </x:c>
      <x:c r="AB417" s="460" t="n">
        <x:f>N417*R417</x:f>
        <x:v>0</x:v>
      </x:c>
      <x:c r="AC417" s="460" t="n">
        <x:f>IF(N417&gt;0,R417,999999)</x:f>
        <x:v>999999</x:v>
      </x:c>
      <x:c r="AD417" s="460" t="n">
        <x:f>IF(AND(N417&gt;0,P417&gt;0),S417,999999)</x:f>
        <x:v>999999</x:v>
      </x:c>
      <x:c r="AE417" s="460" t="n">
        <x:f>IF(AND(N417&gt;0,Q417&gt;0),T417,999999)</x:f>
        <x:v>999999</x:v>
      </x:c>
      <x:c r="AF417" s="23" t="n">
        <x:f>B417*D417*F417*J417</x:f>
        <x:v>0.00252</x:v>
      </x:c>
      <x:c r="AG417" s="23" t="n">
        <x:f>IF(P417&gt;0,AF417,0)</x:f>
        <x:v>0</x:v>
      </x:c>
      <x:c r="AH417" s="23" t="n">
        <x:f>IF(AND(P417&gt;0,S417&lt;0),AF417,0)</x:f>
        <x:v>0</x:v>
      </x:c>
      <x:c r="AI417" s="23" t="n">
        <x:f>IF(AND(P417&gt;0,S417=0),AF417,0)</x:f>
        <x:v>0</x:v>
      </x:c>
      <x:c r="AJ417" s="23" t="n">
        <x:f>IF(R417&lt;30000,AF417,0)</x:f>
        <x:v>0</x:v>
      </x:c>
      <x:c r="AK417" s="460" t="n">
        <x:f>IF(P417&gt;0,AF417*S417,0)</x:f>
        <x:v>0</x:v>
      </x:c>
    </x:row>
    <x:row r="418" ht="22" customHeight="1">
      <x:c r="A418" s="643" t="str">
        <x:v>进取</x:v>
      </x:c>
      <x:c r="B418" s="648" t="n">
        <x:f>'114_降本系数'!B28</x:f>
        <x:v>0.15</x:v>
      </x:c>
      <x:c r="C418" s="643" t="str">
        <x:v>L0</x:v>
      </x:c>
      <x:c r="D418" s="648" t="n">
        <x:f>'130_联合算法'!C16</x:f>
        <x:v>0.6</x:v>
      </x:c>
      <x:c r="E418" s="647" t="n">
        <x:f>'117_价格概率传导'!A10</x:f>
        <x:v>229900</x:v>
      </x:c>
      <x:c r="F418" s="648" t="n">
        <x:f>'117_价格概率传导'!E10</x:f>
        <x:v>0.28</x:v>
      </x:c>
      <x:c r="G418" s="648" t="n">
        <x:f>SUM('117_价格概率传导'!$E$6:$E$9)</x:f>
        <x:v>0.5700000000000001</x:v>
      </x:c>
      <x:c r="H418" s="648" t="n">
        <x:f>SUM('117_价格概率传导'!$E$6:$E$10)</x:f>
        <x:v>0.8500000000000001</x:v>
      </x:c>
      <x:c r="I418" s="647" t="n">
        <x:f>'117_价格概率传导'!A19</x:f>
        <x:v>279900</x:v>
      </x:c>
      <x:c r="J418" s="648" t="n">
        <x:f>'117_价格概率传导'!E19</x:f>
        <x:v>0.3</x:v>
      </x:c>
      <x:c r="K418" s="648" t="n">
        <x:f>SUM('117_价格概率传导'!$E$16:$E$18)</x:f>
        <x:v>0.12000000000000001</x:v>
      </x:c>
      <x:c r="L418" s="648" t="n">
        <x:f>SUM('117_价格概率传导'!$E$16:$E$19)</x:f>
        <x:v>0.42</x:v>
      </x:c>
      <x:c r="M418" s="648" t="n">
        <x:f>MAX(0,MIN(H418,L418)-MAX(G418,K418))</x:f>
        <x:v>0</x:v>
      </x:c>
      <x:c r="N418" s="648" t="n">
        <x:f>B418*D418*M418</x:f>
        <x:v>0</x:v>
      </x:c>
      <x:c r="O418" s="647" t="n">
        <x:f>I418</x:f>
        <x:v>279900</x:v>
      </x:c>
      <x:c r="P418" s="647" t="str">
        <x:f>""</x:f>
      </x:c>
      <x:c r="Q418" s="647" t="str">
        <x:f>""</x:f>
      </x:c>
      <x:c r="R418" s="647" t="n">
        <x:f>O418-E418</x:f>
        <x:v>50000</x:v>
      </x:c>
      <x:c r="S418" s="647" t="str">
        <x:f>IF(P418&gt;0,P418-E418,"")</x:f>
      </x:c>
      <x:c r="T418" s="647" t="str">
        <x:f>IF(Q418&gt;0,Q418-E418,"")</x:f>
      </x:c>
      <x:c r="U418" s="648" t="n">
        <x:f>IF(R418&lt;30000,N418,0)</x:f>
        <x:v>0</x:v>
      </x:c>
      <x:c r="V418" s="648" t="n">
        <x:f>IF(P418&gt;0,N418,0)</x:f>
        <x:v>0</x:v>
      </x:c>
      <x:c r="W418" s="648" t="n">
        <x:f>IF(AND(P418&gt;0,S418&lt;0),N418,0)</x:f>
        <x:v>0</x:v>
      </x:c>
      <x:c r="X418" s="648" t="n">
        <x:f>IF(AND(P418&gt;0,S418=0),N418,0)</x:f>
        <x:v>0</x:v>
      </x:c>
      <x:c r="Y418" s="648" t="n">
        <x:f>IF(Q418&gt;0,N418,0)</x:f>
        <x:v>0</x:v>
      </x:c>
      <x:c r="Z418" s="647" t="n">
        <x:f>IF(P418&gt;0,N418*S418,0)</x:f>
        <x:v>0</x:v>
      </x:c>
      <x:c r="AA418" s="647" t="n">
        <x:f>IF(Q418&gt;0,N418*T418,0)</x:f>
        <x:v>0</x:v>
      </x:c>
      <x:c r="AB418" s="647" t="n">
        <x:f>N418*R418</x:f>
        <x:v>0</x:v>
      </x:c>
      <x:c r="AC418" s="647" t="n">
        <x:f>IF(N418&gt;0,R418,999999)</x:f>
        <x:v>999999</x:v>
      </x:c>
      <x:c r="AD418" s="647" t="n">
        <x:f>IF(AND(N418&gt;0,P418&gt;0),S418,999999)</x:f>
        <x:v>999999</x:v>
      </x:c>
      <x:c r="AE418" s="647" t="n">
        <x:f>IF(AND(N418&gt;0,Q418&gt;0),T418,999999)</x:f>
        <x:v>999999</x:v>
      </x:c>
      <x:c r="AF418" s="648" t="n">
        <x:f>B418*D418*F418*J418</x:f>
        <x:v>0.00756</x:v>
      </x:c>
      <x:c r="AG418" s="648" t="n">
        <x:f>IF(P418&gt;0,AF418,0)</x:f>
        <x:v>0</x:v>
      </x:c>
      <x:c r="AH418" s="648" t="n">
        <x:f>IF(AND(P418&gt;0,S418&lt;0),AF418,0)</x:f>
        <x:v>0</x:v>
      </x:c>
      <x:c r="AI418" s="648" t="n">
        <x:f>IF(AND(P418&gt;0,S418=0),AF418,0)</x:f>
        <x:v>0</x:v>
      </x:c>
      <x:c r="AJ418" s="648" t="n">
        <x:f>IF(R418&lt;30000,AF418,0)</x:f>
        <x:v>0</x:v>
      </x:c>
      <x:c r="AK418" s="647" t="n">
        <x:f>IF(P418&gt;0,AF418*S418,0)</x:f>
        <x:v>0</x:v>
      </x:c>
    </x:row>
    <x:row r="419" ht="22" customHeight="1">
      <x:c r="A419" s="19" t="str">
        <x:v>进取</x:v>
      </x:c>
      <x:c r="B419" s="23" t="n">
        <x:f>'114_降本系数'!B28</x:f>
        <x:v>0.15</x:v>
      </x:c>
      <x:c r="C419" s="19" t="str">
        <x:v>L0</x:v>
      </x:c>
      <x:c r="D419" s="23" t="n">
        <x:f>'130_联合算法'!C16</x:f>
        <x:v>0.6</x:v>
      </x:c>
      <x:c r="E419" s="460" t="n">
        <x:f>'117_价格概率传导'!A10</x:f>
        <x:v>229900</x:v>
      </x:c>
      <x:c r="F419" s="23" t="n">
        <x:f>'117_价格概率传导'!E10</x:f>
        <x:v>0.28</x:v>
      </x:c>
      <x:c r="G419" s="23" t="n">
        <x:f>SUM('117_价格概率传导'!$E$6:$E$9)</x:f>
        <x:v>0.5700000000000001</x:v>
      </x:c>
      <x:c r="H419" s="23" t="n">
        <x:f>SUM('117_价格概率传导'!$E$6:$E$10)</x:f>
        <x:v>0.8500000000000001</x:v>
      </x:c>
      <x:c r="I419" s="460" t="n">
        <x:f>'117_价格概率传导'!A20</x:f>
        <x:v>269900</x:v>
      </x:c>
      <x:c r="J419" s="23" t="n">
        <x:f>'117_价格概率传导'!E20</x:f>
        <x:v>0.38</x:v>
      </x:c>
      <x:c r="K419" s="23" t="n">
        <x:f>SUM('117_价格概率传导'!$E$16:$E$19)</x:f>
        <x:v>0.42</x:v>
      </x:c>
      <x:c r="L419" s="23" t="n">
        <x:f>SUM('117_价格概率传导'!$E$16:$E$20)</x:f>
        <x:v>0.8</x:v>
      </x:c>
      <x:c r="M419" s="23" t="n">
        <x:f>MAX(0,MIN(H419,L419)-MAX(G419,K419))</x:f>
        <x:v>0.22999999999999998</x:v>
      </x:c>
      <x:c r="N419" s="23" t="n">
        <x:f>B419*D419*M419</x:f>
        <x:v>0.020699999999999996</x:v>
      </x:c>
      <x:c r="O419" s="460" t="n">
        <x:f>I419</x:f>
        <x:v>269900</x:v>
      </x:c>
      <x:c r="P419" s="460" t="str">
        <x:f>""</x:f>
      </x:c>
      <x:c r="Q419" s="460" t="str">
        <x:f>""</x:f>
      </x:c>
      <x:c r="R419" s="460" t="n">
        <x:f>O419-E419</x:f>
        <x:v>40000</x:v>
      </x:c>
      <x:c r="S419" s="460" t="str">
        <x:f>IF(P419&gt;0,P419-E419,"")</x:f>
      </x:c>
      <x:c r="T419" s="460" t="str">
        <x:f>IF(Q419&gt;0,Q419-E419,"")</x:f>
      </x:c>
      <x:c r="U419" s="23" t="n">
        <x:f>IF(R419&lt;30000,N419,0)</x:f>
        <x:v>0</x:v>
      </x:c>
      <x:c r="V419" s="23" t="n">
        <x:f>IF(P419&gt;0,N419,0)</x:f>
        <x:v>0</x:v>
      </x:c>
      <x:c r="W419" s="23" t="n">
        <x:f>IF(AND(P419&gt;0,S419&lt;0),N419,0)</x:f>
        <x:v>0</x:v>
      </x:c>
      <x:c r="X419" s="23" t="n">
        <x:f>IF(AND(P419&gt;0,S419=0),N419,0)</x:f>
        <x:v>0</x:v>
      </x:c>
      <x:c r="Y419" s="23" t="n">
        <x:f>IF(Q419&gt;0,N419,0)</x:f>
        <x:v>0</x:v>
      </x:c>
      <x:c r="Z419" s="460" t="n">
        <x:f>IF(P419&gt;0,N419*S419,0)</x:f>
        <x:v>0</x:v>
      </x:c>
      <x:c r="AA419" s="460" t="n">
        <x:f>IF(Q419&gt;0,N419*T419,0)</x:f>
        <x:v>0</x:v>
      </x:c>
      <x:c r="AB419" s="460" t="n">
        <x:f>N419*R419</x:f>
        <x:v>827.9999999999999</x:v>
      </x:c>
      <x:c r="AC419" s="460" t="n">
        <x:f>IF(N419&gt;0,R419,999999)</x:f>
        <x:v>40000</x:v>
      </x:c>
      <x:c r="AD419" s="460" t="n">
        <x:f>IF(AND(N419&gt;0,P419&gt;0),S419,999999)</x:f>
        <x:v>999999</x:v>
      </x:c>
      <x:c r="AE419" s="460" t="n">
        <x:f>IF(AND(N419&gt;0,Q419&gt;0),T419,999999)</x:f>
        <x:v>999999</x:v>
      </x:c>
      <x:c r="AF419" s="23" t="n">
        <x:f>B419*D419*F419*J419</x:f>
        <x:v>0.009576</x:v>
      </x:c>
      <x:c r="AG419" s="23" t="n">
        <x:f>IF(P419&gt;0,AF419,0)</x:f>
        <x:v>0</x:v>
      </x:c>
      <x:c r="AH419" s="23" t="n">
        <x:f>IF(AND(P419&gt;0,S419&lt;0),AF419,0)</x:f>
        <x:v>0</x:v>
      </x:c>
      <x:c r="AI419" s="23" t="n">
        <x:f>IF(AND(P419&gt;0,S419=0),AF419,0)</x:f>
        <x:v>0</x:v>
      </x:c>
      <x:c r="AJ419" s="23" t="n">
        <x:f>IF(R419&lt;30000,AF419,0)</x:f>
        <x:v>0</x:v>
      </x:c>
      <x:c r="AK419" s="460" t="n">
        <x:f>IF(P419&gt;0,AF419*S419,0)</x:f>
        <x:v>0</x:v>
      </x:c>
    </x:row>
    <x:row r="420" ht="22" customHeight="1">
      <x:c r="A420" s="643" t="str">
        <x:v>进取</x:v>
      </x:c>
      <x:c r="B420" s="648" t="n">
        <x:f>'114_降本系数'!B28</x:f>
        <x:v>0.15</x:v>
      </x:c>
      <x:c r="C420" s="643" t="str">
        <x:v>L0</x:v>
      </x:c>
      <x:c r="D420" s="648" t="n">
        <x:f>'130_联合算法'!C16</x:f>
        <x:v>0.6</x:v>
      </x:c>
      <x:c r="E420" s="647" t="n">
        <x:f>'117_价格概率传导'!A10</x:f>
        <x:v>229900</x:v>
      </x:c>
      <x:c r="F420" s="648" t="n">
        <x:f>'117_价格概率传导'!E10</x:f>
        <x:v>0.28</x:v>
      </x:c>
      <x:c r="G420" s="648" t="n">
        <x:f>SUM('117_价格概率传导'!$E$6:$E$9)</x:f>
        <x:v>0.5700000000000001</x:v>
      </x:c>
      <x:c r="H420" s="648" t="n">
        <x:f>SUM('117_价格概率传导'!$E$6:$E$10)</x:f>
        <x:v>0.8500000000000001</x:v>
      </x:c>
      <x:c r="I420" s="647" t="n">
        <x:f>'117_价格概率传导'!A21</x:f>
        <x:v>259900</x:v>
      </x:c>
      <x:c r="J420" s="648" t="n">
        <x:f>'117_价格概率传导'!E21</x:f>
        <x:v>0.2</x:v>
      </x:c>
      <x:c r="K420" s="648" t="n">
        <x:f>SUM('117_价格概率传导'!$E$16:$E$20)</x:f>
        <x:v>0.8</x:v>
      </x:c>
      <x:c r="L420" s="648" t="n">
        <x:f>SUM('117_价格概率传导'!$E$16:$E$21)</x:f>
        <x:v>1</x:v>
      </x:c>
      <x:c r="M420" s="648" t="n">
        <x:f>MAX(0,MIN(H420,L420)-MAX(G420,K420))</x:f>
        <x:v>0.050000000000000044</x:v>
      </x:c>
      <x:c r="N420" s="648" t="n">
        <x:f>B420*D420*M420</x:f>
        <x:v>0.004500000000000004</x:v>
      </x:c>
      <x:c r="O420" s="647" t="n">
        <x:f>I420</x:f>
        <x:v>259900</x:v>
      </x:c>
      <x:c r="P420" s="647" t="str">
        <x:f>""</x:f>
      </x:c>
      <x:c r="Q420" s="647" t="str">
        <x:f>""</x:f>
      </x:c>
      <x:c r="R420" s="647" t="n">
        <x:f>O420-E420</x:f>
        <x:v>30000</x:v>
      </x:c>
      <x:c r="S420" s="647" t="str">
        <x:f>IF(P420&gt;0,P420-E420,"")</x:f>
      </x:c>
      <x:c r="T420" s="647" t="str">
        <x:f>IF(Q420&gt;0,Q420-E420,"")</x:f>
      </x:c>
      <x:c r="U420" s="648" t="n">
        <x:f>IF(R420&lt;30000,N420,0)</x:f>
        <x:v>0</x:v>
      </x:c>
      <x:c r="V420" s="648" t="n">
        <x:f>IF(P420&gt;0,N420,0)</x:f>
        <x:v>0</x:v>
      </x:c>
      <x:c r="W420" s="648" t="n">
        <x:f>IF(AND(P420&gt;0,S420&lt;0),N420,0)</x:f>
        <x:v>0</x:v>
      </x:c>
      <x:c r="X420" s="648" t="n">
        <x:f>IF(AND(P420&gt;0,S420=0),N420,0)</x:f>
        <x:v>0</x:v>
      </x:c>
      <x:c r="Y420" s="648" t="n">
        <x:f>IF(Q420&gt;0,N420,0)</x:f>
        <x:v>0</x:v>
      </x:c>
      <x:c r="Z420" s="647" t="n">
        <x:f>IF(P420&gt;0,N420*S420,0)</x:f>
        <x:v>0</x:v>
      </x:c>
      <x:c r="AA420" s="647" t="n">
        <x:f>IF(Q420&gt;0,N420*T420,0)</x:f>
        <x:v>0</x:v>
      </x:c>
      <x:c r="AB420" s="647" t="n">
        <x:f>N420*R420</x:f>
        <x:v>135.0000000000001</x:v>
      </x:c>
      <x:c r="AC420" s="647" t="n">
        <x:f>IF(N420&gt;0,R420,999999)</x:f>
        <x:v>30000</x:v>
      </x:c>
      <x:c r="AD420" s="647" t="n">
        <x:f>IF(AND(N420&gt;0,P420&gt;0),S420,999999)</x:f>
        <x:v>999999</x:v>
      </x:c>
      <x:c r="AE420" s="647" t="n">
        <x:f>IF(AND(N420&gt;0,Q420&gt;0),T420,999999)</x:f>
        <x:v>999999</x:v>
      </x:c>
      <x:c r="AF420" s="648" t="n">
        <x:f>B420*D420*F420*J420</x:f>
        <x:v>0.00504</x:v>
      </x:c>
      <x:c r="AG420" s="648" t="n">
        <x:f>IF(P420&gt;0,AF420,0)</x:f>
        <x:v>0</x:v>
      </x:c>
      <x:c r="AH420" s="648" t="n">
        <x:f>IF(AND(P420&gt;0,S420&lt;0),AF420,0)</x:f>
        <x:v>0</x:v>
      </x:c>
      <x:c r="AI420" s="648" t="n">
        <x:f>IF(AND(P420&gt;0,S420=0),AF420,0)</x:f>
        <x:v>0</x:v>
      </x:c>
      <x:c r="AJ420" s="648" t="n">
        <x:f>IF(R420&lt;30000,AF420,0)</x:f>
        <x:v>0</x:v>
      </x:c>
      <x:c r="AK420" s="647" t="n">
        <x:f>IF(P420&gt;0,AF420*S420,0)</x:f>
        <x:v>0</x:v>
      </x:c>
    </x:row>
    <x:row r="421" ht="22" customHeight="1">
      <x:c r="A421" s="19" t="str">
        <x:v>进取</x:v>
      </x:c>
      <x:c r="B421" s="23" t="n">
        <x:f>'114_降本系数'!B28</x:f>
        <x:v>0.15</x:v>
      </x:c>
      <x:c r="C421" s="19" t="str">
        <x:v>L0</x:v>
      </x:c>
      <x:c r="D421" s="23" t="n">
        <x:f>'130_联合算法'!C16</x:f>
        <x:v>0.6</x:v>
      </x:c>
      <x:c r="E421" s="460" t="n">
        <x:f>'117_价格概率传导'!A11</x:f>
        <x:v>219900</x:v>
      </x:c>
      <x:c r="F421" s="23" t="n">
        <x:f>'117_价格概率传导'!E11</x:f>
        <x:v>0.15</x:v>
      </x:c>
      <x:c r="G421" s="23" t="n">
        <x:f>SUM('117_价格概率传导'!$E$6:$E$10)</x:f>
        <x:v>0.8500000000000001</x:v>
      </x:c>
      <x:c r="H421" s="23" t="n">
        <x:f>SUM('117_价格概率传导'!$E$6:$E$11)</x:f>
        <x:v>1</x:v>
      </x:c>
      <x:c r="I421" s="460" t="n">
        <x:f>'117_价格概率传导'!A16</x:f>
        <x:v>299900</x:v>
      </x:c>
      <x:c r="J421" s="23" t="n">
        <x:f>'117_价格概率传导'!E16</x:f>
        <x:v>0.01</x:v>
      </x:c>
      <x:c r="K421" s="23" t="n">
        <x:f>0</x:f>
        <x:v>0</x:v>
      </x:c>
      <x:c r="L421" s="23" t="n">
        <x:f>SUM('117_价格概率传导'!$E$16:$E$16)</x:f>
        <x:v>0.01</x:v>
      </x:c>
      <x:c r="M421" s="23" t="n">
        <x:f>MAX(0,MIN(H421,L421)-MAX(G421,K421))</x:f>
        <x:v>0</x:v>
      </x:c>
      <x:c r="N421" s="23" t="n">
        <x:f>B421*D421*M421</x:f>
        <x:v>0</x:v>
      </x:c>
      <x:c r="O421" s="460" t="n">
        <x:f>I421</x:f>
        <x:v>299900</x:v>
      </x:c>
      <x:c r="P421" s="460" t="str">
        <x:f>""</x:f>
      </x:c>
      <x:c r="Q421" s="460" t="str">
        <x:f>""</x:f>
      </x:c>
      <x:c r="R421" s="460" t="n">
        <x:f>O421-E421</x:f>
        <x:v>80000</x:v>
      </x:c>
      <x:c r="S421" s="460" t="str">
        <x:f>IF(P421&gt;0,P421-E421,"")</x:f>
      </x:c>
      <x:c r="T421" s="460" t="str">
        <x:f>IF(Q421&gt;0,Q421-E421,"")</x:f>
      </x:c>
      <x:c r="U421" s="23" t="n">
        <x:f>IF(R421&lt;30000,N421,0)</x:f>
        <x:v>0</x:v>
      </x:c>
      <x:c r="V421" s="23" t="n">
        <x:f>IF(P421&gt;0,N421,0)</x:f>
        <x:v>0</x:v>
      </x:c>
      <x:c r="W421" s="23" t="n">
        <x:f>IF(AND(P421&gt;0,S421&lt;0),N421,0)</x:f>
        <x:v>0</x:v>
      </x:c>
      <x:c r="X421" s="23" t="n">
        <x:f>IF(AND(P421&gt;0,S421=0),N421,0)</x:f>
        <x:v>0</x:v>
      </x:c>
      <x:c r="Y421" s="23" t="n">
        <x:f>IF(Q421&gt;0,N421,0)</x:f>
        <x:v>0</x:v>
      </x:c>
      <x:c r="Z421" s="460" t="n">
        <x:f>IF(P421&gt;0,N421*S421,0)</x:f>
        <x:v>0</x:v>
      </x:c>
      <x:c r="AA421" s="460" t="n">
        <x:f>IF(Q421&gt;0,N421*T421,0)</x:f>
        <x:v>0</x:v>
      </x:c>
      <x:c r="AB421" s="460" t="n">
        <x:f>N421*R421</x:f>
        <x:v>0</x:v>
      </x:c>
      <x:c r="AC421" s="460" t="n">
        <x:f>IF(N421&gt;0,R421,999999)</x:f>
        <x:v>999999</x:v>
      </x:c>
      <x:c r="AD421" s="460" t="n">
        <x:f>IF(AND(N421&gt;0,P421&gt;0),S421,999999)</x:f>
        <x:v>999999</x:v>
      </x:c>
      <x:c r="AE421" s="460" t="n">
        <x:f>IF(AND(N421&gt;0,Q421&gt;0),T421,999999)</x:f>
        <x:v>999999</x:v>
      </x:c>
      <x:c r="AF421" s="23" t="n">
        <x:f>B421*D421*F421*J421</x:f>
        <x:v>0.000135</x:v>
      </x:c>
      <x:c r="AG421" s="23" t="n">
        <x:f>IF(P421&gt;0,AF421,0)</x:f>
        <x:v>0</x:v>
      </x:c>
      <x:c r="AH421" s="23" t="n">
        <x:f>IF(AND(P421&gt;0,S421&lt;0),AF421,0)</x:f>
        <x:v>0</x:v>
      </x:c>
      <x:c r="AI421" s="23" t="n">
        <x:f>IF(AND(P421&gt;0,S421=0),AF421,0)</x:f>
        <x:v>0</x:v>
      </x:c>
      <x:c r="AJ421" s="23" t="n">
        <x:f>IF(R421&lt;30000,AF421,0)</x:f>
        <x:v>0</x:v>
      </x:c>
      <x:c r="AK421" s="460" t="n">
        <x:f>IF(P421&gt;0,AF421*S421,0)</x:f>
        <x:v>0</x:v>
      </x:c>
    </x:row>
    <x:row r="422" ht="22" customHeight="1">
      <x:c r="A422" s="643" t="str">
        <x:v>进取</x:v>
      </x:c>
      <x:c r="B422" s="648" t="n">
        <x:f>'114_降本系数'!B28</x:f>
        <x:v>0.15</x:v>
      </x:c>
      <x:c r="C422" s="643" t="str">
        <x:v>L0</x:v>
      </x:c>
      <x:c r="D422" s="648" t="n">
        <x:f>'130_联合算法'!C16</x:f>
        <x:v>0.6</x:v>
      </x:c>
      <x:c r="E422" s="647" t="n">
        <x:f>'117_价格概率传导'!A11</x:f>
        <x:v>219900</x:v>
      </x:c>
      <x:c r="F422" s="648" t="n">
        <x:f>'117_价格概率传导'!E11</x:f>
        <x:v>0.15</x:v>
      </x:c>
      <x:c r="G422" s="648" t="n">
        <x:f>SUM('117_价格概率传导'!$E$6:$E$10)</x:f>
        <x:v>0.8500000000000001</x:v>
      </x:c>
      <x:c r="H422" s="648" t="n">
        <x:f>SUM('117_价格概率传导'!$E$6:$E$11)</x:f>
        <x:v>1</x:v>
      </x:c>
      <x:c r="I422" s="647" t="n">
        <x:f>'117_价格概率传导'!A17</x:f>
        <x:v>293900</x:v>
      </x:c>
      <x:c r="J422" s="648" t="n">
        <x:f>'117_价格概率传导'!E17</x:f>
        <x:v>0.01</x:v>
      </x:c>
      <x:c r="K422" s="648" t="n">
        <x:f>SUM('117_价格概率传导'!$E$16:$E$16)</x:f>
        <x:v>0.01</x:v>
      </x:c>
      <x:c r="L422" s="648" t="n">
        <x:f>SUM('117_价格概率传导'!$E$16:$E$17)</x:f>
        <x:v>0.02</x:v>
      </x:c>
      <x:c r="M422" s="648" t="n">
        <x:f>MAX(0,MIN(H422,L422)-MAX(G422,K422))</x:f>
        <x:v>0</x:v>
      </x:c>
      <x:c r="N422" s="648" t="n">
        <x:f>B422*D422*M422</x:f>
        <x:v>0</x:v>
      </x:c>
      <x:c r="O422" s="647" t="n">
        <x:f>I422</x:f>
        <x:v>293900</x:v>
      </x:c>
      <x:c r="P422" s="647" t="str">
        <x:f>""</x:f>
      </x:c>
      <x:c r="Q422" s="647" t="str">
        <x:f>""</x:f>
      </x:c>
      <x:c r="R422" s="647" t="n">
        <x:f>O422-E422</x:f>
        <x:v>74000</x:v>
      </x:c>
      <x:c r="S422" s="647" t="str">
        <x:f>IF(P422&gt;0,P422-E422,"")</x:f>
      </x:c>
      <x:c r="T422" s="647" t="str">
        <x:f>IF(Q422&gt;0,Q422-E422,"")</x:f>
      </x:c>
      <x:c r="U422" s="648" t="n">
        <x:f>IF(R422&lt;30000,N422,0)</x:f>
        <x:v>0</x:v>
      </x:c>
      <x:c r="V422" s="648" t="n">
        <x:f>IF(P422&gt;0,N422,0)</x:f>
        <x:v>0</x:v>
      </x:c>
      <x:c r="W422" s="648" t="n">
        <x:f>IF(AND(P422&gt;0,S422&lt;0),N422,0)</x:f>
        <x:v>0</x:v>
      </x:c>
      <x:c r="X422" s="648" t="n">
        <x:f>IF(AND(P422&gt;0,S422=0),N422,0)</x:f>
        <x:v>0</x:v>
      </x:c>
      <x:c r="Y422" s="648" t="n">
        <x:f>IF(Q422&gt;0,N422,0)</x:f>
        <x:v>0</x:v>
      </x:c>
      <x:c r="Z422" s="647" t="n">
        <x:f>IF(P422&gt;0,N422*S422,0)</x:f>
        <x:v>0</x:v>
      </x:c>
      <x:c r="AA422" s="647" t="n">
        <x:f>IF(Q422&gt;0,N422*T422,0)</x:f>
        <x:v>0</x:v>
      </x:c>
      <x:c r="AB422" s="647" t="n">
        <x:f>N422*R422</x:f>
        <x:v>0</x:v>
      </x:c>
      <x:c r="AC422" s="647" t="n">
        <x:f>IF(N422&gt;0,R422,999999)</x:f>
        <x:v>999999</x:v>
      </x:c>
      <x:c r="AD422" s="647" t="n">
        <x:f>IF(AND(N422&gt;0,P422&gt;0),S422,999999)</x:f>
        <x:v>999999</x:v>
      </x:c>
      <x:c r="AE422" s="647" t="n">
        <x:f>IF(AND(N422&gt;0,Q422&gt;0),T422,999999)</x:f>
        <x:v>999999</x:v>
      </x:c>
      <x:c r="AF422" s="648" t="n">
        <x:f>B422*D422*F422*J422</x:f>
        <x:v>0.000135</x:v>
      </x:c>
      <x:c r="AG422" s="648" t="n">
        <x:f>IF(P422&gt;0,AF422,0)</x:f>
        <x:v>0</x:v>
      </x:c>
      <x:c r="AH422" s="648" t="n">
        <x:f>IF(AND(P422&gt;0,S422&lt;0),AF422,0)</x:f>
        <x:v>0</x:v>
      </x:c>
      <x:c r="AI422" s="648" t="n">
        <x:f>IF(AND(P422&gt;0,S422=0),AF422,0)</x:f>
        <x:v>0</x:v>
      </x:c>
      <x:c r="AJ422" s="648" t="n">
        <x:f>IF(R422&lt;30000,AF422,0)</x:f>
        <x:v>0</x:v>
      </x:c>
      <x:c r="AK422" s="647" t="n">
        <x:f>IF(P422&gt;0,AF422*S422,0)</x:f>
        <x:v>0</x:v>
      </x:c>
    </x:row>
    <x:row r="423" ht="22" customHeight="1">
      <x:c r="A423" s="19" t="str">
        <x:v>进取</x:v>
      </x:c>
      <x:c r="B423" s="23" t="n">
        <x:f>'114_降本系数'!B28</x:f>
        <x:v>0.15</x:v>
      </x:c>
      <x:c r="C423" s="19" t="str">
        <x:v>L0</x:v>
      </x:c>
      <x:c r="D423" s="23" t="n">
        <x:f>'130_联合算法'!C16</x:f>
        <x:v>0.6</x:v>
      </x:c>
      <x:c r="E423" s="460" t="n">
        <x:f>'117_价格概率传导'!A11</x:f>
        <x:v>219900</x:v>
      </x:c>
      <x:c r="F423" s="23" t="n">
        <x:f>'117_价格概率传导'!E11</x:f>
        <x:v>0.15</x:v>
      </x:c>
      <x:c r="G423" s="23" t="n">
        <x:f>SUM('117_价格概率传导'!$E$6:$E$10)</x:f>
        <x:v>0.8500000000000001</x:v>
      </x:c>
      <x:c r="H423" s="23" t="n">
        <x:f>SUM('117_价格概率传导'!$E$6:$E$11)</x:f>
        <x:v>1</x:v>
      </x:c>
      <x:c r="I423" s="460" t="n">
        <x:f>'117_价格概率传导'!A18</x:f>
        <x:v>289900</x:v>
      </x:c>
      <x:c r="J423" s="23" t="n">
        <x:f>'117_价格概率传导'!E18</x:f>
        <x:v>0.1</x:v>
      </x:c>
      <x:c r="K423" s="23" t="n">
        <x:f>SUM('117_价格概率传导'!$E$16:$E$17)</x:f>
        <x:v>0.02</x:v>
      </x:c>
      <x:c r="L423" s="23" t="n">
        <x:f>SUM('117_价格概率传导'!$E$16:$E$18)</x:f>
        <x:v>0.12000000000000001</x:v>
      </x:c>
      <x:c r="M423" s="23" t="n">
        <x:f>MAX(0,MIN(H423,L423)-MAX(G423,K423))</x:f>
        <x:v>0</x:v>
      </x:c>
      <x:c r="N423" s="23" t="n">
        <x:f>B423*D423*M423</x:f>
        <x:v>0</x:v>
      </x:c>
      <x:c r="O423" s="460" t="n">
        <x:f>I423</x:f>
        <x:v>289900</x:v>
      </x:c>
      <x:c r="P423" s="460" t="str">
        <x:f>""</x:f>
      </x:c>
      <x:c r="Q423" s="460" t="str">
        <x:f>""</x:f>
      </x:c>
      <x:c r="R423" s="460" t="n">
        <x:f>O423-E423</x:f>
        <x:v>70000</x:v>
      </x:c>
      <x:c r="S423" s="460" t="str">
        <x:f>IF(P423&gt;0,P423-E423,"")</x:f>
      </x:c>
      <x:c r="T423" s="460" t="str">
        <x:f>IF(Q423&gt;0,Q423-E423,"")</x:f>
      </x:c>
      <x:c r="U423" s="23" t="n">
        <x:f>IF(R423&lt;30000,N423,0)</x:f>
        <x:v>0</x:v>
      </x:c>
      <x:c r="V423" s="23" t="n">
        <x:f>IF(P423&gt;0,N423,0)</x:f>
        <x:v>0</x:v>
      </x:c>
      <x:c r="W423" s="23" t="n">
        <x:f>IF(AND(P423&gt;0,S423&lt;0),N423,0)</x:f>
        <x:v>0</x:v>
      </x:c>
      <x:c r="X423" s="23" t="n">
        <x:f>IF(AND(P423&gt;0,S423=0),N423,0)</x:f>
        <x:v>0</x:v>
      </x:c>
      <x:c r="Y423" s="23" t="n">
        <x:f>IF(Q423&gt;0,N423,0)</x:f>
        <x:v>0</x:v>
      </x:c>
      <x:c r="Z423" s="460" t="n">
        <x:f>IF(P423&gt;0,N423*S423,0)</x:f>
        <x:v>0</x:v>
      </x:c>
      <x:c r="AA423" s="460" t="n">
        <x:f>IF(Q423&gt;0,N423*T423,0)</x:f>
        <x:v>0</x:v>
      </x:c>
      <x:c r="AB423" s="460" t="n">
        <x:f>N423*R423</x:f>
        <x:v>0</x:v>
      </x:c>
      <x:c r="AC423" s="460" t="n">
        <x:f>IF(N423&gt;0,R423,999999)</x:f>
        <x:v>999999</x:v>
      </x:c>
      <x:c r="AD423" s="460" t="n">
        <x:f>IF(AND(N423&gt;0,P423&gt;0),S423,999999)</x:f>
        <x:v>999999</x:v>
      </x:c>
      <x:c r="AE423" s="460" t="n">
        <x:f>IF(AND(N423&gt;0,Q423&gt;0),T423,999999)</x:f>
        <x:v>999999</x:v>
      </x:c>
      <x:c r="AF423" s="23" t="n">
        <x:f>B423*D423*F423*J423</x:f>
        <x:v>0.00135</x:v>
      </x:c>
      <x:c r="AG423" s="23" t="n">
        <x:f>IF(P423&gt;0,AF423,0)</x:f>
        <x:v>0</x:v>
      </x:c>
      <x:c r="AH423" s="23" t="n">
        <x:f>IF(AND(P423&gt;0,S423&lt;0),AF423,0)</x:f>
        <x:v>0</x:v>
      </x:c>
      <x:c r="AI423" s="23" t="n">
        <x:f>IF(AND(P423&gt;0,S423=0),AF423,0)</x:f>
        <x:v>0</x:v>
      </x:c>
      <x:c r="AJ423" s="23" t="n">
        <x:f>IF(R423&lt;30000,AF423,0)</x:f>
        <x:v>0</x:v>
      </x:c>
      <x:c r="AK423" s="460" t="n">
        <x:f>IF(P423&gt;0,AF423*S423,0)</x:f>
        <x:v>0</x:v>
      </x:c>
    </x:row>
    <x:row r="424" ht="22" customHeight="1">
      <x:c r="A424" s="643" t="str">
        <x:v>进取</x:v>
      </x:c>
      <x:c r="B424" s="648" t="n">
        <x:f>'114_降本系数'!B28</x:f>
        <x:v>0.15</x:v>
      </x:c>
      <x:c r="C424" s="643" t="str">
        <x:v>L0</x:v>
      </x:c>
      <x:c r="D424" s="648" t="n">
        <x:f>'130_联合算法'!C16</x:f>
        <x:v>0.6</x:v>
      </x:c>
      <x:c r="E424" s="647" t="n">
        <x:f>'117_价格概率传导'!A11</x:f>
        <x:v>219900</x:v>
      </x:c>
      <x:c r="F424" s="648" t="n">
        <x:f>'117_价格概率传导'!E11</x:f>
        <x:v>0.15</x:v>
      </x:c>
      <x:c r="G424" s="648" t="n">
        <x:f>SUM('117_价格概率传导'!$E$6:$E$10)</x:f>
        <x:v>0.8500000000000001</x:v>
      </x:c>
      <x:c r="H424" s="648" t="n">
        <x:f>SUM('117_价格概率传导'!$E$6:$E$11)</x:f>
        <x:v>1</x:v>
      </x:c>
      <x:c r="I424" s="647" t="n">
        <x:f>'117_价格概率传导'!A19</x:f>
        <x:v>279900</x:v>
      </x:c>
      <x:c r="J424" s="648" t="n">
        <x:f>'117_价格概率传导'!E19</x:f>
        <x:v>0.3</x:v>
      </x:c>
      <x:c r="K424" s="648" t="n">
        <x:f>SUM('117_价格概率传导'!$E$16:$E$18)</x:f>
        <x:v>0.12000000000000001</x:v>
      </x:c>
      <x:c r="L424" s="648" t="n">
        <x:f>SUM('117_价格概率传导'!$E$16:$E$19)</x:f>
        <x:v>0.42</x:v>
      </x:c>
      <x:c r="M424" s="648" t="n">
        <x:f>MAX(0,MIN(H424,L424)-MAX(G424,K424))</x:f>
        <x:v>0</x:v>
      </x:c>
      <x:c r="N424" s="648" t="n">
        <x:f>B424*D424*M424</x:f>
        <x:v>0</x:v>
      </x:c>
      <x:c r="O424" s="647" t="n">
        <x:f>I424</x:f>
        <x:v>279900</x:v>
      </x:c>
      <x:c r="P424" s="647" t="str">
        <x:f>""</x:f>
      </x:c>
      <x:c r="Q424" s="647" t="str">
        <x:f>""</x:f>
      </x:c>
      <x:c r="R424" s="647" t="n">
        <x:f>O424-E424</x:f>
        <x:v>60000</x:v>
      </x:c>
      <x:c r="S424" s="647" t="str">
        <x:f>IF(P424&gt;0,P424-E424,"")</x:f>
      </x:c>
      <x:c r="T424" s="647" t="str">
        <x:f>IF(Q424&gt;0,Q424-E424,"")</x:f>
      </x:c>
      <x:c r="U424" s="648" t="n">
        <x:f>IF(R424&lt;30000,N424,0)</x:f>
        <x:v>0</x:v>
      </x:c>
      <x:c r="V424" s="648" t="n">
        <x:f>IF(P424&gt;0,N424,0)</x:f>
        <x:v>0</x:v>
      </x:c>
      <x:c r="W424" s="648" t="n">
        <x:f>IF(AND(P424&gt;0,S424&lt;0),N424,0)</x:f>
        <x:v>0</x:v>
      </x:c>
      <x:c r="X424" s="648" t="n">
        <x:f>IF(AND(P424&gt;0,S424=0),N424,0)</x:f>
        <x:v>0</x:v>
      </x:c>
      <x:c r="Y424" s="648" t="n">
        <x:f>IF(Q424&gt;0,N424,0)</x:f>
        <x:v>0</x:v>
      </x:c>
      <x:c r="Z424" s="647" t="n">
        <x:f>IF(P424&gt;0,N424*S424,0)</x:f>
        <x:v>0</x:v>
      </x:c>
      <x:c r="AA424" s="647" t="n">
        <x:f>IF(Q424&gt;0,N424*T424,0)</x:f>
        <x:v>0</x:v>
      </x:c>
      <x:c r="AB424" s="647" t="n">
        <x:f>N424*R424</x:f>
        <x:v>0</x:v>
      </x:c>
      <x:c r="AC424" s="647" t="n">
        <x:f>IF(N424&gt;0,R424,999999)</x:f>
        <x:v>999999</x:v>
      </x:c>
      <x:c r="AD424" s="647" t="n">
        <x:f>IF(AND(N424&gt;0,P424&gt;0),S424,999999)</x:f>
        <x:v>999999</x:v>
      </x:c>
      <x:c r="AE424" s="647" t="n">
        <x:f>IF(AND(N424&gt;0,Q424&gt;0),T424,999999)</x:f>
        <x:v>999999</x:v>
      </x:c>
      <x:c r="AF424" s="648" t="n">
        <x:f>B424*D424*F424*J424</x:f>
        <x:v>0.00405</x:v>
      </x:c>
      <x:c r="AG424" s="648" t="n">
        <x:f>IF(P424&gt;0,AF424,0)</x:f>
        <x:v>0</x:v>
      </x:c>
      <x:c r="AH424" s="648" t="n">
        <x:f>IF(AND(P424&gt;0,S424&lt;0),AF424,0)</x:f>
        <x:v>0</x:v>
      </x:c>
      <x:c r="AI424" s="648" t="n">
        <x:f>IF(AND(P424&gt;0,S424=0),AF424,0)</x:f>
        <x:v>0</x:v>
      </x:c>
      <x:c r="AJ424" s="648" t="n">
        <x:f>IF(R424&lt;30000,AF424,0)</x:f>
        <x:v>0</x:v>
      </x:c>
      <x:c r="AK424" s="647" t="n">
        <x:f>IF(P424&gt;0,AF424*S424,0)</x:f>
        <x:v>0</x:v>
      </x:c>
    </x:row>
    <x:row r="425" ht="22" customHeight="1">
      <x:c r="A425" s="19" t="str">
        <x:v>进取</x:v>
      </x:c>
      <x:c r="B425" s="23" t="n">
        <x:f>'114_降本系数'!B28</x:f>
        <x:v>0.15</x:v>
      </x:c>
      <x:c r="C425" s="19" t="str">
        <x:v>L0</x:v>
      </x:c>
      <x:c r="D425" s="23" t="n">
        <x:f>'130_联合算法'!C16</x:f>
        <x:v>0.6</x:v>
      </x:c>
      <x:c r="E425" s="460" t="n">
        <x:f>'117_价格概率传导'!A11</x:f>
        <x:v>219900</x:v>
      </x:c>
      <x:c r="F425" s="23" t="n">
        <x:f>'117_价格概率传导'!E11</x:f>
        <x:v>0.15</x:v>
      </x:c>
      <x:c r="G425" s="23" t="n">
        <x:f>SUM('117_价格概率传导'!$E$6:$E$10)</x:f>
        <x:v>0.8500000000000001</x:v>
      </x:c>
      <x:c r="H425" s="23" t="n">
        <x:f>SUM('117_价格概率传导'!$E$6:$E$11)</x:f>
        <x:v>1</x:v>
      </x:c>
      <x:c r="I425" s="460" t="n">
        <x:f>'117_价格概率传导'!A20</x:f>
        <x:v>269900</x:v>
      </x:c>
      <x:c r="J425" s="23" t="n">
        <x:f>'117_价格概率传导'!E20</x:f>
        <x:v>0.38</x:v>
      </x:c>
      <x:c r="K425" s="23" t="n">
        <x:f>SUM('117_价格概率传导'!$E$16:$E$19)</x:f>
        <x:v>0.42</x:v>
      </x:c>
      <x:c r="L425" s="23" t="n">
        <x:f>SUM('117_价格概率传导'!$E$16:$E$20)</x:f>
        <x:v>0.8</x:v>
      </x:c>
      <x:c r="M425" s="23" t="n">
        <x:f>MAX(0,MIN(H425,L425)-MAX(G425,K425))</x:f>
        <x:v>0</x:v>
      </x:c>
      <x:c r="N425" s="23" t="n">
        <x:f>B425*D425*M425</x:f>
        <x:v>0</x:v>
      </x:c>
      <x:c r="O425" s="460" t="n">
        <x:f>I425</x:f>
        <x:v>269900</x:v>
      </x:c>
      <x:c r="P425" s="460" t="str">
        <x:f>""</x:f>
      </x:c>
      <x:c r="Q425" s="460" t="str">
        <x:f>""</x:f>
      </x:c>
      <x:c r="R425" s="460" t="n">
        <x:f>O425-E425</x:f>
        <x:v>50000</x:v>
      </x:c>
      <x:c r="S425" s="460" t="str">
        <x:f>IF(P425&gt;0,P425-E425,"")</x:f>
      </x:c>
      <x:c r="T425" s="460" t="str">
        <x:f>IF(Q425&gt;0,Q425-E425,"")</x:f>
      </x:c>
      <x:c r="U425" s="23" t="n">
        <x:f>IF(R425&lt;30000,N425,0)</x:f>
        <x:v>0</x:v>
      </x:c>
      <x:c r="V425" s="23" t="n">
        <x:f>IF(P425&gt;0,N425,0)</x:f>
        <x:v>0</x:v>
      </x:c>
      <x:c r="W425" s="23" t="n">
        <x:f>IF(AND(P425&gt;0,S425&lt;0),N425,0)</x:f>
        <x:v>0</x:v>
      </x:c>
      <x:c r="X425" s="23" t="n">
        <x:f>IF(AND(P425&gt;0,S425=0),N425,0)</x:f>
        <x:v>0</x:v>
      </x:c>
      <x:c r="Y425" s="23" t="n">
        <x:f>IF(Q425&gt;0,N425,0)</x:f>
        <x:v>0</x:v>
      </x:c>
      <x:c r="Z425" s="460" t="n">
        <x:f>IF(P425&gt;0,N425*S425,0)</x:f>
        <x:v>0</x:v>
      </x:c>
      <x:c r="AA425" s="460" t="n">
        <x:f>IF(Q425&gt;0,N425*T425,0)</x:f>
        <x:v>0</x:v>
      </x:c>
      <x:c r="AB425" s="460" t="n">
        <x:f>N425*R425</x:f>
        <x:v>0</x:v>
      </x:c>
      <x:c r="AC425" s="460" t="n">
        <x:f>IF(N425&gt;0,R425,999999)</x:f>
        <x:v>999999</x:v>
      </x:c>
      <x:c r="AD425" s="460" t="n">
        <x:f>IF(AND(N425&gt;0,P425&gt;0),S425,999999)</x:f>
        <x:v>999999</x:v>
      </x:c>
      <x:c r="AE425" s="460" t="n">
        <x:f>IF(AND(N425&gt;0,Q425&gt;0),T425,999999)</x:f>
        <x:v>999999</x:v>
      </x:c>
      <x:c r="AF425" s="23" t="n">
        <x:f>B425*D425*F425*J425</x:f>
        <x:v>0.00513</x:v>
      </x:c>
      <x:c r="AG425" s="23" t="n">
        <x:f>IF(P425&gt;0,AF425,0)</x:f>
        <x:v>0</x:v>
      </x:c>
      <x:c r="AH425" s="23" t="n">
        <x:f>IF(AND(P425&gt;0,S425&lt;0),AF425,0)</x:f>
        <x:v>0</x:v>
      </x:c>
      <x:c r="AI425" s="23" t="n">
        <x:f>IF(AND(P425&gt;0,S425=0),AF425,0)</x:f>
        <x:v>0</x:v>
      </x:c>
      <x:c r="AJ425" s="23" t="n">
        <x:f>IF(R425&lt;30000,AF425,0)</x:f>
        <x:v>0</x:v>
      </x:c>
      <x:c r="AK425" s="460" t="n">
        <x:f>IF(P425&gt;0,AF425*S425,0)</x:f>
        <x:v>0</x:v>
      </x:c>
    </x:row>
    <x:row r="426" ht="22" customHeight="1">
      <x:c r="A426" s="643" t="str">
        <x:v>进取</x:v>
      </x:c>
      <x:c r="B426" s="648" t="n">
        <x:f>'114_降本系数'!B28</x:f>
        <x:v>0.15</x:v>
      </x:c>
      <x:c r="C426" s="643" t="str">
        <x:v>L0</x:v>
      </x:c>
      <x:c r="D426" s="648" t="n">
        <x:f>'130_联合算法'!C16</x:f>
        <x:v>0.6</x:v>
      </x:c>
      <x:c r="E426" s="647" t="n">
        <x:f>'117_价格概率传导'!A11</x:f>
        <x:v>219900</x:v>
      </x:c>
      <x:c r="F426" s="648" t="n">
        <x:f>'117_价格概率传导'!E11</x:f>
        <x:v>0.15</x:v>
      </x:c>
      <x:c r="G426" s="648" t="n">
        <x:f>SUM('117_价格概率传导'!$E$6:$E$10)</x:f>
        <x:v>0.8500000000000001</x:v>
      </x:c>
      <x:c r="H426" s="648" t="n">
        <x:f>SUM('117_价格概率传导'!$E$6:$E$11)</x:f>
        <x:v>1</x:v>
      </x:c>
      <x:c r="I426" s="647" t="n">
        <x:f>'117_价格概率传导'!A21</x:f>
        <x:v>259900</x:v>
      </x:c>
      <x:c r="J426" s="648" t="n">
        <x:f>'117_价格概率传导'!E21</x:f>
        <x:v>0.2</x:v>
      </x:c>
      <x:c r="K426" s="648" t="n">
        <x:f>SUM('117_价格概率传导'!$E$16:$E$20)</x:f>
        <x:v>0.8</x:v>
      </x:c>
      <x:c r="L426" s="648" t="n">
        <x:f>SUM('117_价格概率传导'!$E$16:$E$21)</x:f>
        <x:v>1</x:v>
      </x:c>
      <x:c r="M426" s="648" t="n">
        <x:f>MAX(0,MIN(H426,L426)-MAX(G426,K426))</x:f>
        <x:v>0.1499999999999999</x:v>
      </x:c>
      <x:c r="N426" s="648" t="n">
        <x:f>B426*D426*M426</x:f>
        <x:v>0.013499999999999991</x:v>
      </x:c>
      <x:c r="O426" s="647" t="n">
        <x:f>I426</x:f>
        <x:v>259900</x:v>
      </x:c>
      <x:c r="P426" s="647" t="str">
        <x:f>""</x:f>
      </x:c>
      <x:c r="Q426" s="647" t="str">
        <x:f>""</x:f>
      </x:c>
      <x:c r="R426" s="647" t="n">
        <x:f>O426-E426</x:f>
        <x:v>40000</x:v>
      </x:c>
      <x:c r="S426" s="647" t="str">
        <x:f>IF(P426&gt;0,P426-E426,"")</x:f>
      </x:c>
      <x:c r="T426" s="647" t="str">
        <x:f>IF(Q426&gt;0,Q426-E426,"")</x:f>
      </x:c>
      <x:c r="U426" s="648" t="n">
        <x:f>IF(R426&lt;30000,N426,0)</x:f>
        <x:v>0</x:v>
      </x:c>
      <x:c r="V426" s="648" t="n">
        <x:f>IF(P426&gt;0,N426,0)</x:f>
        <x:v>0</x:v>
      </x:c>
      <x:c r="W426" s="648" t="n">
        <x:f>IF(AND(P426&gt;0,S426&lt;0),N426,0)</x:f>
        <x:v>0</x:v>
      </x:c>
      <x:c r="X426" s="648" t="n">
        <x:f>IF(AND(P426&gt;0,S426=0),N426,0)</x:f>
        <x:v>0</x:v>
      </x:c>
      <x:c r="Y426" s="648" t="n">
        <x:f>IF(Q426&gt;0,N426,0)</x:f>
        <x:v>0</x:v>
      </x:c>
      <x:c r="Z426" s="647" t="n">
        <x:f>IF(P426&gt;0,N426*S426,0)</x:f>
        <x:v>0</x:v>
      </x:c>
      <x:c r="AA426" s="647" t="n">
        <x:f>IF(Q426&gt;0,N426*T426,0)</x:f>
        <x:v>0</x:v>
      </x:c>
      <x:c r="AB426" s="647" t="n">
        <x:f>N426*R426</x:f>
        <x:v>539.9999999999997</x:v>
      </x:c>
      <x:c r="AC426" s="647" t="n">
        <x:f>IF(N426&gt;0,R426,999999)</x:f>
        <x:v>40000</x:v>
      </x:c>
      <x:c r="AD426" s="647" t="n">
        <x:f>IF(AND(N426&gt;0,P426&gt;0),S426,999999)</x:f>
        <x:v>999999</x:v>
      </x:c>
      <x:c r="AE426" s="647" t="n">
        <x:f>IF(AND(N426&gt;0,Q426&gt;0),T426,999999)</x:f>
        <x:v>999999</x:v>
      </x:c>
      <x:c r="AF426" s="648" t="n">
        <x:f>B426*D426*F426*J426</x:f>
        <x:v>0.0027</x:v>
      </x:c>
      <x:c r="AG426" s="648" t="n">
        <x:f>IF(P426&gt;0,AF426,0)</x:f>
        <x:v>0</x:v>
      </x:c>
      <x:c r="AH426" s="648" t="n">
        <x:f>IF(AND(P426&gt;0,S426&lt;0),AF426,0)</x:f>
        <x:v>0</x:v>
      </x:c>
      <x:c r="AI426" s="648" t="n">
        <x:f>IF(AND(P426&gt;0,S426=0),AF426,0)</x:f>
        <x:v>0</x:v>
      </x:c>
      <x:c r="AJ426" s="648" t="n">
        <x:f>IF(R426&lt;30000,AF426,0)</x:f>
        <x:v>0</x:v>
      </x:c>
      <x:c r="AK426" s="647" t="n">
        <x:f>IF(P426&gt;0,AF426*S426,0)</x:f>
        <x:v>0</x:v>
      </x:c>
    </x:row>
    <x:row r="427" ht="22" customHeight="1">
      <x:c r="A427" s="19" t="str">
        <x:v>进取</x:v>
      </x:c>
      <x:c r="B427" s="23" t="n">
        <x:f>'114_降本系数'!B28</x:f>
        <x:v>0.15</x:v>
      </x:c>
      <x:c r="C427" s="19" t="str">
        <x:v>L1A</x:v>
      </x:c>
      <x:c r="D427" s="23" t="n">
        <x:f>'130_联合算法'!C17</x:f>
        <x:v>0.15</x:v>
      </x:c>
      <x:c r="E427" s="460" t="n">
        <x:f>'117_价格概率传导'!A6</x:f>
        <x:v>259900</x:v>
      </x:c>
      <x:c r="F427" s="23" t="n">
        <x:f>'117_价格概率传导'!E6</x:f>
        <x:v>0.01</x:v>
      </x:c>
      <x:c r="G427" s="23" t="n">
        <x:f>0</x:f>
        <x:v>0</x:v>
      </x:c>
      <x:c r="H427" s="23" t="n">
        <x:f>SUM('117_价格概率传导'!$E$6:$E$6)</x:f>
        <x:v>0.01</x:v>
      </x:c>
      <x:c r="I427" s="460" t="n">
        <x:f>'117_价格概率传导'!A16</x:f>
        <x:v>299900</x:v>
      </x:c>
      <x:c r="J427" s="23" t="n">
        <x:f>'117_价格概率传导'!E16</x:f>
        <x:v>0.01</x:v>
      </x:c>
      <x:c r="K427" s="23" t="n">
        <x:f>0</x:f>
        <x:v>0</x:v>
      </x:c>
      <x:c r="L427" s="23" t="n">
        <x:f>SUM('117_价格概率传导'!$E$16:$E$16)</x:f>
        <x:v>0.01</x:v>
      </x:c>
      <x:c r="M427" s="23" t="n">
        <x:f>MAX(0,MIN(H427,L427)-MAX(G427,K427))</x:f>
        <x:v>0.01</x:v>
      </x:c>
      <x:c r="N427" s="23" t="n">
        <x:f>B427*D427*M427</x:f>
        <x:v>0.000225</x:v>
      </x:c>
      <x:c r="O427" s="460" t="n">
        <x:f>MIN(299900,I427+20000)</x:f>
        <x:v>299900</x:v>
      </x:c>
      <x:c r="P427" s="460" t="n">
        <x:f>O427-30000</x:f>
        <x:v>269900</x:v>
      </x:c>
      <x:c r="Q427" s="460" t="str">
        <x:f>""</x:f>
      </x:c>
      <x:c r="R427" s="460" t="n">
        <x:f>O427-E427</x:f>
        <x:v>40000</x:v>
      </x:c>
      <x:c r="S427" s="460" t="n">
        <x:f>IF(P427&gt;0,P427-E427,"")</x:f>
        <x:v>10000</x:v>
      </x:c>
      <x:c r="T427" s="460" t="str">
        <x:f>IF(Q427&gt;0,Q427-E427,"")</x:f>
      </x:c>
      <x:c r="U427" s="23" t="n">
        <x:f>IF(R427&lt;30000,N427,0)</x:f>
        <x:v>0</x:v>
      </x:c>
      <x:c r="V427" s="23" t="n">
        <x:f>IF(P427&gt;0,N427,0)</x:f>
        <x:v>0.000225</x:v>
      </x:c>
      <x:c r="W427" s="23" t="n">
        <x:f>IF(AND(P427&gt;0,S427&lt;0),N427,0)</x:f>
        <x:v>0</x:v>
      </x:c>
      <x:c r="X427" s="23" t="n">
        <x:f>IF(AND(P427&gt;0,S427=0),N427,0)</x:f>
        <x:v>0</x:v>
      </x:c>
      <x:c r="Y427" s="23" t="n">
        <x:f>IF(Q427&gt;0,N427,0)</x:f>
        <x:v>0</x:v>
      </x:c>
      <x:c r="Z427" s="460" t="n">
        <x:f>IF(P427&gt;0,N427*S427,0)</x:f>
        <x:v>2.25</x:v>
      </x:c>
      <x:c r="AA427" s="460" t="n">
        <x:f>IF(Q427&gt;0,N427*T427,0)</x:f>
        <x:v>0</x:v>
      </x:c>
      <x:c r="AB427" s="460" t="n">
        <x:f>N427*R427</x:f>
        <x:v>9</x:v>
      </x:c>
      <x:c r="AC427" s="460" t="n">
        <x:f>IF(N427&gt;0,R427,999999)</x:f>
        <x:v>40000</x:v>
      </x:c>
      <x:c r="AD427" s="460" t="n">
        <x:f>IF(AND(N427&gt;0,P427&gt;0),S427,999999)</x:f>
        <x:v>10000</x:v>
      </x:c>
      <x:c r="AE427" s="460" t="n">
        <x:f>IF(AND(N427&gt;0,Q427&gt;0),T427,999999)</x:f>
        <x:v>999999</x:v>
      </x:c>
      <x:c r="AF427" s="23" t="n">
        <x:f>B427*D427*F427*J427</x:f>
        <x:v>0.00000225</x:v>
      </x:c>
      <x:c r="AG427" s="23" t="n">
        <x:f>IF(P427&gt;0,AF427,0)</x:f>
        <x:v>0.00000225</x:v>
      </x:c>
      <x:c r="AH427" s="23" t="n">
        <x:f>IF(AND(P427&gt;0,S427&lt;0),AF427,0)</x:f>
        <x:v>0</x:v>
      </x:c>
      <x:c r="AI427" s="23" t="n">
        <x:f>IF(AND(P427&gt;0,S427=0),AF427,0)</x:f>
        <x:v>0</x:v>
      </x:c>
      <x:c r="AJ427" s="23" t="n">
        <x:f>IF(R427&lt;30000,AF427,0)</x:f>
        <x:v>0</x:v>
      </x:c>
      <x:c r="AK427" s="460" t="n">
        <x:f>IF(P427&gt;0,AF427*S427,0)</x:f>
        <x:v>0.0225</x:v>
      </x:c>
    </x:row>
    <x:row r="428" ht="22" customHeight="1">
      <x:c r="A428" s="643" t="str">
        <x:v>进取</x:v>
      </x:c>
      <x:c r="B428" s="648" t="n">
        <x:f>'114_降本系数'!B28</x:f>
        <x:v>0.15</x:v>
      </x:c>
      <x:c r="C428" s="643" t="str">
        <x:v>L1A</x:v>
      </x:c>
      <x:c r="D428" s="648" t="n">
        <x:f>'130_联合算法'!C17</x:f>
        <x:v>0.15</x:v>
      </x:c>
      <x:c r="E428" s="647" t="n">
        <x:f>'117_价格概率传导'!A6</x:f>
        <x:v>259900</x:v>
      </x:c>
      <x:c r="F428" s="648" t="n">
        <x:f>'117_价格概率传导'!E6</x:f>
        <x:v>0.01</x:v>
      </x:c>
      <x:c r="G428" s="648" t="n">
        <x:f>0</x:f>
        <x:v>0</x:v>
      </x:c>
      <x:c r="H428" s="648" t="n">
        <x:f>SUM('117_价格概率传导'!$E$6:$E$6)</x:f>
        <x:v>0.01</x:v>
      </x:c>
      <x:c r="I428" s="647" t="n">
        <x:f>'117_价格概率传导'!A17</x:f>
        <x:v>293900</x:v>
      </x:c>
      <x:c r="J428" s="648" t="n">
        <x:f>'117_价格概率传导'!E17</x:f>
        <x:v>0.01</x:v>
      </x:c>
      <x:c r="K428" s="648" t="n">
        <x:f>SUM('117_价格概率传导'!$E$16:$E$16)</x:f>
        <x:v>0.01</x:v>
      </x:c>
      <x:c r="L428" s="648" t="n">
        <x:f>SUM('117_价格概率传导'!$E$16:$E$17)</x:f>
        <x:v>0.02</x:v>
      </x:c>
      <x:c r="M428" s="648" t="n">
        <x:f>MAX(0,MIN(H428,L428)-MAX(G428,K428))</x:f>
        <x:v>0</x:v>
      </x:c>
      <x:c r="N428" s="648" t="n">
        <x:f>B428*D428*M428</x:f>
        <x:v>0</x:v>
      </x:c>
      <x:c r="O428" s="647" t="n">
        <x:f>MIN(299900,I428+20000)</x:f>
        <x:v>299900</x:v>
      </x:c>
      <x:c r="P428" s="647" t="n">
        <x:f>O428-30000</x:f>
        <x:v>269900</x:v>
      </x:c>
      <x:c r="Q428" s="647" t="str">
        <x:f>""</x:f>
      </x:c>
      <x:c r="R428" s="647" t="n">
        <x:f>O428-E428</x:f>
        <x:v>40000</x:v>
      </x:c>
      <x:c r="S428" s="647" t="n">
        <x:f>IF(P428&gt;0,P428-E428,"")</x:f>
        <x:v>10000</x:v>
      </x:c>
      <x:c r="T428" s="647" t="str">
        <x:f>IF(Q428&gt;0,Q428-E428,"")</x:f>
      </x:c>
      <x:c r="U428" s="648" t="n">
        <x:f>IF(R428&lt;30000,N428,0)</x:f>
        <x:v>0</x:v>
      </x:c>
      <x:c r="V428" s="648" t="n">
        <x:f>IF(P428&gt;0,N428,0)</x:f>
        <x:v>0</x:v>
      </x:c>
      <x:c r="W428" s="648" t="n">
        <x:f>IF(AND(P428&gt;0,S428&lt;0),N428,0)</x:f>
        <x:v>0</x:v>
      </x:c>
      <x:c r="X428" s="648" t="n">
        <x:f>IF(AND(P428&gt;0,S428=0),N428,0)</x:f>
        <x:v>0</x:v>
      </x:c>
      <x:c r="Y428" s="648" t="n">
        <x:f>IF(Q428&gt;0,N428,0)</x:f>
        <x:v>0</x:v>
      </x:c>
      <x:c r="Z428" s="647" t="n">
        <x:f>IF(P428&gt;0,N428*S428,0)</x:f>
        <x:v>0</x:v>
      </x:c>
      <x:c r="AA428" s="647" t="n">
        <x:f>IF(Q428&gt;0,N428*T428,0)</x:f>
        <x:v>0</x:v>
      </x:c>
      <x:c r="AB428" s="647" t="n">
        <x:f>N428*R428</x:f>
        <x:v>0</x:v>
      </x:c>
      <x:c r="AC428" s="647" t="n">
        <x:f>IF(N428&gt;0,R428,999999)</x:f>
        <x:v>999999</x:v>
      </x:c>
      <x:c r="AD428" s="647" t="n">
        <x:f>IF(AND(N428&gt;0,P428&gt;0),S428,999999)</x:f>
        <x:v>999999</x:v>
      </x:c>
      <x:c r="AE428" s="647" t="n">
        <x:f>IF(AND(N428&gt;0,Q428&gt;0),T428,999999)</x:f>
        <x:v>999999</x:v>
      </x:c>
      <x:c r="AF428" s="648" t="n">
        <x:f>B428*D428*F428*J428</x:f>
        <x:v>0.00000225</x:v>
      </x:c>
      <x:c r="AG428" s="648" t="n">
        <x:f>IF(P428&gt;0,AF428,0)</x:f>
        <x:v>0.00000225</x:v>
      </x:c>
      <x:c r="AH428" s="648" t="n">
        <x:f>IF(AND(P428&gt;0,S428&lt;0),AF428,0)</x:f>
        <x:v>0</x:v>
      </x:c>
      <x:c r="AI428" s="648" t="n">
        <x:f>IF(AND(P428&gt;0,S428=0),AF428,0)</x:f>
        <x:v>0</x:v>
      </x:c>
      <x:c r="AJ428" s="648" t="n">
        <x:f>IF(R428&lt;30000,AF428,0)</x:f>
        <x:v>0</x:v>
      </x:c>
      <x:c r="AK428" s="647" t="n">
        <x:f>IF(P428&gt;0,AF428*S428,0)</x:f>
        <x:v>0.0225</x:v>
      </x:c>
    </x:row>
    <x:row r="429" ht="22" customHeight="1">
      <x:c r="A429" s="19" t="str">
        <x:v>进取</x:v>
      </x:c>
      <x:c r="B429" s="23" t="n">
        <x:f>'114_降本系数'!B28</x:f>
        <x:v>0.15</x:v>
      </x:c>
      <x:c r="C429" s="19" t="str">
        <x:v>L1A</x:v>
      </x:c>
      <x:c r="D429" s="23" t="n">
        <x:f>'130_联合算法'!C17</x:f>
        <x:v>0.15</x:v>
      </x:c>
      <x:c r="E429" s="460" t="n">
        <x:f>'117_价格概率传导'!A6</x:f>
        <x:v>259900</x:v>
      </x:c>
      <x:c r="F429" s="23" t="n">
        <x:f>'117_价格概率传导'!E6</x:f>
        <x:v>0.01</x:v>
      </x:c>
      <x:c r="G429" s="23" t="n">
        <x:f>0</x:f>
        <x:v>0</x:v>
      </x:c>
      <x:c r="H429" s="23" t="n">
        <x:f>SUM('117_价格概率传导'!$E$6:$E$6)</x:f>
        <x:v>0.01</x:v>
      </x:c>
      <x:c r="I429" s="460" t="n">
        <x:f>'117_价格概率传导'!A18</x:f>
        <x:v>289900</x:v>
      </x:c>
      <x:c r="J429" s="23" t="n">
        <x:f>'117_价格概率传导'!E18</x:f>
        <x:v>0.1</x:v>
      </x:c>
      <x:c r="K429" s="23" t="n">
        <x:f>SUM('117_价格概率传导'!$E$16:$E$17)</x:f>
        <x:v>0.02</x:v>
      </x:c>
      <x:c r="L429" s="23" t="n">
        <x:f>SUM('117_价格概率传导'!$E$16:$E$18)</x:f>
        <x:v>0.12000000000000001</x:v>
      </x:c>
      <x:c r="M429" s="23" t="n">
        <x:f>MAX(0,MIN(H429,L429)-MAX(G429,K429))</x:f>
        <x:v>0</x:v>
      </x:c>
      <x:c r="N429" s="23" t="n">
        <x:f>B429*D429*M429</x:f>
        <x:v>0</x:v>
      </x:c>
      <x:c r="O429" s="460" t="n">
        <x:f>MIN(299900,I429+20000)</x:f>
        <x:v>299900</x:v>
      </x:c>
      <x:c r="P429" s="460" t="n">
        <x:f>O429-30000</x:f>
        <x:v>269900</x:v>
      </x:c>
      <x:c r="Q429" s="460" t="str">
        <x:f>""</x:f>
      </x:c>
      <x:c r="R429" s="460" t="n">
        <x:f>O429-E429</x:f>
        <x:v>40000</x:v>
      </x:c>
      <x:c r="S429" s="460" t="n">
        <x:f>IF(P429&gt;0,P429-E429,"")</x:f>
        <x:v>10000</x:v>
      </x:c>
      <x:c r="T429" s="460" t="str">
        <x:f>IF(Q429&gt;0,Q429-E429,"")</x:f>
      </x:c>
      <x:c r="U429" s="23" t="n">
        <x:f>IF(R429&lt;30000,N429,0)</x:f>
        <x:v>0</x:v>
      </x:c>
      <x:c r="V429" s="23" t="n">
        <x:f>IF(P429&gt;0,N429,0)</x:f>
        <x:v>0</x:v>
      </x:c>
      <x:c r="W429" s="23" t="n">
        <x:f>IF(AND(P429&gt;0,S429&lt;0),N429,0)</x:f>
        <x:v>0</x:v>
      </x:c>
      <x:c r="X429" s="23" t="n">
        <x:f>IF(AND(P429&gt;0,S429=0),N429,0)</x:f>
        <x:v>0</x:v>
      </x:c>
      <x:c r="Y429" s="23" t="n">
        <x:f>IF(Q429&gt;0,N429,0)</x:f>
        <x:v>0</x:v>
      </x:c>
      <x:c r="Z429" s="460" t="n">
        <x:f>IF(P429&gt;0,N429*S429,0)</x:f>
        <x:v>0</x:v>
      </x:c>
      <x:c r="AA429" s="460" t="n">
        <x:f>IF(Q429&gt;0,N429*T429,0)</x:f>
        <x:v>0</x:v>
      </x:c>
      <x:c r="AB429" s="460" t="n">
        <x:f>N429*R429</x:f>
        <x:v>0</x:v>
      </x:c>
      <x:c r="AC429" s="460" t="n">
        <x:f>IF(N429&gt;0,R429,999999)</x:f>
        <x:v>999999</x:v>
      </x:c>
      <x:c r="AD429" s="460" t="n">
        <x:f>IF(AND(N429&gt;0,P429&gt;0),S429,999999)</x:f>
        <x:v>999999</x:v>
      </x:c>
      <x:c r="AE429" s="460" t="n">
        <x:f>IF(AND(N429&gt;0,Q429&gt;0),T429,999999)</x:f>
        <x:v>999999</x:v>
      </x:c>
      <x:c r="AF429" s="23" t="n">
        <x:f>B429*D429*F429*J429</x:f>
        <x:v>0.0000225</x:v>
      </x:c>
      <x:c r="AG429" s="23" t="n">
        <x:f>IF(P429&gt;0,AF429,0)</x:f>
        <x:v>0.0000225</x:v>
      </x:c>
      <x:c r="AH429" s="23" t="n">
        <x:f>IF(AND(P429&gt;0,S429&lt;0),AF429,0)</x:f>
        <x:v>0</x:v>
      </x:c>
      <x:c r="AI429" s="23" t="n">
        <x:f>IF(AND(P429&gt;0,S429=0),AF429,0)</x:f>
        <x:v>0</x:v>
      </x:c>
      <x:c r="AJ429" s="23" t="n">
        <x:f>IF(R429&lt;30000,AF429,0)</x:f>
        <x:v>0</x:v>
      </x:c>
      <x:c r="AK429" s="460" t="n">
        <x:f>IF(P429&gt;0,AF429*S429,0)</x:f>
        <x:v>0.225</x:v>
      </x:c>
    </x:row>
    <x:row r="430" ht="22" customHeight="1">
      <x:c r="A430" s="643" t="str">
        <x:v>进取</x:v>
      </x:c>
      <x:c r="B430" s="648" t="n">
        <x:f>'114_降本系数'!B28</x:f>
        <x:v>0.15</x:v>
      </x:c>
      <x:c r="C430" s="643" t="str">
        <x:v>L1A</x:v>
      </x:c>
      <x:c r="D430" s="648" t="n">
        <x:f>'130_联合算法'!C17</x:f>
        <x:v>0.15</x:v>
      </x:c>
      <x:c r="E430" s="647" t="n">
        <x:f>'117_价格概率传导'!A6</x:f>
        <x:v>259900</x:v>
      </x:c>
      <x:c r="F430" s="648" t="n">
        <x:f>'117_价格概率传导'!E6</x:f>
        <x:v>0.01</x:v>
      </x:c>
      <x:c r="G430" s="648" t="n">
        <x:f>0</x:f>
        <x:v>0</x:v>
      </x:c>
      <x:c r="H430" s="648" t="n">
        <x:f>SUM('117_价格概率传导'!$E$6:$E$6)</x:f>
        <x:v>0.01</x:v>
      </x:c>
      <x:c r="I430" s="647" t="n">
        <x:f>'117_价格概率传导'!A19</x:f>
        <x:v>279900</x:v>
      </x:c>
      <x:c r="J430" s="648" t="n">
        <x:f>'117_价格概率传导'!E19</x:f>
        <x:v>0.3</x:v>
      </x:c>
      <x:c r="K430" s="648" t="n">
        <x:f>SUM('117_价格概率传导'!$E$16:$E$18)</x:f>
        <x:v>0.12000000000000001</x:v>
      </x:c>
      <x:c r="L430" s="648" t="n">
        <x:f>SUM('117_价格概率传导'!$E$16:$E$19)</x:f>
        <x:v>0.42</x:v>
      </x:c>
      <x:c r="M430" s="648" t="n">
        <x:f>MAX(0,MIN(H430,L430)-MAX(G430,K430))</x:f>
        <x:v>0</x:v>
      </x:c>
      <x:c r="N430" s="648" t="n">
        <x:f>B430*D430*M430</x:f>
        <x:v>0</x:v>
      </x:c>
      <x:c r="O430" s="647" t="n">
        <x:f>MIN(299900,I430+20000)</x:f>
        <x:v>299900</x:v>
      </x:c>
      <x:c r="P430" s="647" t="n">
        <x:f>O430-30000</x:f>
        <x:v>269900</x:v>
      </x:c>
      <x:c r="Q430" s="647" t="str">
        <x:f>""</x:f>
      </x:c>
      <x:c r="R430" s="647" t="n">
        <x:f>O430-E430</x:f>
        <x:v>40000</x:v>
      </x:c>
      <x:c r="S430" s="647" t="n">
        <x:f>IF(P430&gt;0,P430-E430,"")</x:f>
        <x:v>10000</x:v>
      </x:c>
      <x:c r="T430" s="647" t="str">
        <x:f>IF(Q430&gt;0,Q430-E430,"")</x:f>
      </x:c>
      <x:c r="U430" s="648" t="n">
        <x:f>IF(R430&lt;30000,N430,0)</x:f>
        <x:v>0</x:v>
      </x:c>
      <x:c r="V430" s="648" t="n">
        <x:f>IF(P430&gt;0,N430,0)</x:f>
        <x:v>0</x:v>
      </x:c>
      <x:c r="W430" s="648" t="n">
        <x:f>IF(AND(P430&gt;0,S430&lt;0),N430,0)</x:f>
        <x:v>0</x:v>
      </x:c>
      <x:c r="X430" s="648" t="n">
        <x:f>IF(AND(P430&gt;0,S430=0),N430,0)</x:f>
        <x:v>0</x:v>
      </x:c>
      <x:c r="Y430" s="648" t="n">
        <x:f>IF(Q430&gt;0,N430,0)</x:f>
        <x:v>0</x:v>
      </x:c>
      <x:c r="Z430" s="647" t="n">
        <x:f>IF(P430&gt;0,N430*S430,0)</x:f>
        <x:v>0</x:v>
      </x:c>
      <x:c r="AA430" s="647" t="n">
        <x:f>IF(Q430&gt;0,N430*T430,0)</x:f>
        <x:v>0</x:v>
      </x:c>
      <x:c r="AB430" s="647" t="n">
        <x:f>N430*R430</x:f>
        <x:v>0</x:v>
      </x:c>
      <x:c r="AC430" s="647" t="n">
        <x:f>IF(N430&gt;0,R430,999999)</x:f>
        <x:v>999999</x:v>
      </x:c>
      <x:c r="AD430" s="647" t="n">
        <x:f>IF(AND(N430&gt;0,P430&gt;0),S430,999999)</x:f>
        <x:v>999999</x:v>
      </x:c>
      <x:c r="AE430" s="647" t="n">
        <x:f>IF(AND(N430&gt;0,Q430&gt;0),T430,999999)</x:f>
        <x:v>999999</x:v>
      </x:c>
      <x:c r="AF430" s="648" t="n">
        <x:f>B430*D430*F430*J430</x:f>
        <x:v>0.0000675</x:v>
      </x:c>
      <x:c r="AG430" s="648" t="n">
        <x:f>IF(P430&gt;0,AF430,0)</x:f>
        <x:v>0.0000675</x:v>
      </x:c>
      <x:c r="AH430" s="648" t="n">
        <x:f>IF(AND(P430&gt;0,S430&lt;0),AF430,0)</x:f>
        <x:v>0</x:v>
      </x:c>
      <x:c r="AI430" s="648" t="n">
        <x:f>IF(AND(P430&gt;0,S430=0),AF430,0)</x:f>
        <x:v>0</x:v>
      </x:c>
      <x:c r="AJ430" s="648" t="n">
        <x:f>IF(R430&lt;30000,AF430,0)</x:f>
        <x:v>0</x:v>
      </x:c>
      <x:c r="AK430" s="647" t="n">
        <x:f>IF(P430&gt;0,AF430*S430,0)</x:f>
        <x:v>0.675</x:v>
      </x:c>
    </x:row>
    <x:row r="431" ht="22" customHeight="1">
      <x:c r="A431" s="19" t="str">
        <x:v>进取</x:v>
      </x:c>
      <x:c r="B431" s="23" t="n">
        <x:f>'114_降本系数'!B28</x:f>
        <x:v>0.15</x:v>
      </x:c>
      <x:c r="C431" s="19" t="str">
        <x:v>L1A</x:v>
      </x:c>
      <x:c r="D431" s="23" t="n">
        <x:f>'130_联合算法'!C17</x:f>
        <x:v>0.15</x:v>
      </x:c>
      <x:c r="E431" s="460" t="n">
        <x:f>'117_价格概率传导'!A6</x:f>
        <x:v>259900</x:v>
      </x:c>
      <x:c r="F431" s="23" t="n">
        <x:f>'117_价格概率传导'!E6</x:f>
        <x:v>0.01</x:v>
      </x:c>
      <x:c r="G431" s="23" t="n">
        <x:f>0</x:f>
        <x:v>0</x:v>
      </x:c>
      <x:c r="H431" s="23" t="n">
        <x:f>SUM('117_价格概率传导'!$E$6:$E$6)</x:f>
        <x:v>0.01</x:v>
      </x:c>
      <x:c r="I431" s="460" t="n">
        <x:f>'117_价格概率传导'!A20</x:f>
        <x:v>269900</x:v>
      </x:c>
      <x:c r="J431" s="23" t="n">
        <x:f>'117_价格概率传导'!E20</x:f>
        <x:v>0.38</x:v>
      </x:c>
      <x:c r="K431" s="23" t="n">
        <x:f>SUM('117_价格概率传导'!$E$16:$E$19)</x:f>
        <x:v>0.42</x:v>
      </x:c>
      <x:c r="L431" s="23" t="n">
        <x:f>SUM('117_价格概率传导'!$E$16:$E$20)</x:f>
        <x:v>0.8</x:v>
      </x:c>
      <x:c r="M431" s="23" t="n">
        <x:f>MAX(0,MIN(H431,L431)-MAX(G431,K431))</x:f>
        <x:v>0</x:v>
      </x:c>
      <x:c r="N431" s="23" t="n">
        <x:f>B431*D431*M431</x:f>
        <x:v>0</x:v>
      </x:c>
      <x:c r="O431" s="460" t="n">
        <x:f>MIN(299900,I431+20000)</x:f>
        <x:v>289900</x:v>
      </x:c>
      <x:c r="P431" s="460" t="n">
        <x:f>O431-30000</x:f>
        <x:v>259900</x:v>
      </x:c>
      <x:c r="Q431" s="460" t="str">
        <x:f>""</x:f>
      </x:c>
      <x:c r="R431" s="460" t="n">
        <x:f>O431-E431</x:f>
        <x:v>30000</x:v>
      </x:c>
      <x:c r="S431" s="460" t="n">
        <x:f>IF(P431&gt;0,P431-E431,"")</x:f>
        <x:v>0</x:v>
      </x:c>
      <x:c r="T431" s="460" t="str">
        <x:f>IF(Q431&gt;0,Q431-E431,"")</x:f>
      </x:c>
      <x:c r="U431" s="23" t="n">
        <x:f>IF(R431&lt;30000,N431,0)</x:f>
        <x:v>0</x:v>
      </x:c>
      <x:c r="V431" s="23" t="n">
        <x:f>IF(P431&gt;0,N431,0)</x:f>
        <x:v>0</x:v>
      </x:c>
      <x:c r="W431" s="23" t="n">
        <x:f>IF(AND(P431&gt;0,S431&lt;0),N431,0)</x:f>
        <x:v>0</x:v>
      </x:c>
      <x:c r="X431" s="23" t="n">
        <x:f>IF(AND(P431&gt;0,S431=0),N431,0)</x:f>
        <x:v>0</x:v>
      </x:c>
      <x:c r="Y431" s="23" t="n">
        <x:f>IF(Q431&gt;0,N431,0)</x:f>
        <x:v>0</x:v>
      </x:c>
      <x:c r="Z431" s="460" t="n">
        <x:f>IF(P431&gt;0,N431*S431,0)</x:f>
        <x:v>0</x:v>
      </x:c>
      <x:c r="AA431" s="460" t="n">
        <x:f>IF(Q431&gt;0,N431*T431,0)</x:f>
        <x:v>0</x:v>
      </x:c>
      <x:c r="AB431" s="460" t="n">
        <x:f>N431*R431</x:f>
        <x:v>0</x:v>
      </x:c>
      <x:c r="AC431" s="460" t="n">
        <x:f>IF(N431&gt;0,R431,999999)</x:f>
        <x:v>999999</x:v>
      </x:c>
      <x:c r="AD431" s="460" t="n">
        <x:f>IF(AND(N431&gt;0,P431&gt;0),S431,999999)</x:f>
        <x:v>999999</x:v>
      </x:c>
      <x:c r="AE431" s="460" t="n">
        <x:f>IF(AND(N431&gt;0,Q431&gt;0),T431,999999)</x:f>
        <x:v>999999</x:v>
      </x:c>
      <x:c r="AF431" s="23" t="n">
        <x:f>B431*D431*F431*J431</x:f>
        <x:v>0.0000855</x:v>
      </x:c>
      <x:c r="AG431" s="23" t="n">
        <x:f>IF(P431&gt;0,AF431,0)</x:f>
        <x:v>0.0000855</x:v>
      </x:c>
      <x:c r="AH431" s="23" t="n">
        <x:f>IF(AND(P431&gt;0,S431&lt;0),AF431,0)</x:f>
        <x:v>0</x:v>
      </x:c>
      <x:c r="AI431" s="23" t="n">
        <x:f>IF(AND(P431&gt;0,S431=0),AF431,0)</x:f>
        <x:v>0.0000855</x:v>
      </x:c>
      <x:c r="AJ431" s="23" t="n">
        <x:f>IF(R431&lt;30000,AF431,0)</x:f>
        <x:v>0</x:v>
      </x:c>
      <x:c r="AK431" s="460" t="n">
        <x:f>IF(P431&gt;0,AF431*S431,0)</x:f>
        <x:v>0</x:v>
      </x:c>
    </x:row>
    <x:row r="432" ht="22" customHeight="1">
      <x:c r="A432" s="643" t="str">
        <x:v>进取</x:v>
      </x:c>
      <x:c r="B432" s="648" t="n">
        <x:f>'114_降本系数'!B28</x:f>
        <x:v>0.15</x:v>
      </x:c>
      <x:c r="C432" s="643" t="str">
        <x:v>L1A</x:v>
      </x:c>
      <x:c r="D432" s="648" t="n">
        <x:f>'130_联合算法'!C17</x:f>
        <x:v>0.15</x:v>
      </x:c>
      <x:c r="E432" s="647" t="n">
        <x:f>'117_价格概率传导'!A6</x:f>
        <x:v>259900</x:v>
      </x:c>
      <x:c r="F432" s="648" t="n">
        <x:f>'117_价格概率传导'!E6</x:f>
        <x:v>0.01</x:v>
      </x:c>
      <x:c r="G432" s="648" t="n">
        <x:f>0</x:f>
        <x:v>0</x:v>
      </x:c>
      <x:c r="H432" s="648" t="n">
        <x:f>SUM('117_价格概率传导'!$E$6:$E$6)</x:f>
        <x:v>0.01</x:v>
      </x:c>
      <x:c r="I432" s="647" t="n">
        <x:f>'117_价格概率传导'!A21</x:f>
        <x:v>259900</x:v>
      </x:c>
      <x:c r="J432" s="648" t="n">
        <x:f>'117_价格概率传导'!E21</x:f>
        <x:v>0.2</x:v>
      </x:c>
      <x:c r="K432" s="648" t="n">
        <x:f>SUM('117_价格概率传导'!$E$16:$E$20)</x:f>
        <x:v>0.8</x:v>
      </x:c>
      <x:c r="L432" s="648" t="n">
        <x:f>SUM('117_价格概率传导'!$E$16:$E$21)</x:f>
        <x:v>1</x:v>
      </x:c>
      <x:c r="M432" s="648" t="n">
        <x:f>MAX(0,MIN(H432,L432)-MAX(G432,K432))</x:f>
        <x:v>0</x:v>
      </x:c>
      <x:c r="N432" s="648" t="n">
        <x:f>B432*D432*M432</x:f>
        <x:v>0</x:v>
      </x:c>
      <x:c r="O432" s="647" t="n">
        <x:f>MIN(299900,I432+20000)</x:f>
        <x:v>279900</x:v>
      </x:c>
      <x:c r="P432" s="647" t="n">
        <x:f>O432-30000</x:f>
        <x:v>249900</x:v>
      </x:c>
      <x:c r="Q432" s="647" t="str">
        <x:f>""</x:f>
      </x:c>
      <x:c r="R432" s="647" t="n">
        <x:f>O432-E432</x:f>
        <x:v>20000</x:v>
      </x:c>
      <x:c r="S432" s="647" t="n">
        <x:f>IF(P432&gt;0,P432-E432,"")</x:f>
        <x:v>-10000</x:v>
      </x:c>
      <x:c r="T432" s="647" t="str">
        <x:f>IF(Q432&gt;0,Q432-E432,"")</x:f>
      </x:c>
      <x:c r="U432" s="648" t="n">
        <x:f>IF(R432&lt;30000,N432,0)</x:f>
        <x:v>0</x:v>
      </x:c>
      <x:c r="V432" s="648" t="n">
        <x:f>IF(P432&gt;0,N432,0)</x:f>
        <x:v>0</x:v>
      </x:c>
      <x:c r="W432" s="648" t="n">
        <x:f>IF(AND(P432&gt;0,S432&lt;0),N432,0)</x:f>
        <x:v>0</x:v>
      </x:c>
      <x:c r="X432" s="648" t="n">
        <x:f>IF(AND(P432&gt;0,S432=0),N432,0)</x:f>
        <x:v>0</x:v>
      </x:c>
      <x:c r="Y432" s="648" t="n">
        <x:f>IF(Q432&gt;0,N432,0)</x:f>
        <x:v>0</x:v>
      </x:c>
      <x:c r="Z432" s="647" t="n">
        <x:f>IF(P432&gt;0,N432*S432,0)</x:f>
        <x:v>0</x:v>
      </x:c>
      <x:c r="AA432" s="647" t="n">
        <x:f>IF(Q432&gt;0,N432*T432,0)</x:f>
        <x:v>0</x:v>
      </x:c>
      <x:c r="AB432" s="647" t="n">
        <x:f>N432*R432</x:f>
        <x:v>0</x:v>
      </x:c>
      <x:c r="AC432" s="647" t="n">
        <x:f>IF(N432&gt;0,R432,999999)</x:f>
        <x:v>999999</x:v>
      </x:c>
      <x:c r="AD432" s="647" t="n">
        <x:f>IF(AND(N432&gt;0,P432&gt;0),S432,999999)</x:f>
        <x:v>999999</x:v>
      </x:c>
      <x:c r="AE432" s="647" t="n">
        <x:f>IF(AND(N432&gt;0,Q432&gt;0),T432,999999)</x:f>
        <x:v>999999</x:v>
      </x:c>
      <x:c r="AF432" s="648" t="n">
        <x:f>B432*D432*F432*J432</x:f>
        <x:v>0.000045</x:v>
      </x:c>
      <x:c r="AG432" s="648" t="n">
        <x:f>IF(P432&gt;0,AF432,0)</x:f>
        <x:v>0.000045</x:v>
      </x:c>
      <x:c r="AH432" s="648" t="n">
        <x:f>IF(AND(P432&gt;0,S432&lt;0),AF432,0)</x:f>
        <x:v>0.000045</x:v>
      </x:c>
      <x:c r="AI432" s="648" t="n">
        <x:f>IF(AND(P432&gt;0,S432=0),AF432,0)</x:f>
        <x:v>0</x:v>
      </x:c>
      <x:c r="AJ432" s="648" t="n">
        <x:f>IF(R432&lt;30000,AF432,0)</x:f>
        <x:v>0.000045</x:v>
      </x:c>
      <x:c r="AK432" s="647" t="n">
        <x:f>IF(P432&gt;0,AF432*S432,0)</x:f>
        <x:v>-0.45</x:v>
      </x:c>
    </x:row>
    <x:row r="433" ht="22" customHeight="1">
      <x:c r="A433" s="19" t="str">
        <x:v>进取</x:v>
      </x:c>
      <x:c r="B433" s="23" t="n">
        <x:f>'114_降本系数'!B28</x:f>
        <x:v>0.15</x:v>
      </x:c>
      <x:c r="C433" s="19" t="str">
        <x:v>L1A</x:v>
      </x:c>
      <x:c r="D433" s="23" t="n">
        <x:f>'130_联合算法'!C17</x:f>
        <x:v>0.15</x:v>
      </x:c>
      <x:c r="E433" s="460" t="n">
        <x:f>'117_价格概率传导'!A7</x:f>
        <x:v>253900</x:v>
      </x:c>
      <x:c r="F433" s="23" t="n">
        <x:f>'117_价格概率传导'!E7</x:f>
        <x:v>0.02</x:v>
      </x:c>
      <x:c r="G433" s="23" t="n">
        <x:f>SUM('117_价格概率传导'!$E$6:$E$6)</x:f>
        <x:v>0.01</x:v>
      </x:c>
      <x:c r="H433" s="23" t="n">
        <x:f>SUM('117_价格概率传导'!$E$6:$E$7)</x:f>
        <x:v>0.03</x:v>
      </x:c>
      <x:c r="I433" s="460" t="n">
        <x:f>'117_价格概率传导'!A16</x:f>
        <x:v>299900</x:v>
      </x:c>
      <x:c r="J433" s="23" t="n">
        <x:f>'117_价格概率传导'!E16</x:f>
        <x:v>0.01</x:v>
      </x:c>
      <x:c r="K433" s="23" t="n">
        <x:f>0</x:f>
        <x:v>0</x:v>
      </x:c>
      <x:c r="L433" s="23" t="n">
        <x:f>SUM('117_价格概率传导'!$E$16:$E$16)</x:f>
        <x:v>0.01</x:v>
      </x:c>
      <x:c r="M433" s="23" t="n">
        <x:f>MAX(0,MIN(H433,L433)-MAX(G433,K433))</x:f>
        <x:v>0</x:v>
      </x:c>
      <x:c r="N433" s="23" t="n">
        <x:f>B433*D433*M433</x:f>
        <x:v>0</x:v>
      </x:c>
      <x:c r="O433" s="460" t="n">
        <x:f>MIN(299900,I433+20000)</x:f>
        <x:v>299900</x:v>
      </x:c>
      <x:c r="P433" s="460" t="n">
        <x:f>O433-30000</x:f>
        <x:v>269900</x:v>
      </x:c>
      <x:c r="Q433" s="460" t="str">
        <x:f>""</x:f>
      </x:c>
      <x:c r="R433" s="460" t="n">
        <x:f>O433-E433</x:f>
        <x:v>46000</x:v>
      </x:c>
      <x:c r="S433" s="460" t="n">
        <x:f>IF(P433&gt;0,P433-E433,"")</x:f>
        <x:v>16000</x:v>
      </x:c>
      <x:c r="T433" s="460" t="str">
        <x:f>IF(Q433&gt;0,Q433-E433,"")</x:f>
      </x:c>
      <x:c r="U433" s="23" t="n">
        <x:f>IF(R433&lt;30000,N433,0)</x:f>
        <x:v>0</x:v>
      </x:c>
      <x:c r="V433" s="23" t="n">
        <x:f>IF(P433&gt;0,N433,0)</x:f>
        <x:v>0</x:v>
      </x:c>
      <x:c r="W433" s="23" t="n">
        <x:f>IF(AND(P433&gt;0,S433&lt;0),N433,0)</x:f>
        <x:v>0</x:v>
      </x:c>
      <x:c r="X433" s="23" t="n">
        <x:f>IF(AND(P433&gt;0,S433=0),N433,0)</x:f>
        <x:v>0</x:v>
      </x:c>
      <x:c r="Y433" s="23" t="n">
        <x:f>IF(Q433&gt;0,N433,0)</x:f>
        <x:v>0</x:v>
      </x:c>
      <x:c r="Z433" s="460" t="n">
        <x:f>IF(P433&gt;0,N433*S433,0)</x:f>
        <x:v>0</x:v>
      </x:c>
      <x:c r="AA433" s="460" t="n">
        <x:f>IF(Q433&gt;0,N433*T433,0)</x:f>
        <x:v>0</x:v>
      </x:c>
      <x:c r="AB433" s="460" t="n">
        <x:f>N433*R433</x:f>
        <x:v>0</x:v>
      </x:c>
      <x:c r="AC433" s="460" t="n">
        <x:f>IF(N433&gt;0,R433,999999)</x:f>
        <x:v>999999</x:v>
      </x:c>
      <x:c r="AD433" s="460" t="n">
        <x:f>IF(AND(N433&gt;0,P433&gt;0),S433,999999)</x:f>
        <x:v>999999</x:v>
      </x:c>
      <x:c r="AE433" s="460" t="n">
        <x:f>IF(AND(N433&gt;0,Q433&gt;0),T433,999999)</x:f>
        <x:v>999999</x:v>
      </x:c>
      <x:c r="AF433" s="23" t="n">
        <x:f>B433*D433*F433*J433</x:f>
        <x:v>0.0000045</x:v>
      </x:c>
      <x:c r="AG433" s="23" t="n">
        <x:f>IF(P433&gt;0,AF433,0)</x:f>
        <x:v>0.0000045</x:v>
      </x:c>
      <x:c r="AH433" s="23" t="n">
        <x:f>IF(AND(P433&gt;0,S433&lt;0),AF433,0)</x:f>
        <x:v>0</x:v>
      </x:c>
      <x:c r="AI433" s="23" t="n">
        <x:f>IF(AND(P433&gt;0,S433=0),AF433,0)</x:f>
        <x:v>0</x:v>
      </x:c>
      <x:c r="AJ433" s="23" t="n">
        <x:f>IF(R433&lt;30000,AF433,0)</x:f>
        <x:v>0</x:v>
      </x:c>
      <x:c r="AK433" s="460" t="n">
        <x:f>IF(P433&gt;0,AF433*S433,0)</x:f>
        <x:v>0.07200000000000001</x:v>
      </x:c>
    </x:row>
    <x:row r="434" ht="22" customHeight="1">
      <x:c r="A434" s="643" t="str">
        <x:v>进取</x:v>
      </x:c>
      <x:c r="B434" s="648" t="n">
        <x:f>'114_降本系数'!B28</x:f>
        <x:v>0.15</x:v>
      </x:c>
      <x:c r="C434" s="643" t="str">
        <x:v>L1A</x:v>
      </x:c>
      <x:c r="D434" s="648" t="n">
        <x:f>'130_联合算法'!C17</x:f>
        <x:v>0.15</x:v>
      </x:c>
      <x:c r="E434" s="647" t="n">
        <x:f>'117_价格概率传导'!A7</x:f>
        <x:v>253900</x:v>
      </x:c>
      <x:c r="F434" s="648" t="n">
        <x:f>'117_价格概率传导'!E7</x:f>
        <x:v>0.02</x:v>
      </x:c>
      <x:c r="G434" s="648" t="n">
        <x:f>SUM('117_价格概率传导'!$E$6:$E$6)</x:f>
        <x:v>0.01</x:v>
      </x:c>
      <x:c r="H434" s="648" t="n">
        <x:f>SUM('117_价格概率传导'!$E$6:$E$7)</x:f>
        <x:v>0.03</x:v>
      </x:c>
      <x:c r="I434" s="647" t="n">
        <x:f>'117_价格概率传导'!A17</x:f>
        <x:v>293900</x:v>
      </x:c>
      <x:c r="J434" s="648" t="n">
        <x:f>'117_价格概率传导'!E17</x:f>
        <x:v>0.01</x:v>
      </x:c>
      <x:c r="K434" s="648" t="n">
        <x:f>SUM('117_价格概率传导'!$E$16:$E$16)</x:f>
        <x:v>0.01</x:v>
      </x:c>
      <x:c r="L434" s="648" t="n">
        <x:f>SUM('117_价格概率传导'!$E$16:$E$17)</x:f>
        <x:v>0.02</x:v>
      </x:c>
      <x:c r="M434" s="648" t="n">
        <x:f>MAX(0,MIN(H434,L434)-MAX(G434,K434))</x:f>
        <x:v>0.01</x:v>
      </x:c>
      <x:c r="N434" s="648" t="n">
        <x:f>B434*D434*M434</x:f>
        <x:v>0.000225</x:v>
      </x:c>
      <x:c r="O434" s="647" t="n">
        <x:f>MIN(299900,I434+20000)</x:f>
        <x:v>299900</x:v>
      </x:c>
      <x:c r="P434" s="647" t="n">
        <x:f>O434-30000</x:f>
        <x:v>269900</x:v>
      </x:c>
      <x:c r="Q434" s="647" t="str">
        <x:f>""</x:f>
      </x:c>
      <x:c r="R434" s="647" t="n">
        <x:f>O434-E434</x:f>
        <x:v>46000</x:v>
      </x:c>
      <x:c r="S434" s="647" t="n">
        <x:f>IF(P434&gt;0,P434-E434,"")</x:f>
        <x:v>16000</x:v>
      </x:c>
      <x:c r="T434" s="647" t="str">
        <x:f>IF(Q434&gt;0,Q434-E434,"")</x:f>
      </x:c>
      <x:c r="U434" s="648" t="n">
        <x:f>IF(R434&lt;30000,N434,0)</x:f>
        <x:v>0</x:v>
      </x:c>
      <x:c r="V434" s="648" t="n">
        <x:f>IF(P434&gt;0,N434,0)</x:f>
        <x:v>0.000225</x:v>
      </x:c>
      <x:c r="W434" s="648" t="n">
        <x:f>IF(AND(P434&gt;0,S434&lt;0),N434,0)</x:f>
        <x:v>0</x:v>
      </x:c>
      <x:c r="X434" s="648" t="n">
        <x:f>IF(AND(P434&gt;0,S434=0),N434,0)</x:f>
        <x:v>0</x:v>
      </x:c>
      <x:c r="Y434" s="648" t="n">
        <x:f>IF(Q434&gt;0,N434,0)</x:f>
        <x:v>0</x:v>
      </x:c>
      <x:c r="Z434" s="647" t="n">
        <x:f>IF(P434&gt;0,N434*S434,0)</x:f>
        <x:v>3.6</x:v>
      </x:c>
      <x:c r="AA434" s="647" t="n">
        <x:f>IF(Q434&gt;0,N434*T434,0)</x:f>
        <x:v>0</x:v>
      </x:c>
      <x:c r="AB434" s="647" t="n">
        <x:f>N434*R434</x:f>
        <x:v>10.35</x:v>
      </x:c>
      <x:c r="AC434" s="647" t="n">
        <x:f>IF(N434&gt;0,R434,999999)</x:f>
        <x:v>46000</x:v>
      </x:c>
      <x:c r="AD434" s="647" t="n">
        <x:f>IF(AND(N434&gt;0,P434&gt;0),S434,999999)</x:f>
        <x:v>16000</x:v>
      </x:c>
      <x:c r="AE434" s="647" t="n">
        <x:f>IF(AND(N434&gt;0,Q434&gt;0),T434,999999)</x:f>
        <x:v>999999</x:v>
      </x:c>
      <x:c r="AF434" s="648" t="n">
        <x:f>B434*D434*F434*J434</x:f>
        <x:v>0.0000045</x:v>
      </x:c>
      <x:c r="AG434" s="648" t="n">
        <x:f>IF(P434&gt;0,AF434,0)</x:f>
        <x:v>0.0000045</x:v>
      </x:c>
      <x:c r="AH434" s="648" t="n">
        <x:f>IF(AND(P434&gt;0,S434&lt;0),AF434,0)</x:f>
        <x:v>0</x:v>
      </x:c>
      <x:c r="AI434" s="648" t="n">
        <x:f>IF(AND(P434&gt;0,S434=0),AF434,0)</x:f>
        <x:v>0</x:v>
      </x:c>
      <x:c r="AJ434" s="648" t="n">
        <x:f>IF(R434&lt;30000,AF434,0)</x:f>
        <x:v>0</x:v>
      </x:c>
      <x:c r="AK434" s="647" t="n">
        <x:f>IF(P434&gt;0,AF434*S434,0)</x:f>
        <x:v>0.07200000000000001</x:v>
      </x:c>
    </x:row>
    <x:row r="435" ht="22" customHeight="1">
      <x:c r="A435" s="19" t="str">
        <x:v>进取</x:v>
      </x:c>
      <x:c r="B435" s="23" t="n">
        <x:f>'114_降本系数'!B28</x:f>
        <x:v>0.15</x:v>
      </x:c>
      <x:c r="C435" s="19" t="str">
        <x:v>L1A</x:v>
      </x:c>
      <x:c r="D435" s="23" t="n">
        <x:f>'130_联合算法'!C17</x:f>
        <x:v>0.15</x:v>
      </x:c>
      <x:c r="E435" s="460" t="n">
        <x:f>'117_价格概率传导'!A7</x:f>
        <x:v>253900</x:v>
      </x:c>
      <x:c r="F435" s="23" t="n">
        <x:f>'117_价格概率传导'!E7</x:f>
        <x:v>0.02</x:v>
      </x:c>
      <x:c r="G435" s="23" t="n">
        <x:f>SUM('117_价格概率传导'!$E$6:$E$6)</x:f>
        <x:v>0.01</x:v>
      </x:c>
      <x:c r="H435" s="23" t="n">
        <x:f>SUM('117_价格概率传导'!$E$6:$E$7)</x:f>
        <x:v>0.03</x:v>
      </x:c>
      <x:c r="I435" s="460" t="n">
        <x:f>'117_价格概率传导'!A18</x:f>
        <x:v>289900</x:v>
      </x:c>
      <x:c r="J435" s="23" t="n">
        <x:f>'117_价格概率传导'!E18</x:f>
        <x:v>0.1</x:v>
      </x:c>
      <x:c r="K435" s="23" t="n">
        <x:f>SUM('117_价格概率传导'!$E$16:$E$17)</x:f>
        <x:v>0.02</x:v>
      </x:c>
      <x:c r="L435" s="23" t="n">
        <x:f>SUM('117_价格概率传导'!$E$16:$E$18)</x:f>
        <x:v>0.12000000000000001</x:v>
      </x:c>
      <x:c r="M435" s="23" t="n">
        <x:f>MAX(0,MIN(H435,L435)-MAX(G435,K435))</x:f>
        <x:v>0.009999999999999998</x:v>
      </x:c>
      <x:c r="N435" s="23" t="n">
        <x:f>B435*D435*M435</x:f>
        <x:v>0.00022499999999999997</x:v>
      </x:c>
      <x:c r="O435" s="460" t="n">
        <x:f>MIN(299900,I435+20000)</x:f>
        <x:v>299900</x:v>
      </x:c>
      <x:c r="P435" s="460" t="n">
        <x:f>O435-30000</x:f>
        <x:v>269900</x:v>
      </x:c>
      <x:c r="Q435" s="460" t="str">
        <x:f>""</x:f>
      </x:c>
      <x:c r="R435" s="460" t="n">
        <x:f>O435-E435</x:f>
        <x:v>46000</x:v>
      </x:c>
      <x:c r="S435" s="460" t="n">
        <x:f>IF(P435&gt;0,P435-E435,"")</x:f>
        <x:v>16000</x:v>
      </x:c>
      <x:c r="T435" s="460" t="str">
        <x:f>IF(Q435&gt;0,Q435-E435,"")</x:f>
      </x:c>
      <x:c r="U435" s="23" t="n">
        <x:f>IF(R435&lt;30000,N435,0)</x:f>
        <x:v>0</x:v>
      </x:c>
      <x:c r="V435" s="23" t="n">
        <x:f>IF(P435&gt;0,N435,0)</x:f>
        <x:v>0.00022499999999999997</x:v>
      </x:c>
      <x:c r="W435" s="23" t="n">
        <x:f>IF(AND(P435&gt;0,S435&lt;0),N435,0)</x:f>
        <x:v>0</x:v>
      </x:c>
      <x:c r="X435" s="23" t="n">
        <x:f>IF(AND(P435&gt;0,S435=0),N435,0)</x:f>
        <x:v>0</x:v>
      </x:c>
      <x:c r="Y435" s="23" t="n">
        <x:f>IF(Q435&gt;0,N435,0)</x:f>
        <x:v>0</x:v>
      </x:c>
      <x:c r="Z435" s="460" t="n">
        <x:f>IF(P435&gt;0,N435*S435,0)</x:f>
        <x:v>3.5999999999999996</x:v>
      </x:c>
      <x:c r="AA435" s="460" t="n">
        <x:f>IF(Q435&gt;0,N435*T435,0)</x:f>
        <x:v>0</x:v>
      </x:c>
      <x:c r="AB435" s="460" t="n">
        <x:f>N435*R435</x:f>
        <x:v>10.349999999999998</x:v>
      </x:c>
      <x:c r="AC435" s="460" t="n">
        <x:f>IF(N435&gt;0,R435,999999)</x:f>
        <x:v>46000</x:v>
      </x:c>
      <x:c r="AD435" s="460" t="n">
        <x:f>IF(AND(N435&gt;0,P435&gt;0),S435,999999)</x:f>
        <x:v>16000</x:v>
      </x:c>
      <x:c r="AE435" s="460" t="n">
        <x:f>IF(AND(N435&gt;0,Q435&gt;0),T435,999999)</x:f>
        <x:v>999999</x:v>
      </x:c>
      <x:c r="AF435" s="23" t="n">
        <x:f>B435*D435*F435*J435</x:f>
        <x:v>0.000045</x:v>
      </x:c>
      <x:c r="AG435" s="23" t="n">
        <x:f>IF(P435&gt;0,AF435,0)</x:f>
        <x:v>0.000045</x:v>
      </x:c>
      <x:c r="AH435" s="23" t="n">
        <x:f>IF(AND(P435&gt;0,S435&lt;0),AF435,0)</x:f>
        <x:v>0</x:v>
      </x:c>
      <x:c r="AI435" s="23" t="n">
        <x:f>IF(AND(P435&gt;0,S435=0),AF435,0)</x:f>
        <x:v>0</x:v>
      </x:c>
      <x:c r="AJ435" s="23" t="n">
        <x:f>IF(R435&lt;30000,AF435,0)</x:f>
        <x:v>0</x:v>
      </x:c>
      <x:c r="AK435" s="460" t="n">
        <x:f>IF(P435&gt;0,AF435*S435,0)</x:f>
        <x:v>0.7200000000000001</x:v>
      </x:c>
    </x:row>
    <x:row r="436" ht="22" customHeight="1">
      <x:c r="A436" s="643" t="str">
        <x:v>进取</x:v>
      </x:c>
      <x:c r="B436" s="648" t="n">
        <x:f>'114_降本系数'!B28</x:f>
        <x:v>0.15</x:v>
      </x:c>
      <x:c r="C436" s="643" t="str">
        <x:v>L1A</x:v>
      </x:c>
      <x:c r="D436" s="648" t="n">
        <x:f>'130_联合算法'!C17</x:f>
        <x:v>0.15</x:v>
      </x:c>
      <x:c r="E436" s="647" t="n">
        <x:f>'117_价格概率传导'!A7</x:f>
        <x:v>253900</x:v>
      </x:c>
      <x:c r="F436" s="648" t="n">
        <x:f>'117_价格概率传导'!E7</x:f>
        <x:v>0.02</x:v>
      </x:c>
      <x:c r="G436" s="648" t="n">
        <x:f>SUM('117_价格概率传导'!$E$6:$E$6)</x:f>
        <x:v>0.01</x:v>
      </x:c>
      <x:c r="H436" s="648" t="n">
        <x:f>SUM('117_价格概率传导'!$E$6:$E$7)</x:f>
        <x:v>0.03</x:v>
      </x:c>
      <x:c r="I436" s="647" t="n">
        <x:f>'117_价格概率传导'!A19</x:f>
        <x:v>279900</x:v>
      </x:c>
      <x:c r="J436" s="648" t="n">
        <x:f>'117_价格概率传导'!E19</x:f>
        <x:v>0.3</x:v>
      </x:c>
      <x:c r="K436" s="648" t="n">
        <x:f>SUM('117_价格概率传导'!$E$16:$E$18)</x:f>
        <x:v>0.12000000000000001</x:v>
      </x:c>
      <x:c r="L436" s="648" t="n">
        <x:f>SUM('117_价格概率传导'!$E$16:$E$19)</x:f>
        <x:v>0.42</x:v>
      </x:c>
      <x:c r="M436" s="648" t="n">
        <x:f>MAX(0,MIN(H436,L436)-MAX(G436,K436))</x:f>
        <x:v>0</x:v>
      </x:c>
      <x:c r="N436" s="648" t="n">
        <x:f>B436*D436*M436</x:f>
        <x:v>0</x:v>
      </x:c>
      <x:c r="O436" s="647" t="n">
        <x:f>MIN(299900,I436+20000)</x:f>
        <x:v>299900</x:v>
      </x:c>
      <x:c r="P436" s="647" t="n">
        <x:f>O436-30000</x:f>
        <x:v>269900</x:v>
      </x:c>
      <x:c r="Q436" s="647" t="str">
        <x:f>""</x:f>
      </x:c>
      <x:c r="R436" s="647" t="n">
        <x:f>O436-E436</x:f>
        <x:v>46000</x:v>
      </x:c>
      <x:c r="S436" s="647" t="n">
        <x:f>IF(P436&gt;0,P436-E436,"")</x:f>
        <x:v>16000</x:v>
      </x:c>
      <x:c r="T436" s="647" t="str">
        <x:f>IF(Q436&gt;0,Q436-E436,"")</x:f>
      </x:c>
      <x:c r="U436" s="648" t="n">
        <x:f>IF(R436&lt;30000,N436,0)</x:f>
        <x:v>0</x:v>
      </x:c>
      <x:c r="V436" s="648" t="n">
        <x:f>IF(P436&gt;0,N436,0)</x:f>
        <x:v>0</x:v>
      </x:c>
      <x:c r="W436" s="648" t="n">
        <x:f>IF(AND(P436&gt;0,S436&lt;0),N436,0)</x:f>
        <x:v>0</x:v>
      </x:c>
      <x:c r="X436" s="648" t="n">
        <x:f>IF(AND(P436&gt;0,S436=0),N436,0)</x:f>
        <x:v>0</x:v>
      </x:c>
      <x:c r="Y436" s="648" t="n">
        <x:f>IF(Q436&gt;0,N436,0)</x:f>
        <x:v>0</x:v>
      </x:c>
      <x:c r="Z436" s="647" t="n">
        <x:f>IF(P436&gt;0,N436*S436,0)</x:f>
        <x:v>0</x:v>
      </x:c>
      <x:c r="AA436" s="647" t="n">
        <x:f>IF(Q436&gt;0,N436*T436,0)</x:f>
        <x:v>0</x:v>
      </x:c>
      <x:c r="AB436" s="647" t="n">
        <x:f>N436*R436</x:f>
        <x:v>0</x:v>
      </x:c>
      <x:c r="AC436" s="647" t="n">
        <x:f>IF(N436&gt;0,R436,999999)</x:f>
        <x:v>999999</x:v>
      </x:c>
      <x:c r="AD436" s="647" t="n">
        <x:f>IF(AND(N436&gt;0,P436&gt;0),S436,999999)</x:f>
        <x:v>999999</x:v>
      </x:c>
      <x:c r="AE436" s="647" t="n">
        <x:f>IF(AND(N436&gt;0,Q436&gt;0),T436,999999)</x:f>
        <x:v>999999</x:v>
      </x:c>
      <x:c r="AF436" s="648" t="n">
        <x:f>B436*D436*F436*J436</x:f>
        <x:v>0.000135</x:v>
      </x:c>
      <x:c r="AG436" s="648" t="n">
        <x:f>IF(P436&gt;0,AF436,0)</x:f>
        <x:v>0.000135</x:v>
      </x:c>
      <x:c r="AH436" s="648" t="n">
        <x:f>IF(AND(P436&gt;0,S436&lt;0),AF436,0)</x:f>
        <x:v>0</x:v>
      </x:c>
      <x:c r="AI436" s="648" t="n">
        <x:f>IF(AND(P436&gt;0,S436=0),AF436,0)</x:f>
        <x:v>0</x:v>
      </x:c>
      <x:c r="AJ436" s="648" t="n">
        <x:f>IF(R436&lt;30000,AF436,0)</x:f>
        <x:v>0</x:v>
      </x:c>
      <x:c r="AK436" s="647" t="n">
        <x:f>IF(P436&gt;0,AF436*S436,0)</x:f>
        <x:v>2.16</x:v>
      </x:c>
    </x:row>
    <x:row r="437" ht="22" customHeight="1">
      <x:c r="A437" s="19" t="str">
        <x:v>进取</x:v>
      </x:c>
      <x:c r="B437" s="23" t="n">
        <x:f>'114_降本系数'!B28</x:f>
        <x:v>0.15</x:v>
      </x:c>
      <x:c r="C437" s="19" t="str">
        <x:v>L1A</x:v>
      </x:c>
      <x:c r="D437" s="23" t="n">
        <x:f>'130_联合算法'!C17</x:f>
        <x:v>0.15</x:v>
      </x:c>
      <x:c r="E437" s="460" t="n">
        <x:f>'117_价格概率传导'!A7</x:f>
        <x:v>253900</x:v>
      </x:c>
      <x:c r="F437" s="23" t="n">
        <x:f>'117_价格概率传导'!E7</x:f>
        <x:v>0.02</x:v>
      </x:c>
      <x:c r="G437" s="23" t="n">
        <x:f>SUM('117_价格概率传导'!$E$6:$E$6)</x:f>
        <x:v>0.01</x:v>
      </x:c>
      <x:c r="H437" s="23" t="n">
        <x:f>SUM('117_价格概率传导'!$E$6:$E$7)</x:f>
        <x:v>0.03</x:v>
      </x:c>
      <x:c r="I437" s="460" t="n">
        <x:f>'117_价格概率传导'!A20</x:f>
        <x:v>269900</x:v>
      </x:c>
      <x:c r="J437" s="23" t="n">
        <x:f>'117_价格概率传导'!E20</x:f>
        <x:v>0.38</x:v>
      </x:c>
      <x:c r="K437" s="23" t="n">
        <x:f>SUM('117_价格概率传导'!$E$16:$E$19)</x:f>
        <x:v>0.42</x:v>
      </x:c>
      <x:c r="L437" s="23" t="n">
        <x:f>SUM('117_价格概率传导'!$E$16:$E$20)</x:f>
        <x:v>0.8</x:v>
      </x:c>
      <x:c r="M437" s="23" t="n">
        <x:f>MAX(0,MIN(H437,L437)-MAX(G437,K437))</x:f>
        <x:v>0</x:v>
      </x:c>
      <x:c r="N437" s="23" t="n">
        <x:f>B437*D437*M437</x:f>
        <x:v>0</x:v>
      </x:c>
      <x:c r="O437" s="460" t="n">
        <x:f>MIN(299900,I437+20000)</x:f>
        <x:v>289900</x:v>
      </x:c>
      <x:c r="P437" s="460" t="n">
        <x:f>O437-30000</x:f>
        <x:v>259900</x:v>
      </x:c>
      <x:c r="Q437" s="460" t="str">
        <x:f>""</x:f>
      </x:c>
      <x:c r="R437" s="460" t="n">
        <x:f>O437-E437</x:f>
        <x:v>36000</x:v>
      </x:c>
      <x:c r="S437" s="460" t="n">
        <x:f>IF(P437&gt;0,P437-E437,"")</x:f>
        <x:v>6000</x:v>
      </x:c>
      <x:c r="T437" s="460" t="str">
        <x:f>IF(Q437&gt;0,Q437-E437,"")</x:f>
      </x:c>
      <x:c r="U437" s="23" t="n">
        <x:f>IF(R437&lt;30000,N437,0)</x:f>
        <x:v>0</x:v>
      </x:c>
      <x:c r="V437" s="23" t="n">
        <x:f>IF(P437&gt;0,N437,0)</x:f>
        <x:v>0</x:v>
      </x:c>
      <x:c r="W437" s="23" t="n">
        <x:f>IF(AND(P437&gt;0,S437&lt;0),N437,0)</x:f>
        <x:v>0</x:v>
      </x:c>
      <x:c r="X437" s="23" t="n">
        <x:f>IF(AND(P437&gt;0,S437=0),N437,0)</x:f>
        <x:v>0</x:v>
      </x:c>
      <x:c r="Y437" s="23" t="n">
        <x:f>IF(Q437&gt;0,N437,0)</x:f>
        <x:v>0</x:v>
      </x:c>
      <x:c r="Z437" s="460" t="n">
        <x:f>IF(P437&gt;0,N437*S437,0)</x:f>
        <x:v>0</x:v>
      </x:c>
      <x:c r="AA437" s="460" t="n">
        <x:f>IF(Q437&gt;0,N437*T437,0)</x:f>
        <x:v>0</x:v>
      </x:c>
      <x:c r="AB437" s="460" t="n">
        <x:f>N437*R437</x:f>
        <x:v>0</x:v>
      </x:c>
      <x:c r="AC437" s="460" t="n">
        <x:f>IF(N437&gt;0,R437,999999)</x:f>
        <x:v>999999</x:v>
      </x:c>
      <x:c r="AD437" s="460" t="n">
        <x:f>IF(AND(N437&gt;0,P437&gt;0),S437,999999)</x:f>
        <x:v>999999</x:v>
      </x:c>
      <x:c r="AE437" s="460" t="n">
        <x:f>IF(AND(N437&gt;0,Q437&gt;0),T437,999999)</x:f>
        <x:v>999999</x:v>
      </x:c>
      <x:c r="AF437" s="23" t="n">
        <x:f>B437*D437*F437*J437</x:f>
        <x:v>0.000171</x:v>
      </x:c>
      <x:c r="AG437" s="23" t="n">
        <x:f>IF(P437&gt;0,AF437,0)</x:f>
        <x:v>0.000171</x:v>
      </x:c>
      <x:c r="AH437" s="23" t="n">
        <x:f>IF(AND(P437&gt;0,S437&lt;0),AF437,0)</x:f>
        <x:v>0</x:v>
      </x:c>
      <x:c r="AI437" s="23" t="n">
        <x:f>IF(AND(P437&gt;0,S437=0),AF437,0)</x:f>
        <x:v>0</x:v>
      </x:c>
      <x:c r="AJ437" s="23" t="n">
        <x:f>IF(R437&lt;30000,AF437,0)</x:f>
        <x:v>0</x:v>
      </x:c>
      <x:c r="AK437" s="460" t="n">
        <x:f>IF(P437&gt;0,AF437*S437,0)</x:f>
        <x:v>1.026</x:v>
      </x:c>
    </x:row>
    <x:row r="438" ht="22" customHeight="1">
      <x:c r="A438" s="643" t="str">
        <x:v>进取</x:v>
      </x:c>
      <x:c r="B438" s="648" t="n">
        <x:f>'114_降本系数'!B28</x:f>
        <x:v>0.15</x:v>
      </x:c>
      <x:c r="C438" s="643" t="str">
        <x:v>L1A</x:v>
      </x:c>
      <x:c r="D438" s="648" t="n">
        <x:f>'130_联合算法'!C17</x:f>
        <x:v>0.15</x:v>
      </x:c>
      <x:c r="E438" s="647" t="n">
        <x:f>'117_价格概率传导'!A7</x:f>
        <x:v>253900</x:v>
      </x:c>
      <x:c r="F438" s="648" t="n">
        <x:f>'117_价格概率传导'!E7</x:f>
        <x:v>0.02</x:v>
      </x:c>
      <x:c r="G438" s="648" t="n">
        <x:f>SUM('117_价格概率传导'!$E$6:$E$6)</x:f>
        <x:v>0.01</x:v>
      </x:c>
      <x:c r="H438" s="648" t="n">
        <x:f>SUM('117_价格概率传导'!$E$6:$E$7)</x:f>
        <x:v>0.03</x:v>
      </x:c>
      <x:c r="I438" s="647" t="n">
        <x:f>'117_价格概率传导'!A21</x:f>
        <x:v>259900</x:v>
      </x:c>
      <x:c r="J438" s="648" t="n">
        <x:f>'117_价格概率传导'!E21</x:f>
        <x:v>0.2</x:v>
      </x:c>
      <x:c r="K438" s="648" t="n">
        <x:f>SUM('117_价格概率传导'!$E$16:$E$20)</x:f>
        <x:v>0.8</x:v>
      </x:c>
      <x:c r="L438" s="648" t="n">
        <x:f>SUM('117_价格概率传导'!$E$16:$E$21)</x:f>
        <x:v>1</x:v>
      </x:c>
      <x:c r="M438" s="648" t="n">
        <x:f>MAX(0,MIN(H438,L438)-MAX(G438,K438))</x:f>
        <x:v>0</x:v>
      </x:c>
      <x:c r="N438" s="648" t="n">
        <x:f>B438*D438*M438</x:f>
        <x:v>0</x:v>
      </x:c>
      <x:c r="O438" s="647" t="n">
        <x:f>MIN(299900,I438+20000)</x:f>
        <x:v>279900</x:v>
      </x:c>
      <x:c r="P438" s="647" t="n">
        <x:f>O438-30000</x:f>
        <x:v>249900</x:v>
      </x:c>
      <x:c r="Q438" s="647" t="str">
        <x:f>""</x:f>
      </x:c>
      <x:c r="R438" s="647" t="n">
        <x:f>O438-E438</x:f>
        <x:v>26000</x:v>
      </x:c>
      <x:c r="S438" s="647" t="n">
        <x:f>IF(P438&gt;0,P438-E438,"")</x:f>
        <x:v>-4000</x:v>
      </x:c>
      <x:c r="T438" s="647" t="str">
        <x:f>IF(Q438&gt;0,Q438-E438,"")</x:f>
      </x:c>
      <x:c r="U438" s="648" t="n">
        <x:f>IF(R438&lt;30000,N438,0)</x:f>
        <x:v>0</x:v>
      </x:c>
      <x:c r="V438" s="648" t="n">
        <x:f>IF(P438&gt;0,N438,0)</x:f>
        <x:v>0</x:v>
      </x:c>
      <x:c r="W438" s="648" t="n">
        <x:f>IF(AND(P438&gt;0,S438&lt;0),N438,0)</x:f>
        <x:v>0</x:v>
      </x:c>
      <x:c r="X438" s="648" t="n">
        <x:f>IF(AND(P438&gt;0,S438=0),N438,0)</x:f>
        <x:v>0</x:v>
      </x:c>
      <x:c r="Y438" s="648" t="n">
        <x:f>IF(Q438&gt;0,N438,0)</x:f>
        <x:v>0</x:v>
      </x:c>
      <x:c r="Z438" s="647" t="n">
        <x:f>IF(P438&gt;0,N438*S438,0)</x:f>
        <x:v>0</x:v>
      </x:c>
      <x:c r="AA438" s="647" t="n">
        <x:f>IF(Q438&gt;0,N438*T438,0)</x:f>
        <x:v>0</x:v>
      </x:c>
      <x:c r="AB438" s="647" t="n">
        <x:f>N438*R438</x:f>
        <x:v>0</x:v>
      </x:c>
      <x:c r="AC438" s="647" t="n">
        <x:f>IF(N438&gt;0,R438,999999)</x:f>
        <x:v>999999</x:v>
      </x:c>
      <x:c r="AD438" s="647" t="n">
        <x:f>IF(AND(N438&gt;0,P438&gt;0),S438,999999)</x:f>
        <x:v>999999</x:v>
      </x:c>
      <x:c r="AE438" s="647" t="n">
        <x:f>IF(AND(N438&gt;0,Q438&gt;0),T438,999999)</x:f>
        <x:v>999999</x:v>
      </x:c>
      <x:c r="AF438" s="648" t="n">
        <x:f>B438*D438*F438*J438</x:f>
        <x:v>0.00009</x:v>
      </x:c>
      <x:c r="AG438" s="648" t="n">
        <x:f>IF(P438&gt;0,AF438,0)</x:f>
        <x:v>0.00009</x:v>
      </x:c>
      <x:c r="AH438" s="648" t="n">
        <x:f>IF(AND(P438&gt;0,S438&lt;0),AF438,0)</x:f>
        <x:v>0.00009</x:v>
      </x:c>
      <x:c r="AI438" s="648" t="n">
        <x:f>IF(AND(P438&gt;0,S438=0),AF438,0)</x:f>
        <x:v>0</x:v>
      </x:c>
      <x:c r="AJ438" s="648" t="n">
        <x:f>IF(R438&lt;30000,AF438,0)</x:f>
        <x:v>0.00009</x:v>
      </x:c>
      <x:c r="AK438" s="647" t="n">
        <x:f>IF(P438&gt;0,AF438*S438,0)</x:f>
        <x:v>-0.36000000000000004</x:v>
      </x:c>
    </x:row>
    <x:row r="439" ht="22" customHeight="1">
      <x:c r="A439" s="19" t="str">
        <x:v>进取</x:v>
      </x:c>
      <x:c r="B439" s="23" t="n">
        <x:f>'114_降本系数'!B28</x:f>
        <x:v>0.15</x:v>
      </x:c>
      <x:c r="C439" s="19" t="str">
        <x:v>L1A</x:v>
      </x:c>
      <x:c r="D439" s="23" t="n">
        <x:f>'130_联合算法'!C17</x:f>
        <x:v>0.15</x:v>
      </x:c>
      <x:c r="E439" s="460" t="n">
        <x:f>'117_价格概率传导'!A8</x:f>
        <x:v>249900</x:v>
      </x:c>
      <x:c r="F439" s="23" t="n">
        <x:f>'117_价格概率传导'!E8</x:f>
        <x:v>0.22</x:v>
      </x:c>
      <x:c r="G439" s="23" t="n">
        <x:f>SUM('117_价格概率传导'!$E$6:$E$7)</x:f>
        <x:v>0.03</x:v>
      </x:c>
      <x:c r="H439" s="23" t="n">
        <x:f>SUM('117_价格概率传导'!$E$6:$E$8)</x:f>
        <x:v>0.25</x:v>
      </x:c>
      <x:c r="I439" s="460" t="n">
        <x:f>'117_价格概率传导'!A16</x:f>
        <x:v>299900</x:v>
      </x:c>
      <x:c r="J439" s="23" t="n">
        <x:f>'117_价格概率传导'!E16</x:f>
        <x:v>0.01</x:v>
      </x:c>
      <x:c r="K439" s="23" t="n">
        <x:f>0</x:f>
        <x:v>0</x:v>
      </x:c>
      <x:c r="L439" s="23" t="n">
        <x:f>SUM('117_价格概率传导'!$E$16:$E$16)</x:f>
        <x:v>0.01</x:v>
      </x:c>
      <x:c r="M439" s="23" t="n">
        <x:f>MAX(0,MIN(H439,L439)-MAX(G439,K439))</x:f>
        <x:v>0</x:v>
      </x:c>
      <x:c r="N439" s="23" t="n">
        <x:f>B439*D439*M439</x:f>
        <x:v>0</x:v>
      </x:c>
      <x:c r="O439" s="460" t="n">
        <x:f>MIN(299900,I439+20000)</x:f>
        <x:v>299900</x:v>
      </x:c>
      <x:c r="P439" s="460" t="n">
        <x:f>O439-30000</x:f>
        <x:v>269900</x:v>
      </x:c>
      <x:c r="Q439" s="460" t="str">
        <x:f>""</x:f>
      </x:c>
      <x:c r="R439" s="460" t="n">
        <x:f>O439-E439</x:f>
        <x:v>50000</x:v>
      </x:c>
      <x:c r="S439" s="460" t="n">
        <x:f>IF(P439&gt;0,P439-E439,"")</x:f>
        <x:v>20000</x:v>
      </x:c>
      <x:c r="T439" s="460" t="str">
        <x:f>IF(Q439&gt;0,Q439-E439,"")</x:f>
      </x:c>
      <x:c r="U439" s="23" t="n">
        <x:f>IF(R439&lt;30000,N439,0)</x:f>
        <x:v>0</x:v>
      </x:c>
      <x:c r="V439" s="23" t="n">
        <x:f>IF(P439&gt;0,N439,0)</x:f>
        <x:v>0</x:v>
      </x:c>
      <x:c r="W439" s="23" t="n">
        <x:f>IF(AND(P439&gt;0,S439&lt;0),N439,0)</x:f>
        <x:v>0</x:v>
      </x:c>
      <x:c r="X439" s="23" t="n">
        <x:f>IF(AND(P439&gt;0,S439=0),N439,0)</x:f>
        <x:v>0</x:v>
      </x:c>
      <x:c r="Y439" s="23" t="n">
        <x:f>IF(Q439&gt;0,N439,0)</x:f>
        <x:v>0</x:v>
      </x:c>
      <x:c r="Z439" s="460" t="n">
        <x:f>IF(P439&gt;0,N439*S439,0)</x:f>
        <x:v>0</x:v>
      </x:c>
      <x:c r="AA439" s="460" t="n">
        <x:f>IF(Q439&gt;0,N439*T439,0)</x:f>
        <x:v>0</x:v>
      </x:c>
      <x:c r="AB439" s="460" t="n">
        <x:f>N439*R439</x:f>
        <x:v>0</x:v>
      </x:c>
      <x:c r="AC439" s="460" t="n">
        <x:f>IF(N439&gt;0,R439,999999)</x:f>
        <x:v>999999</x:v>
      </x:c>
      <x:c r="AD439" s="460" t="n">
        <x:f>IF(AND(N439&gt;0,P439&gt;0),S439,999999)</x:f>
        <x:v>999999</x:v>
      </x:c>
      <x:c r="AE439" s="460" t="n">
        <x:f>IF(AND(N439&gt;0,Q439&gt;0),T439,999999)</x:f>
        <x:v>999999</x:v>
      </x:c>
      <x:c r="AF439" s="23" t="n">
        <x:f>B439*D439*F439*J439</x:f>
        <x:v>0.0000495</x:v>
      </x:c>
      <x:c r="AG439" s="23" t="n">
        <x:f>IF(P439&gt;0,AF439,0)</x:f>
        <x:v>0.0000495</x:v>
      </x:c>
      <x:c r="AH439" s="23" t="n">
        <x:f>IF(AND(P439&gt;0,S439&lt;0),AF439,0)</x:f>
        <x:v>0</x:v>
      </x:c>
      <x:c r="AI439" s="23" t="n">
        <x:f>IF(AND(P439&gt;0,S439=0),AF439,0)</x:f>
        <x:v>0</x:v>
      </x:c>
      <x:c r="AJ439" s="23" t="n">
        <x:f>IF(R439&lt;30000,AF439,0)</x:f>
        <x:v>0</x:v>
      </x:c>
      <x:c r="AK439" s="460" t="n">
        <x:f>IF(P439&gt;0,AF439*S439,0)</x:f>
        <x:v>0.99</x:v>
      </x:c>
    </x:row>
    <x:row r="440" ht="22" customHeight="1">
      <x:c r="A440" s="643" t="str">
        <x:v>进取</x:v>
      </x:c>
      <x:c r="B440" s="648" t="n">
        <x:f>'114_降本系数'!B28</x:f>
        <x:v>0.15</x:v>
      </x:c>
      <x:c r="C440" s="643" t="str">
        <x:v>L1A</x:v>
      </x:c>
      <x:c r="D440" s="648" t="n">
        <x:f>'130_联合算法'!C17</x:f>
        <x:v>0.15</x:v>
      </x:c>
      <x:c r="E440" s="647" t="n">
        <x:f>'117_价格概率传导'!A8</x:f>
        <x:v>249900</x:v>
      </x:c>
      <x:c r="F440" s="648" t="n">
        <x:f>'117_价格概率传导'!E8</x:f>
        <x:v>0.22</x:v>
      </x:c>
      <x:c r="G440" s="648" t="n">
        <x:f>SUM('117_价格概率传导'!$E$6:$E$7)</x:f>
        <x:v>0.03</x:v>
      </x:c>
      <x:c r="H440" s="648" t="n">
        <x:f>SUM('117_价格概率传导'!$E$6:$E$8)</x:f>
        <x:v>0.25</x:v>
      </x:c>
      <x:c r="I440" s="647" t="n">
        <x:f>'117_价格概率传导'!A17</x:f>
        <x:v>293900</x:v>
      </x:c>
      <x:c r="J440" s="648" t="n">
        <x:f>'117_价格概率传导'!E17</x:f>
        <x:v>0.01</x:v>
      </x:c>
      <x:c r="K440" s="648" t="n">
        <x:f>SUM('117_价格概率传导'!$E$16:$E$16)</x:f>
        <x:v>0.01</x:v>
      </x:c>
      <x:c r="L440" s="648" t="n">
        <x:f>SUM('117_价格概率传导'!$E$16:$E$17)</x:f>
        <x:v>0.02</x:v>
      </x:c>
      <x:c r="M440" s="648" t="n">
        <x:f>MAX(0,MIN(H440,L440)-MAX(G440,K440))</x:f>
        <x:v>0</x:v>
      </x:c>
      <x:c r="N440" s="648" t="n">
        <x:f>B440*D440*M440</x:f>
        <x:v>0</x:v>
      </x:c>
      <x:c r="O440" s="647" t="n">
        <x:f>MIN(299900,I440+20000)</x:f>
        <x:v>299900</x:v>
      </x:c>
      <x:c r="P440" s="647" t="n">
        <x:f>O440-30000</x:f>
        <x:v>269900</x:v>
      </x:c>
      <x:c r="Q440" s="647" t="str">
        <x:f>""</x:f>
      </x:c>
      <x:c r="R440" s="647" t="n">
        <x:f>O440-E440</x:f>
        <x:v>50000</x:v>
      </x:c>
      <x:c r="S440" s="647" t="n">
        <x:f>IF(P440&gt;0,P440-E440,"")</x:f>
        <x:v>20000</x:v>
      </x:c>
      <x:c r="T440" s="647" t="str">
        <x:f>IF(Q440&gt;0,Q440-E440,"")</x:f>
      </x:c>
      <x:c r="U440" s="648" t="n">
        <x:f>IF(R440&lt;30000,N440,0)</x:f>
        <x:v>0</x:v>
      </x:c>
      <x:c r="V440" s="648" t="n">
        <x:f>IF(P440&gt;0,N440,0)</x:f>
        <x:v>0</x:v>
      </x:c>
      <x:c r="W440" s="648" t="n">
        <x:f>IF(AND(P440&gt;0,S440&lt;0),N440,0)</x:f>
        <x:v>0</x:v>
      </x:c>
      <x:c r="X440" s="648" t="n">
        <x:f>IF(AND(P440&gt;0,S440=0),N440,0)</x:f>
        <x:v>0</x:v>
      </x:c>
      <x:c r="Y440" s="648" t="n">
        <x:f>IF(Q440&gt;0,N440,0)</x:f>
        <x:v>0</x:v>
      </x:c>
      <x:c r="Z440" s="647" t="n">
        <x:f>IF(P440&gt;0,N440*S440,0)</x:f>
        <x:v>0</x:v>
      </x:c>
      <x:c r="AA440" s="647" t="n">
        <x:f>IF(Q440&gt;0,N440*T440,0)</x:f>
        <x:v>0</x:v>
      </x:c>
      <x:c r="AB440" s="647" t="n">
        <x:f>N440*R440</x:f>
        <x:v>0</x:v>
      </x:c>
      <x:c r="AC440" s="647" t="n">
        <x:f>IF(N440&gt;0,R440,999999)</x:f>
        <x:v>999999</x:v>
      </x:c>
      <x:c r="AD440" s="647" t="n">
        <x:f>IF(AND(N440&gt;0,P440&gt;0),S440,999999)</x:f>
        <x:v>999999</x:v>
      </x:c>
      <x:c r="AE440" s="647" t="n">
        <x:f>IF(AND(N440&gt;0,Q440&gt;0),T440,999999)</x:f>
        <x:v>999999</x:v>
      </x:c>
      <x:c r="AF440" s="648" t="n">
        <x:f>B440*D440*F440*J440</x:f>
        <x:v>0.0000495</x:v>
      </x:c>
      <x:c r="AG440" s="648" t="n">
        <x:f>IF(P440&gt;0,AF440,0)</x:f>
        <x:v>0.0000495</x:v>
      </x:c>
      <x:c r="AH440" s="648" t="n">
        <x:f>IF(AND(P440&gt;0,S440&lt;0),AF440,0)</x:f>
        <x:v>0</x:v>
      </x:c>
      <x:c r="AI440" s="648" t="n">
        <x:f>IF(AND(P440&gt;0,S440=0),AF440,0)</x:f>
        <x:v>0</x:v>
      </x:c>
      <x:c r="AJ440" s="648" t="n">
        <x:f>IF(R440&lt;30000,AF440,0)</x:f>
        <x:v>0</x:v>
      </x:c>
      <x:c r="AK440" s="647" t="n">
        <x:f>IF(P440&gt;0,AF440*S440,0)</x:f>
        <x:v>0.99</x:v>
      </x:c>
    </x:row>
    <x:row r="441" ht="22" customHeight="1">
      <x:c r="A441" s="19" t="str">
        <x:v>进取</x:v>
      </x:c>
      <x:c r="B441" s="23" t="n">
        <x:f>'114_降本系数'!B28</x:f>
        <x:v>0.15</x:v>
      </x:c>
      <x:c r="C441" s="19" t="str">
        <x:v>L1A</x:v>
      </x:c>
      <x:c r="D441" s="23" t="n">
        <x:f>'130_联合算法'!C17</x:f>
        <x:v>0.15</x:v>
      </x:c>
      <x:c r="E441" s="460" t="n">
        <x:f>'117_价格概率传导'!A8</x:f>
        <x:v>249900</x:v>
      </x:c>
      <x:c r="F441" s="23" t="n">
        <x:f>'117_价格概率传导'!E8</x:f>
        <x:v>0.22</x:v>
      </x:c>
      <x:c r="G441" s="23" t="n">
        <x:f>SUM('117_价格概率传导'!$E$6:$E$7)</x:f>
        <x:v>0.03</x:v>
      </x:c>
      <x:c r="H441" s="23" t="n">
        <x:f>SUM('117_价格概率传导'!$E$6:$E$8)</x:f>
        <x:v>0.25</x:v>
      </x:c>
      <x:c r="I441" s="460" t="n">
        <x:f>'117_价格概率传导'!A18</x:f>
        <x:v>289900</x:v>
      </x:c>
      <x:c r="J441" s="23" t="n">
        <x:f>'117_价格概率传导'!E18</x:f>
        <x:v>0.1</x:v>
      </x:c>
      <x:c r="K441" s="23" t="n">
        <x:f>SUM('117_价格概率传导'!$E$16:$E$17)</x:f>
        <x:v>0.02</x:v>
      </x:c>
      <x:c r="L441" s="23" t="n">
        <x:f>SUM('117_价格概率传导'!$E$16:$E$18)</x:f>
        <x:v>0.12000000000000001</x:v>
      </x:c>
      <x:c r="M441" s="23" t="n">
        <x:f>MAX(0,MIN(H441,L441)-MAX(G441,K441))</x:f>
        <x:v>0.09000000000000001</x:v>
      </x:c>
      <x:c r="N441" s="23" t="n">
        <x:f>B441*D441*M441</x:f>
        <x:v>0.0020250000000000003</x:v>
      </x:c>
      <x:c r="O441" s="460" t="n">
        <x:f>MIN(299900,I441+20000)</x:f>
        <x:v>299900</x:v>
      </x:c>
      <x:c r="P441" s="460" t="n">
        <x:f>O441-30000</x:f>
        <x:v>269900</x:v>
      </x:c>
      <x:c r="Q441" s="460" t="str">
        <x:f>""</x:f>
      </x:c>
      <x:c r="R441" s="460" t="n">
        <x:f>O441-E441</x:f>
        <x:v>50000</x:v>
      </x:c>
      <x:c r="S441" s="460" t="n">
        <x:f>IF(P441&gt;0,P441-E441,"")</x:f>
        <x:v>20000</x:v>
      </x:c>
      <x:c r="T441" s="460" t="str">
        <x:f>IF(Q441&gt;0,Q441-E441,"")</x:f>
      </x:c>
      <x:c r="U441" s="23" t="n">
        <x:f>IF(R441&lt;30000,N441,0)</x:f>
        <x:v>0</x:v>
      </x:c>
      <x:c r="V441" s="23" t="n">
        <x:f>IF(P441&gt;0,N441,0)</x:f>
        <x:v>0.0020250000000000003</x:v>
      </x:c>
      <x:c r="W441" s="23" t="n">
        <x:f>IF(AND(P441&gt;0,S441&lt;0),N441,0)</x:f>
        <x:v>0</x:v>
      </x:c>
      <x:c r="X441" s="23" t="n">
        <x:f>IF(AND(P441&gt;0,S441=0),N441,0)</x:f>
        <x:v>0</x:v>
      </x:c>
      <x:c r="Y441" s="23" t="n">
        <x:f>IF(Q441&gt;0,N441,0)</x:f>
        <x:v>0</x:v>
      </x:c>
      <x:c r="Z441" s="460" t="n">
        <x:f>IF(P441&gt;0,N441*S441,0)</x:f>
        <x:v>40.50000000000001</x:v>
      </x:c>
      <x:c r="AA441" s="460" t="n">
        <x:f>IF(Q441&gt;0,N441*T441,0)</x:f>
        <x:v>0</x:v>
      </x:c>
      <x:c r="AB441" s="460" t="n">
        <x:f>N441*R441</x:f>
        <x:v>101.25000000000001</x:v>
      </x:c>
      <x:c r="AC441" s="460" t="n">
        <x:f>IF(N441&gt;0,R441,999999)</x:f>
        <x:v>50000</x:v>
      </x:c>
      <x:c r="AD441" s="460" t="n">
        <x:f>IF(AND(N441&gt;0,P441&gt;0),S441,999999)</x:f>
        <x:v>20000</x:v>
      </x:c>
      <x:c r="AE441" s="460" t="n">
        <x:f>IF(AND(N441&gt;0,Q441&gt;0),T441,999999)</x:f>
        <x:v>999999</x:v>
      </x:c>
      <x:c r="AF441" s="23" t="n">
        <x:f>B441*D441*F441*J441</x:f>
        <x:v>0.000495</x:v>
      </x:c>
      <x:c r="AG441" s="23" t="n">
        <x:f>IF(P441&gt;0,AF441,0)</x:f>
        <x:v>0.000495</x:v>
      </x:c>
      <x:c r="AH441" s="23" t="n">
        <x:f>IF(AND(P441&gt;0,S441&lt;0),AF441,0)</x:f>
        <x:v>0</x:v>
      </x:c>
      <x:c r="AI441" s="23" t="n">
        <x:f>IF(AND(P441&gt;0,S441=0),AF441,0)</x:f>
        <x:v>0</x:v>
      </x:c>
      <x:c r="AJ441" s="23" t="n">
        <x:f>IF(R441&lt;30000,AF441,0)</x:f>
        <x:v>0</x:v>
      </x:c>
      <x:c r="AK441" s="460" t="n">
        <x:f>IF(P441&gt;0,AF441*S441,0)</x:f>
        <x:v>9.9</x:v>
      </x:c>
    </x:row>
    <x:row r="442" ht="22" customHeight="1">
      <x:c r="A442" s="643" t="str">
        <x:v>进取</x:v>
      </x:c>
      <x:c r="B442" s="648" t="n">
        <x:f>'114_降本系数'!B28</x:f>
        <x:v>0.15</x:v>
      </x:c>
      <x:c r="C442" s="643" t="str">
        <x:v>L1A</x:v>
      </x:c>
      <x:c r="D442" s="648" t="n">
        <x:f>'130_联合算法'!C17</x:f>
        <x:v>0.15</x:v>
      </x:c>
      <x:c r="E442" s="647" t="n">
        <x:f>'117_价格概率传导'!A8</x:f>
        <x:v>249900</x:v>
      </x:c>
      <x:c r="F442" s="648" t="n">
        <x:f>'117_价格概率传导'!E8</x:f>
        <x:v>0.22</x:v>
      </x:c>
      <x:c r="G442" s="648" t="n">
        <x:f>SUM('117_价格概率传导'!$E$6:$E$7)</x:f>
        <x:v>0.03</x:v>
      </x:c>
      <x:c r="H442" s="648" t="n">
        <x:f>SUM('117_价格概率传导'!$E$6:$E$8)</x:f>
        <x:v>0.25</x:v>
      </x:c>
      <x:c r="I442" s="647" t="n">
        <x:f>'117_价格概率传导'!A19</x:f>
        <x:v>279900</x:v>
      </x:c>
      <x:c r="J442" s="648" t="n">
        <x:f>'117_价格概率传导'!E19</x:f>
        <x:v>0.3</x:v>
      </x:c>
      <x:c r="K442" s="648" t="n">
        <x:f>SUM('117_价格概率传导'!$E$16:$E$18)</x:f>
        <x:v>0.12000000000000001</x:v>
      </x:c>
      <x:c r="L442" s="648" t="n">
        <x:f>SUM('117_价格概率传导'!$E$16:$E$19)</x:f>
        <x:v>0.42</x:v>
      </x:c>
      <x:c r="M442" s="648" t="n">
        <x:f>MAX(0,MIN(H442,L442)-MAX(G442,K442))</x:f>
        <x:v>0.13</x:v>
      </x:c>
      <x:c r="N442" s="648" t="n">
        <x:f>B442*D442*M442</x:f>
        <x:v>0.002925</x:v>
      </x:c>
      <x:c r="O442" s="647" t="n">
        <x:f>MIN(299900,I442+20000)</x:f>
        <x:v>299900</x:v>
      </x:c>
      <x:c r="P442" s="647" t="n">
        <x:f>O442-30000</x:f>
        <x:v>269900</x:v>
      </x:c>
      <x:c r="Q442" s="647" t="str">
        <x:f>""</x:f>
      </x:c>
      <x:c r="R442" s="647" t="n">
        <x:f>O442-E442</x:f>
        <x:v>50000</x:v>
      </x:c>
      <x:c r="S442" s="647" t="n">
        <x:f>IF(P442&gt;0,P442-E442,"")</x:f>
        <x:v>20000</x:v>
      </x:c>
      <x:c r="T442" s="647" t="str">
        <x:f>IF(Q442&gt;0,Q442-E442,"")</x:f>
      </x:c>
      <x:c r="U442" s="648" t="n">
        <x:f>IF(R442&lt;30000,N442,0)</x:f>
        <x:v>0</x:v>
      </x:c>
      <x:c r="V442" s="648" t="n">
        <x:f>IF(P442&gt;0,N442,0)</x:f>
        <x:v>0.002925</x:v>
      </x:c>
      <x:c r="W442" s="648" t="n">
        <x:f>IF(AND(P442&gt;0,S442&lt;0),N442,0)</x:f>
        <x:v>0</x:v>
      </x:c>
      <x:c r="X442" s="648" t="n">
        <x:f>IF(AND(P442&gt;0,S442=0),N442,0)</x:f>
        <x:v>0</x:v>
      </x:c>
      <x:c r="Y442" s="648" t="n">
        <x:f>IF(Q442&gt;0,N442,0)</x:f>
        <x:v>0</x:v>
      </x:c>
      <x:c r="Z442" s="647" t="n">
        <x:f>IF(P442&gt;0,N442*S442,0)</x:f>
        <x:v>58.5</x:v>
      </x:c>
      <x:c r="AA442" s="647" t="n">
        <x:f>IF(Q442&gt;0,N442*T442,0)</x:f>
        <x:v>0</x:v>
      </x:c>
      <x:c r="AB442" s="647" t="n">
        <x:f>N442*R442</x:f>
        <x:v>146.25</x:v>
      </x:c>
      <x:c r="AC442" s="647" t="n">
        <x:f>IF(N442&gt;0,R442,999999)</x:f>
        <x:v>50000</x:v>
      </x:c>
      <x:c r="AD442" s="647" t="n">
        <x:f>IF(AND(N442&gt;0,P442&gt;0),S442,999999)</x:f>
        <x:v>20000</x:v>
      </x:c>
      <x:c r="AE442" s="647" t="n">
        <x:f>IF(AND(N442&gt;0,Q442&gt;0),T442,999999)</x:f>
        <x:v>999999</x:v>
      </x:c>
      <x:c r="AF442" s="648" t="n">
        <x:f>B442*D442*F442*J442</x:f>
        <x:v>0.0014849999999999998</x:v>
      </x:c>
      <x:c r="AG442" s="648" t="n">
        <x:f>IF(P442&gt;0,AF442,0)</x:f>
        <x:v>0.0014849999999999998</x:v>
      </x:c>
      <x:c r="AH442" s="648" t="n">
        <x:f>IF(AND(P442&gt;0,S442&lt;0),AF442,0)</x:f>
        <x:v>0</x:v>
      </x:c>
      <x:c r="AI442" s="648" t="n">
        <x:f>IF(AND(P442&gt;0,S442=0),AF442,0)</x:f>
        <x:v>0</x:v>
      </x:c>
      <x:c r="AJ442" s="648" t="n">
        <x:f>IF(R442&lt;30000,AF442,0)</x:f>
        <x:v>0</x:v>
      </x:c>
      <x:c r="AK442" s="647" t="n">
        <x:f>IF(P442&gt;0,AF442*S442,0)</x:f>
        <x:v>29.699999999999996</x:v>
      </x:c>
    </x:row>
    <x:row r="443" ht="22" customHeight="1">
      <x:c r="A443" s="19" t="str">
        <x:v>进取</x:v>
      </x:c>
      <x:c r="B443" s="23" t="n">
        <x:f>'114_降本系数'!B28</x:f>
        <x:v>0.15</x:v>
      </x:c>
      <x:c r="C443" s="19" t="str">
        <x:v>L1A</x:v>
      </x:c>
      <x:c r="D443" s="23" t="n">
        <x:f>'130_联合算法'!C17</x:f>
        <x:v>0.15</x:v>
      </x:c>
      <x:c r="E443" s="460" t="n">
        <x:f>'117_价格概率传导'!A8</x:f>
        <x:v>249900</x:v>
      </x:c>
      <x:c r="F443" s="23" t="n">
        <x:f>'117_价格概率传导'!E8</x:f>
        <x:v>0.22</x:v>
      </x:c>
      <x:c r="G443" s="23" t="n">
        <x:f>SUM('117_价格概率传导'!$E$6:$E$7)</x:f>
        <x:v>0.03</x:v>
      </x:c>
      <x:c r="H443" s="23" t="n">
        <x:f>SUM('117_价格概率传导'!$E$6:$E$8)</x:f>
        <x:v>0.25</x:v>
      </x:c>
      <x:c r="I443" s="460" t="n">
        <x:f>'117_价格概率传导'!A20</x:f>
        <x:v>269900</x:v>
      </x:c>
      <x:c r="J443" s="23" t="n">
        <x:f>'117_价格概率传导'!E20</x:f>
        <x:v>0.38</x:v>
      </x:c>
      <x:c r="K443" s="23" t="n">
        <x:f>SUM('117_价格概率传导'!$E$16:$E$19)</x:f>
        <x:v>0.42</x:v>
      </x:c>
      <x:c r="L443" s="23" t="n">
        <x:f>SUM('117_价格概率传导'!$E$16:$E$20)</x:f>
        <x:v>0.8</x:v>
      </x:c>
      <x:c r="M443" s="23" t="n">
        <x:f>MAX(0,MIN(H443,L443)-MAX(G443,K443))</x:f>
        <x:v>0</x:v>
      </x:c>
      <x:c r="N443" s="23" t="n">
        <x:f>B443*D443*M443</x:f>
        <x:v>0</x:v>
      </x:c>
      <x:c r="O443" s="460" t="n">
        <x:f>MIN(299900,I443+20000)</x:f>
        <x:v>289900</x:v>
      </x:c>
      <x:c r="P443" s="460" t="n">
        <x:f>O443-30000</x:f>
        <x:v>259900</x:v>
      </x:c>
      <x:c r="Q443" s="460" t="str">
        <x:f>""</x:f>
      </x:c>
      <x:c r="R443" s="460" t="n">
        <x:f>O443-E443</x:f>
        <x:v>40000</x:v>
      </x:c>
      <x:c r="S443" s="460" t="n">
        <x:f>IF(P443&gt;0,P443-E443,"")</x:f>
        <x:v>10000</x:v>
      </x:c>
      <x:c r="T443" s="460" t="str">
        <x:f>IF(Q443&gt;0,Q443-E443,"")</x:f>
      </x:c>
      <x:c r="U443" s="23" t="n">
        <x:f>IF(R443&lt;30000,N443,0)</x:f>
        <x:v>0</x:v>
      </x:c>
      <x:c r="V443" s="23" t="n">
        <x:f>IF(P443&gt;0,N443,0)</x:f>
        <x:v>0</x:v>
      </x:c>
      <x:c r="W443" s="23" t="n">
        <x:f>IF(AND(P443&gt;0,S443&lt;0),N443,0)</x:f>
        <x:v>0</x:v>
      </x:c>
      <x:c r="X443" s="23" t="n">
        <x:f>IF(AND(P443&gt;0,S443=0),N443,0)</x:f>
        <x:v>0</x:v>
      </x:c>
      <x:c r="Y443" s="23" t="n">
        <x:f>IF(Q443&gt;0,N443,0)</x:f>
        <x:v>0</x:v>
      </x:c>
      <x:c r="Z443" s="460" t="n">
        <x:f>IF(P443&gt;0,N443*S443,0)</x:f>
        <x:v>0</x:v>
      </x:c>
      <x:c r="AA443" s="460" t="n">
        <x:f>IF(Q443&gt;0,N443*T443,0)</x:f>
        <x:v>0</x:v>
      </x:c>
      <x:c r="AB443" s="460" t="n">
        <x:f>N443*R443</x:f>
        <x:v>0</x:v>
      </x:c>
      <x:c r="AC443" s="460" t="n">
        <x:f>IF(N443&gt;0,R443,999999)</x:f>
        <x:v>999999</x:v>
      </x:c>
      <x:c r="AD443" s="460" t="n">
        <x:f>IF(AND(N443&gt;0,P443&gt;0),S443,999999)</x:f>
        <x:v>999999</x:v>
      </x:c>
      <x:c r="AE443" s="460" t="n">
        <x:f>IF(AND(N443&gt;0,Q443&gt;0),T443,999999)</x:f>
        <x:v>999999</x:v>
      </x:c>
      <x:c r="AF443" s="23" t="n">
        <x:f>B443*D443*F443*J443</x:f>
        <x:v>0.0018809999999999999</x:v>
      </x:c>
      <x:c r="AG443" s="23" t="n">
        <x:f>IF(P443&gt;0,AF443,0)</x:f>
        <x:v>0.0018809999999999999</x:v>
      </x:c>
      <x:c r="AH443" s="23" t="n">
        <x:f>IF(AND(P443&gt;0,S443&lt;0),AF443,0)</x:f>
        <x:v>0</x:v>
      </x:c>
      <x:c r="AI443" s="23" t="n">
        <x:f>IF(AND(P443&gt;0,S443=0),AF443,0)</x:f>
        <x:v>0</x:v>
      </x:c>
      <x:c r="AJ443" s="23" t="n">
        <x:f>IF(R443&lt;30000,AF443,0)</x:f>
        <x:v>0</x:v>
      </x:c>
      <x:c r="AK443" s="460" t="n">
        <x:f>IF(P443&gt;0,AF443*S443,0)</x:f>
        <x:v>18.81</x:v>
      </x:c>
    </x:row>
    <x:row r="444" ht="22" customHeight="1">
      <x:c r="A444" s="643" t="str">
        <x:v>进取</x:v>
      </x:c>
      <x:c r="B444" s="648" t="n">
        <x:f>'114_降本系数'!B28</x:f>
        <x:v>0.15</x:v>
      </x:c>
      <x:c r="C444" s="643" t="str">
        <x:v>L1A</x:v>
      </x:c>
      <x:c r="D444" s="648" t="n">
        <x:f>'130_联合算法'!C17</x:f>
        <x:v>0.15</x:v>
      </x:c>
      <x:c r="E444" s="647" t="n">
        <x:f>'117_价格概率传导'!A8</x:f>
        <x:v>249900</x:v>
      </x:c>
      <x:c r="F444" s="648" t="n">
        <x:f>'117_价格概率传导'!E8</x:f>
        <x:v>0.22</x:v>
      </x:c>
      <x:c r="G444" s="648" t="n">
        <x:f>SUM('117_价格概率传导'!$E$6:$E$7)</x:f>
        <x:v>0.03</x:v>
      </x:c>
      <x:c r="H444" s="648" t="n">
        <x:f>SUM('117_价格概率传导'!$E$6:$E$8)</x:f>
        <x:v>0.25</x:v>
      </x:c>
      <x:c r="I444" s="647" t="n">
        <x:f>'117_价格概率传导'!A21</x:f>
        <x:v>259900</x:v>
      </x:c>
      <x:c r="J444" s="648" t="n">
        <x:f>'117_价格概率传导'!E21</x:f>
        <x:v>0.2</x:v>
      </x:c>
      <x:c r="K444" s="648" t="n">
        <x:f>SUM('117_价格概率传导'!$E$16:$E$20)</x:f>
        <x:v>0.8</x:v>
      </x:c>
      <x:c r="L444" s="648" t="n">
        <x:f>SUM('117_价格概率传导'!$E$16:$E$21)</x:f>
        <x:v>1</x:v>
      </x:c>
      <x:c r="M444" s="648" t="n">
        <x:f>MAX(0,MIN(H444,L444)-MAX(G444,K444))</x:f>
        <x:v>0</x:v>
      </x:c>
      <x:c r="N444" s="648" t="n">
        <x:f>B444*D444*M444</x:f>
        <x:v>0</x:v>
      </x:c>
      <x:c r="O444" s="647" t="n">
        <x:f>MIN(299900,I444+20000)</x:f>
        <x:v>279900</x:v>
      </x:c>
      <x:c r="P444" s="647" t="n">
        <x:f>O444-30000</x:f>
        <x:v>249900</x:v>
      </x:c>
      <x:c r="Q444" s="647" t="str">
        <x:f>""</x:f>
      </x:c>
      <x:c r="R444" s="647" t="n">
        <x:f>O444-E444</x:f>
        <x:v>30000</x:v>
      </x:c>
      <x:c r="S444" s="647" t="n">
        <x:f>IF(P444&gt;0,P444-E444,"")</x:f>
        <x:v>0</x:v>
      </x:c>
      <x:c r="T444" s="647" t="str">
        <x:f>IF(Q444&gt;0,Q444-E444,"")</x:f>
      </x:c>
      <x:c r="U444" s="648" t="n">
        <x:f>IF(R444&lt;30000,N444,0)</x:f>
        <x:v>0</x:v>
      </x:c>
      <x:c r="V444" s="648" t="n">
        <x:f>IF(P444&gt;0,N444,0)</x:f>
        <x:v>0</x:v>
      </x:c>
      <x:c r="W444" s="648" t="n">
        <x:f>IF(AND(P444&gt;0,S444&lt;0),N444,0)</x:f>
        <x:v>0</x:v>
      </x:c>
      <x:c r="X444" s="648" t="n">
        <x:f>IF(AND(P444&gt;0,S444=0),N444,0)</x:f>
        <x:v>0</x:v>
      </x:c>
      <x:c r="Y444" s="648" t="n">
        <x:f>IF(Q444&gt;0,N444,0)</x:f>
        <x:v>0</x:v>
      </x:c>
      <x:c r="Z444" s="647" t="n">
        <x:f>IF(P444&gt;0,N444*S444,0)</x:f>
        <x:v>0</x:v>
      </x:c>
      <x:c r="AA444" s="647" t="n">
        <x:f>IF(Q444&gt;0,N444*T444,0)</x:f>
        <x:v>0</x:v>
      </x:c>
      <x:c r="AB444" s="647" t="n">
        <x:f>N444*R444</x:f>
        <x:v>0</x:v>
      </x:c>
      <x:c r="AC444" s="647" t="n">
        <x:f>IF(N444&gt;0,R444,999999)</x:f>
        <x:v>999999</x:v>
      </x:c>
      <x:c r="AD444" s="647" t="n">
        <x:f>IF(AND(N444&gt;0,P444&gt;0),S444,999999)</x:f>
        <x:v>999999</x:v>
      </x:c>
      <x:c r="AE444" s="647" t="n">
        <x:f>IF(AND(N444&gt;0,Q444&gt;0),T444,999999)</x:f>
        <x:v>999999</x:v>
      </x:c>
      <x:c r="AF444" s="648" t="n">
        <x:f>B444*D444*F444*J444</x:f>
        <x:v>0.00099</x:v>
      </x:c>
      <x:c r="AG444" s="648" t="n">
        <x:f>IF(P444&gt;0,AF444,0)</x:f>
        <x:v>0.00099</x:v>
      </x:c>
      <x:c r="AH444" s="648" t="n">
        <x:f>IF(AND(P444&gt;0,S444&lt;0),AF444,0)</x:f>
        <x:v>0</x:v>
      </x:c>
      <x:c r="AI444" s="648" t="n">
        <x:f>IF(AND(P444&gt;0,S444=0),AF444,0)</x:f>
        <x:v>0.00099</x:v>
      </x:c>
      <x:c r="AJ444" s="648" t="n">
        <x:f>IF(R444&lt;30000,AF444,0)</x:f>
        <x:v>0</x:v>
      </x:c>
      <x:c r="AK444" s="647" t="n">
        <x:f>IF(P444&gt;0,AF444*S444,0)</x:f>
        <x:v>0</x:v>
      </x:c>
    </x:row>
    <x:row r="445" ht="22" customHeight="1">
      <x:c r="A445" s="19" t="str">
        <x:v>进取</x:v>
      </x:c>
      <x:c r="B445" s="23" t="n">
        <x:f>'114_降本系数'!B28</x:f>
        <x:v>0.15</x:v>
      </x:c>
      <x:c r="C445" s="19" t="str">
        <x:v>L1A</x:v>
      </x:c>
      <x:c r="D445" s="23" t="n">
        <x:f>'130_联合算法'!C17</x:f>
        <x:v>0.15</x:v>
      </x:c>
      <x:c r="E445" s="460" t="n">
        <x:f>'117_价格概率传导'!A9</x:f>
        <x:v>239900</x:v>
      </x:c>
      <x:c r="F445" s="23" t="n">
        <x:f>'117_价格概率传导'!E9</x:f>
        <x:v>0.32</x:v>
      </x:c>
      <x:c r="G445" s="23" t="n">
        <x:f>SUM('117_价格概率传导'!$E$6:$E$8)</x:f>
        <x:v>0.25</x:v>
      </x:c>
      <x:c r="H445" s="23" t="n">
        <x:f>SUM('117_价格概率传导'!$E$6:$E$9)</x:f>
        <x:v>0.5700000000000001</x:v>
      </x:c>
      <x:c r="I445" s="460" t="n">
        <x:f>'117_价格概率传导'!A16</x:f>
        <x:v>299900</x:v>
      </x:c>
      <x:c r="J445" s="23" t="n">
        <x:f>'117_价格概率传导'!E16</x:f>
        <x:v>0.01</x:v>
      </x:c>
      <x:c r="K445" s="23" t="n">
        <x:f>0</x:f>
        <x:v>0</x:v>
      </x:c>
      <x:c r="L445" s="23" t="n">
        <x:f>SUM('117_价格概率传导'!$E$16:$E$16)</x:f>
        <x:v>0.01</x:v>
      </x:c>
      <x:c r="M445" s="23" t="n">
        <x:f>MAX(0,MIN(H445,L445)-MAX(G445,K445))</x:f>
        <x:v>0</x:v>
      </x:c>
      <x:c r="N445" s="23" t="n">
        <x:f>B445*D445*M445</x:f>
        <x:v>0</x:v>
      </x:c>
      <x:c r="O445" s="460" t="n">
        <x:f>MIN(299900,I445+20000)</x:f>
        <x:v>299900</x:v>
      </x:c>
      <x:c r="P445" s="460" t="n">
        <x:f>O445-30000</x:f>
        <x:v>269900</x:v>
      </x:c>
      <x:c r="Q445" s="460" t="str">
        <x:f>""</x:f>
      </x:c>
      <x:c r="R445" s="460" t="n">
        <x:f>O445-E445</x:f>
        <x:v>60000</x:v>
      </x:c>
      <x:c r="S445" s="460" t="n">
        <x:f>IF(P445&gt;0,P445-E445,"")</x:f>
        <x:v>30000</x:v>
      </x:c>
      <x:c r="T445" s="460" t="str">
        <x:f>IF(Q445&gt;0,Q445-E445,"")</x:f>
      </x:c>
      <x:c r="U445" s="23" t="n">
        <x:f>IF(R445&lt;30000,N445,0)</x:f>
        <x:v>0</x:v>
      </x:c>
      <x:c r="V445" s="23" t="n">
        <x:f>IF(P445&gt;0,N445,0)</x:f>
        <x:v>0</x:v>
      </x:c>
      <x:c r="W445" s="23" t="n">
        <x:f>IF(AND(P445&gt;0,S445&lt;0),N445,0)</x:f>
        <x:v>0</x:v>
      </x:c>
      <x:c r="X445" s="23" t="n">
        <x:f>IF(AND(P445&gt;0,S445=0),N445,0)</x:f>
        <x:v>0</x:v>
      </x:c>
      <x:c r="Y445" s="23" t="n">
        <x:f>IF(Q445&gt;0,N445,0)</x:f>
        <x:v>0</x:v>
      </x:c>
      <x:c r="Z445" s="460" t="n">
        <x:f>IF(P445&gt;0,N445*S445,0)</x:f>
        <x:v>0</x:v>
      </x:c>
      <x:c r="AA445" s="460" t="n">
        <x:f>IF(Q445&gt;0,N445*T445,0)</x:f>
        <x:v>0</x:v>
      </x:c>
      <x:c r="AB445" s="460" t="n">
        <x:f>N445*R445</x:f>
        <x:v>0</x:v>
      </x:c>
      <x:c r="AC445" s="460" t="n">
        <x:f>IF(N445&gt;0,R445,999999)</x:f>
        <x:v>999999</x:v>
      </x:c>
      <x:c r="AD445" s="460" t="n">
        <x:f>IF(AND(N445&gt;0,P445&gt;0),S445,999999)</x:f>
        <x:v>999999</x:v>
      </x:c>
      <x:c r="AE445" s="460" t="n">
        <x:f>IF(AND(N445&gt;0,Q445&gt;0),T445,999999)</x:f>
        <x:v>999999</x:v>
      </x:c>
      <x:c r="AF445" s="23" t="n">
        <x:f>B445*D445*F445*J445</x:f>
        <x:v>0.000072</x:v>
      </x:c>
      <x:c r="AG445" s="23" t="n">
        <x:f>IF(P445&gt;0,AF445,0)</x:f>
        <x:v>0.000072</x:v>
      </x:c>
      <x:c r="AH445" s="23" t="n">
        <x:f>IF(AND(P445&gt;0,S445&lt;0),AF445,0)</x:f>
        <x:v>0</x:v>
      </x:c>
      <x:c r="AI445" s="23" t="n">
        <x:f>IF(AND(P445&gt;0,S445=0),AF445,0)</x:f>
        <x:v>0</x:v>
      </x:c>
      <x:c r="AJ445" s="23" t="n">
        <x:f>IF(R445&lt;30000,AF445,0)</x:f>
        <x:v>0</x:v>
      </x:c>
      <x:c r="AK445" s="460" t="n">
        <x:f>IF(P445&gt;0,AF445*S445,0)</x:f>
        <x:v>2.16</x:v>
      </x:c>
    </x:row>
    <x:row r="446" ht="22" customHeight="1">
      <x:c r="A446" s="643" t="str">
        <x:v>进取</x:v>
      </x:c>
      <x:c r="B446" s="648" t="n">
        <x:f>'114_降本系数'!B28</x:f>
        <x:v>0.15</x:v>
      </x:c>
      <x:c r="C446" s="643" t="str">
        <x:v>L1A</x:v>
      </x:c>
      <x:c r="D446" s="648" t="n">
        <x:f>'130_联合算法'!C17</x:f>
        <x:v>0.15</x:v>
      </x:c>
      <x:c r="E446" s="647" t="n">
        <x:f>'117_价格概率传导'!A9</x:f>
        <x:v>239900</x:v>
      </x:c>
      <x:c r="F446" s="648" t="n">
        <x:f>'117_价格概率传导'!E9</x:f>
        <x:v>0.32</x:v>
      </x:c>
      <x:c r="G446" s="648" t="n">
        <x:f>SUM('117_价格概率传导'!$E$6:$E$8)</x:f>
        <x:v>0.25</x:v>
      </x:c>
      <x:c r="H446" s="648" t="n">
        <x:f>SUM('117_价格概率传导'!$E$6:$E$9)</x:f>
        <x:v>0.5700000000000001</x:v>
      </x:c>
      <x:c r="I446" s="647" t="n">
        <x:f>'117_价格概率传导'!A17</x:f>
        <x:v>293900</x:v>
      </x:c>
      <x:c r="J446" s="648" t="n">
        <x:f>'117_价格概率传导'!E17</x:f>
        <x:v>0.01</x:v>
      </x:c>
      <x:c r="K446" s="648" t="n">
        <x:f>SUM('117_价格概率传导'!$E$16:$E$16)</x:f>
        <x:v>0.01</x:v>
      </x:c>
      <x:c r="L446" s="648" t="n">
        <x:f>SUM('117_价格概率传导'!$E$16:$E$17)</x:f>
        <x:v>0.02</x:v>
      </x:c>
      <x:c r="M446" s="648" t="n">
        <x:f>MAX(0,MIN(H446,L446)-MAX(G446,K446))</x:f>
        <x:v>0</x:v>
      </x:c>
      <x:c r="N446" s="648" t="n">
        <x:f>B446*D446*M446</x:f>
        <x:v>0</x:v>
      </x:c>
      <x:c r="O446" s="647" t="n">
        <x:f>MIN(299900,I446+20000)</x:f>
        <x:v>299900</x:v>
      </x:c>
      <x:c r="P446" s="647" t="n">
        <x:f>O446-30000</x:f>
        <x:v>269900</x:v>
      </x:c>
      <x:c r="Q446" s="647" t="str">
        <x:f>""</x:f>
      </x:c>
      <x:c r="R446" s="647" t="n">
        <x:f>O446-E446</x:f>
        <x:v>60000</x:v>
      </x:c>
      <x:c r="S446" s="647" t="n">
        <x:f>IF(P446&gt;0,P446-E446,"")</x:f>
        <x:v>30000</x:v>
      </x:c>
      <x:c r="T446" s="647" t="str">
        <x:f>IF(Q446&gt;0,Q446-E446,"")</x:f>
      </x:c>
      <x:c r="U446" s="648" t="n">
        <x:f>IF(R446&lt;30000,N446,0)</x:f>
        <x:v>0</x:v>
      </x:c>
      <x:c r="V446" s="648" t="n">
        <x:f>IF(P446&gt;0,N446,0)</x:f>
        <x:v>0</x:v>
      </x:c>
      <x:c r="W446" s="648" t="n">
        <x:f>IF(AND(P446&gt;0,S446&lt;0),N446,0)</x:f>
        <x:v>0</x:v>
      </x:c>
      <x:c r="X446" s="648" t="n">
        <x:f>IF(AND(P446&gt;0,S446=0),N446,0)</x:f>
        <x:v>0</x:v>
      </x:c>
      <x:c r="Y446" s="648" t="n">
        <x:f>IF(Q446&gt;0,N446,0)</x:f>
        <x:v>0</x:v>
      </x:c>
      <x:c r="Z446" s="647" t="n">
        <x:f>IF(P446&gt;0,N446*S446,0)</x:f>
        <x:v>0</x:v>
      </x:c>
      <x:c r="AA446" s="647" t="n">
        <x:f>IF(Q446&gt;0,N446*T446,0)</x:f>
        <x:v>0</x:v>
      </x:c>
      <x:c r="AB446" s="647" t="n">
        <x:f>N446*R446</x:f>
        <x:v>0</x:v>
      </x:c>
      <x:c r="AC446" s="647" t="n">
        <x:f>IF(N446&gt;0,R446,999999)</x:f>
        <x:v>999999</x:v>
      </x:c>
      <x:c r="AD446" s="647" t="n">
        <x:f>IF(AND(N446&gt;0,P446&gt;0),S446,999999)</x:f>
        <x:v>999999</x:v>
      </x:c>
      <x:c r="AE446" s="647" t="n">
        <x:f>IF(AND(N446&gt;0,Q446&gt;0),T446,999999)</x:f>
        <x:v>999999</x:v>
      </x:c>
      <x:c r="AF446" s="648" t="n">
        <x:f>B446*D446*F446*J446</x:f>
        <x:v>0.000072</x:v>
      </x:c>
      <x:c r="AG446" s="648" t="n">
        <x:f>IF(P446&gt;0,AF446,0)</x:f>
        <x:v>0.000072</x:v>
      </x:c>
      <x:c r="AH446" s="648" t="n">
        <x:f>IF(AND(P446&gt;0,S446&lt;0),AF446,0)</x:f>
        <x:v>0</x:v>
      </x:c>
      <x:c r="AI446" s="648" t="n">
        <x:f>IF(AND(P446&gt;0,S446=0),AF446,0)</x:f>
        <x:v>0</x:v>
      </x:c>
      <x:c r="AJ446" s="648" t="n">
        <x:f>IF(R446&lt;30000,AF446,0)</x:f>
        <x:v>0</x:v>
      </x:c>
      <x:c r="AK446" s="647" t="n">
        <x:f>IF(P446&gt;0,AF446*S446,0)</x:f>
        <x:v>2.16</x:v>
      </x:c>
    </x:row>
    <x:row r="447" ht="22" customHeight="1">
      <x:c r="A447" s="19" t="str">
        <x:v>进取</x:v>
      </x:c>
      <x:c r="B447" s="23" t="n">
        <x:f>'114_降本系数'!B28</x:f>
        <x:v>0.15</x:v>
      </x:c>
      <x:c r="C447" s="19" t="str">
        <x:v>L1A</x:v>
      </x:c>
      <x:c r="D447" s="23" t="n">
        <x:f>'130_联合算法'!C17</x:f>
        <x:v>0.15</x:v>
      </x:c>
      <x:c r="E447" s="460" t="n">
        <x:f>'117_价格概率传导'!A9</x:f>
        <x:v>239900</x:v>
      </x:c>
      <x:c r="F447" s="23" t="n">
        <x:f>'117_价格概率传导'!E9</x:f>
        <x:v>0.32</x:v>
      </x:c>
      <x:c r="G447" s="23" t="n">
        <x:f>SUM('117_价格概率传导'!$E$6:$E$8)</x:f>
        <x:v>0.25</x:v>
      </x:c>
      <x:c r="H447" s="23" t="n">
        <x:f>SUM('117_价格概率传导'!$E$6:$E$9)</x:f>
        <x:v>0.5700000000000001</x:v>
      </x:c>
      <x:c r="I447" s="460" t="n">
        <x:f>'117_价格概率传导'!A18</x:f>
        <x:v>289900</x:v>
      </x:c>
      <x:c r="J447" s="23" t="n">
        <x:f>'117_价格概率传导'!E18</x:f>
        <x:v>0.1</x:v>
      </x:c>
      <x:c r="K447" s="23" t="n">
        <x:f>SUM('117_价格概率传导'!$E$16:$E$17)</x:f>
        <x:v>0.02</x:v>
      </x:c>
      <x:c r="L447" s="23" t="n">
        <x:f>SUM('117_价格概率传导'!$E$16:$E$18)</x:f>
        <x:v>0.12000000000000001</x:v>
      </x:c>
      <x:c r="M447" s="23" t="n">
        <x:f>MAX(0,MIN(H447,L447)-MAX(G447,K447))</x:f>
        <x:v>0</x:v>
      </x:c>
      <x:c r="N447" s="23" t="n">
        <x:f>B447*D447*M447</x:f>
        <x:v>0</x:v>
      </x:c>
      <x:c r="O447" s="460" t="n">
        <x:f>MIN(299900,I447+20000)</x:f>
        <x:v>299900</x:v>
      </x:c>
      <x:c r="P447" s="460" t="n">
        <x:f>O447-30000</x:f>
        <x:v>269900</x:v>
      </x:c>
      <x:c r="Q447" s="460" t="str">
        <x:f>""</x:f>
      </x:c>
      <x:c r="R447" s="460" t="n">
        <x:f>O447-E447</x:f>
        <x:v>60000</x:v>
      </x:c>
      <x:c r="S447" s="460" t="n">
        <x:f>IF(P447&gt;0,P447-E447,"")</x:f>
        <x:v>30000</x:v>
      </x:c>
      <x:c r="T447" s="460" t="str">
        <x:f>IF(Q447&gt;0,Q447-E447,"")</x:f>
      </x:c>
      <x:c r="U447" s="23" t="n">
        <x:f>IF(R447&lt;30000,N447,0)</x:f>
        <x:v>0</x:v>
      </x:c>
      <x:c r="V447" s="23" t="n">
        <x:f>IF(P447&gt;0,N447,0)</x:f>
        <x:v>0</x:v>
      </x:c>
      <x:c r="W447" s="23" t="n">
        <x:f>IF(AND(P447&gt;0,S447&lt;0),N447,0)</x:f>
        <x:v>0</x:v>
      </x:c>
      <x:c r="X447" s="23" t="n">
        <x:f>IF(AND(P447&gt;0,S447=0),N447,0)</x:f>
        <x:v>0</x:v>
      </x:c>
      <x:c r="Y447" s="23" t="n">
        <x:f>IF(Q447&gt;0,N447,0)</x:f>
        <x:v>0</x:v>
      </x:c>
      <x:c r="Z447" s="460" t="n">
        <x:f>IF(P447&gt;0,N447*S447,0)</x:f>
        <x:v>0</x:v>
      </x:c>
      <x:c r="AA447" s="460" t="n">
        <x:f>IF(Q447&gt;0,N447*T447,0)</x:f>
        <x:v>0</x:v>
      </x:c>
      <x:c r="AB447" s="460" t="n">
        <x:f>N447*R447</x:f>
        <x:v>0</x:v>
      </x:c>
      <x:c r="AC447" s="460" t="n">
        <x:f>IF(N447&gt;0,R447,999999)</x:f>
        <x:v>999999</x:v>
      </x:c>
      <x:c r="AD447" s="460" t="n">
        <x:f>IF(AND(N447&gt;0,P447&gt;0),S447,999999)</x:f>
        <x:v>999999</x:v>
      </x:c>
      <x:c r="AE447" s="460" t="n">
        <x:f>IF(AND(N447&gt;0,Q447&gt;0),T447,999999)</x:f>
        <x:v>999999</x:v>
      </x:c>
      <x:c r="AF447" s="23" t="n">
        <x:f>B447*D447*F447*J447</x:f>
        <x:v>0.00072</x:v>
      </x:c>
      <x:c r="AG447" s="23" t="n">
        <x:f>IF(P447&gt;0,AF447,0)</x:f>
        <x:v>0.00072</x:v>
      </x:c>
      <x:c r="AH447" s="23" t="n">
        <x:f>IF(AND(P447&gt;0,S447&lt;0),AF447,0)</x:f>
        <x:v>0</x:v>
      </x:c>
      <x:c r="AI447" s="23" t="n">
        <x:f>IF(AND(P447&gt;0,S447=0),AF447,0)</x:f>
        <x:v>0</x:v>
      </x:c>
      <x:c r="AJ447" s="23" t="n">
        <x:f>IF(R447&lt;30000,AF447,0)</x:f>
        <x:v>0</x:v>
      </x:c>
      <x:c r="AK447" s="460" t="n">
        <x:f>IF(P447&gt;0,AF447*S447,0)</x:f>
        <x:v>21.6</x:v>
      </x:c>
    </x:row>
    <x:row r="448" ht="22" customHeight="1">
      <x:c r="A448" s="643" t="str">
        <x:v>进取</x:v>
      </x:c>
      <x:c r="B448" s="648" t="n">
        <x:f>'114_降本系数'!B28</x:f>
        <x:v>0.15</x:v>
      </x:c>
      <x:c r="C448" s="643" t="str">
        <x:v>L1A</x:v>
      </x:c>
      <x:c r="D448" s="648" t="n">
        <x:f>'130_联合算法'!C17</x:f>
        <x:v>0.15</x:v>
      </x:c>
      <x:c r="E448" s="647" t="n">
        <x:f>'117_价格概率传导'!A9</x:f>
        <x:v>239900</x:v>
      </x:c>
      <x:c r="F448" s="648" t="n">
        <x:f>'117_价格概率传导'!E9</x:f>
        <x:v>0.32</x:v>
      </x:c>
      <x:c r="G448" s="648" t="n">
        <x:f>SUM('117_价格概率传导'!$E$6:$E$8)</x:f>
        <x:v>0.25</x:v>
      </x:c>
      <x:c r="H448" s="648" t="n">
        <x:f>SUM('117_价格概率传导'!$E$6:$E$9)</x:f>
        <x:v>0.5700000000000001</x:v>
      </x:c>
      <x:c r="I448" s="647" t="n">
        <x:f>'117_价格概率传导'!A19</x:f>
        <x:v>279900</x:v>
      </x:c>
      <x:c r="J448" s="648" t="n">
        <x:f>'117_价格概率传导'!E19</x:f>
        <x:v>0.3</x:v>
      </x:c>
      <x:c r="K448" s="648" t="n">
        <x:f>SUM('117_价格概率传导'!$E$16:$E$18)</x:f>
        <x:v>0.12000000000000001</x:v>
      </x:c>
      <x:c r="L448" s="648" t="n">
        <x:f>SUM('117_价格概率传导'!$E$16:$E$19)</x:f>
        <x:v>0.42</x:v>
      </x:c>
      <x:c r="M448" s="648" t="n">
        <x:f>MAX(0,MIN(H448,L448)-MAX(G448,K448))</x:f>
        <x:v>0.16999999999999998</x:v>
      </x:c>
      <x:c r="N448" s="648" t="n">
        <x:f>B448*D448*M448</x:f>
        <x:v>0.0038249999999999994</x:v>
      </x:c>
      <x:c r="O448" s="647" t="n">
        <x:f>MIN(299900,I448+20000)</x:f>
        <x:v>299900</x:v>
      </x:c>
      <x:c r="P448" s="647" t="n">
        <x:f>O448-30000</x:f>
        <x:v>269900</x:v>
      </x:c>
      <x:c r="Q448" s="647" t="str">
        <x:f>""</x:f>
      </x:c>
      <x:c r="R448" s="647" t="n">
        <x:f>O448-E448</x:f>
        <x:v>60000</x:v>
      </x:c>
      <x:c r="S448" s="647" t="n">
        <x:f>IF(P448&gt;0,P448-E448,"")</x:f>
        <x:v>30000</x:v>
      </x:c>
      <x:c r="T448" s="647" t="str">
        <x:f>IF(Q448&gt;0,Q448-E448,"")</x:f>
      </x:c>
      <x:c r="U448" s="648" t="n">
        <x:f>IF(R448&lt;30000,N448,0)</x:f>
        <x:v>0</x:v>
      </x:c>
      <x:c r="V448" s="648" t="n">
        <x:f>IF(P448&gt;0,N448,0)</x:f>
        <x:v>0.0038249999999999994</x:v>
      </x:c>
      <x:c r="W448" s="648" t="n">
        <x:f>IF(AND(P448&gt;0,S448&lt;0),N448,0)</x:f>
        <x:v>0</x:v>
      </x:c>
      <x:c r="X448" s="648" t="n">
        <x:f>IF(AND(P448&gt;0,S448=0),N448,0)</x:f>
        <x:v>0</x:v>
      </x:c>
      <x:c r="Y448" s="648" t="n">
        <x:f>IF(Q448&gt;0,N448,0)</x:f>
        <x:v>0</x:v>
      </x:c>
      <x:c r="Z448" s="647" t="n">
        <x:f>IF(P448&gt;0,N448*S448,0)</x:f>
        <x:v>114.74999999999999</x:v>
      </x:c>
      <x:c r="AA448" s="647" t="n">
        <x:f>IF(Q448&gt;0,N448*T448,0)</x:f>
        <x:v>0</x:v>
      </x:c>
      <x:c r="AB448" s="647" t="n">
        <x:f>N448*R448</x:f>
        <x:v>229.49999999999997</x:v>
      </x:c>
      <x:c r="AC448" s="647" t="n">
        <x:f>IF(N448&gt;0,R448,999999)</x:f>
        <x:v>60000</x:v>
      </x:c>
      <x:c r="AD448" s="647" t="n">
        <x:f>IF(AND(N448&gt;0,P448&gt;0),S448,999999)</x:f>
        <x:v>30000</x:v>
      </x:c>
      <x:c r="AE448" s="647" t="n">
        <x:f>IF(AND(N448&gt;0,Q448&gt;0),T448,999999)</x:f>
        <x:v>999999</x:v>
      </x:c>
      <x:c r="AF448" s="648" t="n">
        <x:f>B448*D448*F448*J448</x:f>
        <x:v>0.00216</x:v>
      </x:c>
      <x:c r="AG448" s="648" t="n">
        <x:f>IF(P448&gt;0,AF448,0)</x:f>
        <x:v>0.00216</x:v>
      </x:c>
      <x:c r="AH448" s="648" t="n">
        <x:f>IF(AND(P448&gt;0,S448&lt;0),AF448,0)</x:f>
        <x:v>0</x:v>
      </x:c>
      <x:c r="AI448" s="648" t="n">
        <x:f>IF(AND(P448&gt;0,S448=0),AF448,0)</x:f>
        <x:v>0</x:v>
      </x:c>
      <x:c r="AJ448" s="648" t="n">
        <x:f>IF(R448&lt;30000,AF448,0)</x:f>
        <x:v>0</x:v>
      </x:c>
      <x:c r="AK448" s="647" t="n">
        <x:f>IF(P448&gt;0,AF448*S448,0)</x:f>
        <x:v>64.8</x:v>
      </x:c>
    </x:row>
    <x:row r="449" ht="22" customHeight="1">
      <x:c r="A449" s="19" t="str">
        <x:v>进取</x:v>
      </x:c>
      <x:c r="B449" s="23" t="n">
        <x:f>'114_降本系数'!B28</x:f>
        <x:v>0.15</x:v>
      </x:c>
      <x:c r="C449" s="19" t="str">
        <x:v>L1A</x:v>
      </x:c>
      <x:c r="D449" s="23" t="n">
        <x:f>'130_联合算法'!C17</x:f>
        <x:v>0.15</x:v>
      </x:c>
      <x:c r="E449" s="460" t="n">
        <x:f>'117_价格概率传导'!A9</x:f>
        <x:v>239900</x:v>
      </x:c>
      <x:c r="F449" s="23" t="n">
        <x:f>'117_价格概率传导'!E9</x:f>
        <x:v>0.32</x:v>
      </x:c>
      <x:c r="G449" s="23" t="n">
        <x:f>SUM('117_价格概率传导'!$E$6:$E$8)</x:f>
        <x:v>0.25</x:v>
      </x:c>
      <x:c r="H449" s="23" t="n">
        <x:f>SUM('117_价格概率传导'!$E$6:$E$9)</x:f>
        <x:v>0.5700000000000001</x:v>
      </x:c>
      <x:c r="I449" s="460" t="n">
        <x:f>'117_价格概率传导'!A20</x:f>
        <x:v>269900</x:v>
      </x:c>
      <x:c r="J449" s="23" t="n">
        <x:f>'117_价格概率传导'!E20</x:f>
        <x:v>0.38</x:v>
      </x:c>
      <x:c r="K449" s="23" t="n">
        <x:f>SUM('117_价格概率传导'!$E$16:$E$19)</x:f>
        <x:v>0.42</x:v>
      </x:c>
      <x:c r="L449" s="23" t="n">
        <x:f>SUM('117_价格概率传导'!$E$16:$E$20)</x:f>
        <x:v>0.8</x:v>
      </x:c>
      <x:c r="M449" s="23" t="n">
        <x:f>MAX(0,MIN(H449,L449)-MAX(G449,K449))</x:f>
        <x:v>0.15000000000000008</x:v>
      </x:c>
      <x:c r="N449" s="23" t="n">
        <x:f>B449*D449*M449</x:f>
        <x:v>0.0033750000000000017</x:v>
      </x:c>
      <x:c r="O449" s="460" t="n">
        <x:f>MIN(299900,I449+20000)</x:f>
        <x:v>289900</x:v>
      </x:c>
      <x:c r="P449" s="460" t="n">
        <x:f>O449-30000</x:f>
        <x:v>259900</x:v>
      </x:c>
      <x:c r="Q449" s="460" t="str">
        <x:f>""</x:f>
      </x:c>
      <x:c r="R449" s="460" t="n">
        <x:f>O449-E449</x:f>
        <x:v>50000</x:v>
      </x:c>
      <x:c r="S449" s="460" t="n">
        <x:f>IF(P449&gt;0,P449-E449,"")</x:f>
        <x:v>20000</x:v>
      </x:c>
      <x:c r="T449" s="460" t="str">
        <x:f>IF(Q449&gt;0,Q449-E449,"")</x:f>
      </x:c>
      <x:c r="U449" s="23" t="n">
        <x:f>IF(R449&lt;30000,N449,0)</x:f>
        <x:v>0</x:v>
      </x:c>
      <x:c r="V449" s="23" t="n">
        <x:f>IF(P449&gt;0,N449,0)</x:f>
        <x:v>0.0033750000000000017</x:v>
      </x:c>
      <x:c r="W449" s="23" t="n">
        <x:f>IF(AND(P449&gt;0,S449&lt;0),N449,0)</x:f>
        <x:v>0</x:v>
      </x:c>
      <x:c r="X449" s="23" t="n">
        <x:f>IF(AND(P449&gt;0,S449=0),N449,0)</x:f>
        <x:v>0</x:v>
      </x:c>
      <x:c r="Y449" s="23" t="n">
        <x:f>IF(Q449&gt;0,N449,0)</x:f>
        <x:v>0</x:v>
      </x:c>
      <x:c r="Z449" s="460" t="n">
        <x:f>IF(P449&gt;0,N449*S449,0)</x:f>
        <x:v>67.50000000000003</x:v>
      </x:c>
      <x:c r="AA449" s="460" t="n">
        <x:f>IF(Q449&gt;0,N449*T449,0)</x:f>
        <x:v>0</x:v>
      </x:c>
      <x:c r="AB449" s="460" t="n">
        <x:f>N449*R449</x:f>
        <x:v>168.75000000000009</x:v>
      </x:c>
      <x:c r="AC449" s="460" t="n">
        <x:f>IF(N449&gt;0,R449,999999)</x:f>
        <x:v>50000</x:v>
      </x:c>
      <x:c r="AD449" s="460" t="n">
        <x:f>IF(AND(N449&gt;0,P449&gt;0),S449,999999)</x:f>
        <x:v>20000</x:v>
      </x:c>
      <x:c r="AE449" s="460" t="n">
        <x:f>IF(AND(N449&gt;0,Q449&gt;0),T449,999999)</x:f>
        <x:v>999999</x:v>
      </x:c>
      <x:c r="AF449" s="23" t="n">
        <x:f>B449*D449*F449*J449</x:f>
        <x:v>0.002736</x:v>
      </x:c>
      <x:c r="AG449" s="23" t="n">
        <x:f>IF(P449&gt;0,AF449,0)</x:f>
        <x:v>0.002736</x:v>
      </x:c>
      <x:c r="AH449" s="23" t="n">
        <x:f>IF(AND(P449&gt;0,S449&lt;0),AF449,0)</x:f>
        <x:v>0</x:v>
      </x:c>
      <x:c r="AI449" s="23" t="n">
        <x:f>IF(AND(P449&gt;0,S449=0),AF449,0)</x:f>
        <x:v>0</x:v>
      </x:c>
      <x:c r="AJ449" s="23" t="n">
        <x:f>IF(R449&lt;30000,AF449,0)</x:f>
        <x:v>0</x:v>
      </x:c>
      <x:c r="AK449" s="460" t="n">
        <x:f>IF(P449&gt;0,AF449*S449,0)</x:f>
        <x:v>54.720000000000006</x:v>
      </x:c>
    </x:row>
    <x:row r="450" ht="22" customHeight="1">
      <x:c r="A450" s="643" t="str">
        <x:v>进取</x:v>
      </x:c>
      <x:c r="B450" s="648" t="n">
        <x:f>'114_降本系数'!B28</x:f>
        <x:v>0.15</x:v>
      </x:c>
      <x:c r="C450" s="643" t="str">
        <x:v>L1A</x:v>
      </x:c>
      <x:c r="D450" s="648" t="n">
        <x:f>'130_联合算法'!C17</x:f>
        <x:v>0.15</x:v>
      </x:c>
      <x:c r="E450" s="647" t="n">
        <x:f>'117_价格概率传导'!A9</x:f>
        <x:v>239900</x:v>
      </x:c>
      <x:c r="F450" s="648" t="n">
        <x:f>'117_价格概率传导'!E9</x:f>
        <x:v>0.32</x:v>
      </x:c>
      <x:c r="G450" s="648" t="n">
        <x:f>SUM('117_价格概率传导'!$E$6:$E$8)</x:f>
        <x:v>0.25</x:v>
      </x:c>
      <x:c r="H450" s="648" t="n">
        <x:f>SUM('117_价格概率传导'!$E$6:$E$9)</x:f>
        <x:v>0.5700000000000001</x:v>
      </x:c>
      <x:c r="I450" s="647" t="n">
        <x:f>'117_价格概率传导'!A21</x:f>
        <x:v>259900</x:v>
      </x:c>
      <x:c r="J450" s="648" t="n">
        <x:f>'117_价格概率传导'!E21</x:f>
        <x:v>0.2</x:v>
      </x:c>
      <x:c r="K450" s="648" t="n">
        <x:f>SUM('117_价格概率传导'!$E$16:$E$20)</x:f>
        <x:v>0.8</x:v>
      </x:c>
      <x:c r="L450" s="648" t="n">
        <x:f>SUM('117_价格概率传导'!$E$16:$E$21)</x:f>
        <x:v>1</x:v>
      </x:c>
      <x:c r="M450" s="648" t="n">
        <x:f>MAX(0,MIN(H450,L450)-MAX(G450,K450))</x:f>
        <x:v>0</x:v>
      </x:c>
      <x:c r="N450" s="648" t="n">
        <x:f>B450*D450*M450</x:f>
        <x:v>0</x:v>
      </x:c>
      <x:c r="O450" s="647" t="n">
        <x:f>MIN(299900,I450+20000)</x:f>
        <x:v>279900</x:v>
      </x:c>
      <x:c r="P450" s="647" t="n">
        <x:f>O450-30000</x:f>
        <x:v>249900</x:v>
      </x:c>
      <x:c r="Q450" s="647" t="str">
        <x:f>""</x:f>
      </x:c>
      <x:c r="R450" s="647" t="n">
        <x:f>O450-E450</x:f>
        <x:v>40000</x:v>
      </x:c>
      <x:c r="S450" s="647" t="n">
        <x:f>IF(P450&gt;0,P450-E450,"")</x:f>
        <x:v>10000</x:v>
      </x:c>
      <x:c r="T450" s="647" t="str">
        <x:f>IF(Q450&gt;0,Q450-E450,"")</x:f>
      </x:c>
      <x:c r="U450" s="648" t="n">
        <x:f>IF(R450&lt;30000,N450,0)</x:f>
        <x:v>0</x:v>
      </x:c>
      <x:c r="V450" s="648" t="n">
        <x:f>IF(P450&gt;0,N450,0)</x:f>
        <x:v>0</x:v>
      </x:c>
      <x:c r="W450" s="648" t="n">
        <x:f>IF(AND(P450&gt;0,S450&lt;0),N450,0)</x:f>
        <x:v>0</x:v>
      </x:c>
      <x:c r="X450" s="648" t="n">
        <x:f>IF(AND(P450&gt;0,S450=0),N450,0)</x:f>
        <x:v>0</x:v>
      </x:c>
      <x:c r="Y450" s="648" t="n">
        <x:f>IF(Q450&gt;0,N450,0)</x:f>
        <x:v>0</x:v>
      </x:c>
      <x:c r="Z450" s="647" t="n">
        <x:f>IF(P450&gt;0,N450*S450,0)</x:f>
        <x:v>0</x:v>
      </x:c>
      <x:c r="AA450" s="647" t="n">
        <x:f>IF(Q450&gt;0,N450*T450,0)</x:f>
        <x:v>0</x:v>
      </x:c>
      <x:c r="AB450" s="647" t="n">
        <x:f>N450*R450</x:f>
        <x:v>0</x:v>
      </x:c>
      <x:c r="AC450" s="647" t="n">
        <x:f>IF(N450&gt;0,R450,999999)</x:f>
        <x:v>999999</x:v>
      </x:c>
      <x:c r="AD450" s="647" t="n">
        <x:f>IF(AND(N450&gt;0,P450&gt;0),S450,999999)</x:f>
        <x:v>999999</x:v>
      </x:c>
      <x:c r="AE450" s="647" t="n">
        <x:f>IF(AND(N450&gt;0,Q450&gt;0),T450,999999)</x:f>
        <x:v>999999</x:v>
      </x:c>
      <x:c r="AF450" s="648" t="n">
        <x:f>B450*D450*F450*J450</x:f>
        <x:v>0.00144</x:v>
      </x:c>
      <x:c r="AG450" s="648" t="n">
        <x:f>IF(P450&gt;0,AF450,0)</x:f>
        <x:v>0.00144</x:v>
      </x:c>
      <x:c r="AH450" s="648" t="n">
        <x:f>IF(AND(P450&gt;0,S450&lt;0),AF450,0)</x:f>
        <x:v>0</x:v>
      </x:c>
      <x:c r="AI450" s="648" t="n">
        <x:f>IF(AND(P450&gt;0,S450=0),AF450,0)</x:f>
        <x:v>0</x:v>
      </x:c>
      <x:c r="AJ450" s="648" t="n">
        <x:f>IF(R450&lt;30000,AF450,0)</x:f>
        <x:v>0</x:v>
      </x:c>
      <x:c r="AK450" s="647" t="n">
        <x:f>IF(P450&gt;0,AF450*S450,0)</x:f>
        <x:v>14.4</x:v>
      </x:c>
    </x:row>
    <x:row r="451" ht="22" customHeight="1">
      <x:c r="A451" s="19" t="str">
        <x:v>进取</x:v>
      </x:c>
      <x:c r="B451" s="23" t="n">
        <x:f>'114_降本系数'!B28</x:f>
        <x:v>0.15</x:v>
      </x:c>
      <x:c r="C451" s="19" t="str">
        <x:v>L1A</x:v>
      </x:c>
      <x:c r="D451" s="23" t="n">
        <x:f>'130_联合算法'!C17</x:f>
        <x:v>0.15</x:v>
      </x:c>
      <x:c r="E451" s="460" t="n">
        <x:f>'117_价格概率传导'!A10</x:f>
        <x:v>229900</x:v>
      </x:c>
      <x:c r="F451" s="23" t="n">
        <x:f>'117_价格概率传导'!E10</x:f>
        <x:v>0.28</x:v>
      </x:c>
      <x:c r="G451" s="23" t="n">
        <x:f>SUM('117_价格概率传导'!$E$6:$E$9)</x:f>
        <x:v>0.5700000000000001</x:v>
      </x:c>
      <x:c r="H451" s="23" t="n">
        <x:f>SUM('117_价格概率传导'!$E$6:$E$10)</x:f>
        <x:v>0.8500000000000001</x:v>
      </x:c>
      <x:c r="I451" s="460" t="n">
        <x:f>'117_价格概率传导'!A16</x:f>
        <x:v>299900</x:v>
      </x:c>
      <x:c r="J451" s="23" t="n">
        <x:f>'117_价格概率传导'!E16</x:f>
        <x:v>0.01</x:v>
      </x:c>
      <x:c r="K451" s="23" t="n">
        <x:f>0</x:f>
        <x:v>0</x:v>
      </x:c>
      <x:c r="L451" s="23" t="n">
        <x:f>SUM('117_价格概率传导'!$E$16:$E$16)</x:f>
        <x:v>0.01</x:v>
      </x:c>
      <x:c r="M451" s="23" t="n">
        <x:f>MAX(0,MIN(H451,L451)-MAX(G451,K451))</x:f>
        <x:v>0</x:v>
      </x:c>
      <x:c r="N451" s="23" t="n">
        <x:f>B451*D451*M451</x:f>
        <x:v>0</x:v>
      </x:c>
      <x:c r="O451" s="460" t="n">
        <x:f>MIN(299900,I451+20000)</x:f>
        <x:v>299900</x:v>
      </x:c>
      <x:c r="P451" s="460" t="n">
        <x:f>O451-30000</x:f>
        <x:v>269900</x:v>
      </x:c>
      <x:c r="Q451" s="460" t="str">
        <x:f>""</x:f>
      </x:c>
      <x:c r="R451" s="460" t="n">
        <x:f>O451-E451</x:f>
        <x:v>70000</x:v>
      </x:c>
      <x:c r="S451" s="460" t="n">
        <x:f>IF(P451&gt;0,P451-E451,"")</x:f>
        <x:v>40000</x:v>
      </x:c>
      <x:c r="T451" s="460" t="str">
        <x:f>IF(Q451&gt;0,Q451-E451,"")</x:f>
      </x:c>
      <x:c r="U451" s="23" t="n">
        <x:f>IF(R451&lt;30000,N451,0)</x:f>
        <x:v>0</x:v>
      </x:c>
      <x:c r="V451" s="23" t="n">
        <x:f>IF(P451&gt;0,N451,0)</x:f>
        <x:v>0</x:v>
      </x:c>
      <x:c r="W451" s="23" t="n">
        <x:f>IF(AND(P451&gt;0,S451&lt;0),N451,0)</x:f>
        <x:v>0</x:v>
      </x:c>
      <x:c r="X451" s="23" t="n">
        <x:f>IF(AND(P451&gt;0,S451=0),N451,0)</x:f>
        <x:v>0</x:v>
      </x:c>
      <x:c r="Y451" s="23" t="n">
        <x:f>IF(Q451&gt;0,N451,0)</x:f>
        <x:v>0</x:v>
      </x:c>
      <x:c r="Z451" s="460" t="n">
        <x:f>IF(P451&gt;0,N451*S451,0)</x:f>
        <x:v>0</x:v>
      </x:c>
      <x:c r="AA451" s="460" t="n">
        <x:f>IF(Q451&gt;0,N451*T451,0)</x:f>
        <x:v>0</x:v>
      </x:c>
      <x:c r="AB451" s="460" t="n">
        <x:f>N451*R451</x:f>
        <x:v>0</x:v>
      </x:c>
      <x:c r="AC451" s="460" t="n">
        <x:f>IF(N451&gt;0,R451,999999)</x:f>
        <x:v>999999</x:v>
      </x:c>
      <x:c r="AD451" s="460" t="n">
        <x:f>IF(AND(N451&gt;0,P451&gt;0),S451,999999)</x:f>
        <x:v>999999</x:v>
      </x:c>
      <x:c r="AE451" s="460" t="n">
        <x:f>IF(AND(N451&gt;0,Q451&gt;0),T451,999999)</x:f>
        <x:v>999999</x:v>
      </x:c>
      <x:c r="AF451" s="23" t="n">
        <x:f>B451*D451*F451*J451</x:f>
        <x:v>0.000063</x:v>
      </x:c>
      <x:c r="AG451" s="23" t="n">
        <x:f>IF(P451&gt;0,AF451,0)</x:f>
        <x:v>0.000063</x:v>
      </x:c>
      <x:c r="AH451" s="23" t="n">
        <x:f>IF(AND(P451&gt;0,S451&lt;0),AF451,0)</x:f>
        <x:v>0</x:v>
      </x:c>
      <x:c r="AI451" s="23" t="n">
        <x:f>IF(AND(P451&gt;0,S451=0),AF451,0)</x:f>
        <x:v>0</x:v>
      </x:c>
      <x:c r="AJ451" s="23" t="n">
        <x:f>IF(R451&lt;30000,AF451,0)</x:f>
        <x:v>0</x:v>
      </x:c>
      <x:c r="AK451" s="460" t="n">
        <x:f>IF(P451&gt;0,AF451*S451,0)</x:f>
        <x:v>2.52</x:v>
      </x:c>
    </x:row>
    <x:row r="452" ht="22" customHeight="1">
      <x:c r="A452" s="643" t="str">
        <x:v>进取</x:v>
      </x:c>
      <x:c r="B452" s="648" t="n">
        <x:f>'114_降本系数'!B28</x:f>
        <x:v>0.15</x:v>
      </x:c>
      <x:c r="C452" s="643" t="str">
        <x:v>L1A</x:v>
      </x:c>
      <x:c r="D452" s="648" t="n">
        <x:f>'130_联合算法'!C17</x:f>
        <x:v>0.15</x:v>
      </x:c>
      <x:c r="E452" s="647" t="n">
        <x:f>'117_价格概率传导'!A10</x:f>
        <x:v>229900</x:v>
      </x:c>
      <x:c r="F452" s="648" t="n">
        <x:f>'117_价格概率传导'!E10</x:f>
        <x:v>0.28</x:v>
      </x:c>
      <x:c r="G452" s="648" t="n">
        <x:f>SUM('117_价格概率传导'!$E$6:$E$9)</x:f>
        <x:v>0.5700000000000001</x:v>
      </x:c>
      <x:c r="H452" s="648" t="n">
        <x:f>SUM('117_价格概率传导'!$E$6:$E$10)</x:f>
        <x:v>0.8500000000000001</x:v>
      </x:c>
      <x:c r="I452" s="647" t="n">
        <x:f>'117_价格概率传导'!A17</x:f>
        <x:v>293900</x:v>
      </x:c>
      <x:c r="J452" s="648" t="n">
        <x:f>'117_价格概率传导'!E17</x:f>
        <x:v>0.01</x:v>
      </x:c>
      <x:c r="K452" s="648" t="n">
        <x:f>SUM('117_价格概率传导'!$E$16:$E$16)</x:f>
        <x:v>0.01</x:v>
      </x:c>
      <x:c r="L452" s="648" t="n">
        <x:f>SUM('117_价格概率传导'!$E$16:$E$17)</x:f>
        <x:v>0.02</x:v>
      </x:c>
      <x:c r="M452" s="648" t="n">
        <x:f>MAX(0,MIN(H452,L452)-MAX(G452,K452))</x:f>
        <x:v>0</x:v>
      </x:c>
      <x:c r="N452" s="648" t="n">
        <x:f>B452*D452*M452</x:f>
        <x:v>0</x:v>
      </x:c>
      <x:c r="O452" s="647" t="n">
        <x:f>MIN(299900,I452+20000)</x:f>
        <x:v>299900</x:v>
      </x:c>
      <x:c r="P452" s="647" t="n">
        <x:f>O452-30000</x:f>
        <x:v>269900</x:v>
      </x:c>
      <x:c r="Q452" s="647" t="str">
        <x:f>""</x:f>
      </x:c>
      <x:c r="R452" s="647" t="n">
        <x:f>O452-E452</x:f>
        <x:v>70000</x:v>
      </x:c>
      <x:c r="S452" s="647" t="n">
        <x:f>IF(P452&gt;0,P452-E452,"")</x:f>
        <x:v>40000</x:v>
      </x:c>
      <x:c r="T452" s="647" t="str">
        <x:f>IF(Q452&gt;0,Q452-E452,"")</x:f>
      </x:c>
      <x:c r="U452" s="648" t="n">
        <x:f>IF(R452&lt;30000,N452,0)</x:f>
        <x:v>0</x:v>
      </x:c>
      <x:c r="V452" s="648" t="n">
        <x:f>IF(P452&gt;0,N452,0)</x:f>
        <x:v>0</x:v>
      </x:c>
      <x:c r="W452" s="648" t="n">
        <x:f>IF(AND(P452&gt;0,S452&lt;0),N452,0)</x:f>
        <x:v>0</x:v>
      </x:c>
      <x:c r="X452" s="648" t="n">
        <x:f>IF(AND(P452&gt;0,S452=0),N452,0)</x:f>
        <x:v>0</x:v>
      </x:c>
      <x:c r="Y452" s="648" t="n">
        <x:f>IF(Q452&gt;0,N452,0)</x:f>
        <x:v>0</x:v>
      </x:c>
      <x:c r="Z452" s="647" t="n">
        <x:f>IF(P452&gt;0,N452*S452,0)</x:f>
        <x:v>0</x:v>
      </x:c>
      <x:c r="AA452" s="647" t="n">
        <x:f>IF(Q452&gt;0,N452*T452,0)</x:f>
        <x:v>0</x:v>
      </x:c>
      <x:c r="AB452" s="647" t="n">
        <x:f>N452*R452</x:f>
        <x:v>0</x:v>
      </x:c>
      <x:c r="AC452" s="647" t="n">
        <x:f>IF(N452&gt;0,R452,999999)</x:f>
        <x:v>999999</x:v>
      </x:c>
      <x:c r="AD452" s="647" t="n">
        <x:f>IF(AND(N452&gt;0,P452&gt;0),S452,999999)</x:f>
        <x:v>999999</x:v>
      </x:c>
      <x:c r="AE452" s="647" t="n">
        <x:f>IF(AND(N452&gt;0,Q452&gt;0),T452,999999)</x:f>
        <x:v>999999</x:v>
      </x:c>
      <x:c r="AF452" s="648" t="n">
        <x:f>B452*D452*F452*J452</x:f>
        <x:v>0.000063</x:v>
      </x:c>
      <x:c r="AG452" s="648" t="n">
        <x:f>IF(P452&gt;0,AF452,0)</x:f>
        <x:v>0.000063</x:v>
      </x:c>
      <x:c r="AH452" s="648" t="n">
        <x:f>IF(AND(P452&gt;0,S452&lt;0),AF452,0)</x:f>
        <x:v>0</x:v>
      </x:c>
      <x:c r="AI452" s="648" t="n">
        <x:f>IF(AND(P452&gt;0,S452=0),AF452,0)</x:f>
        <x:v>0</x:v>
      </x:c>
      <x:c r="AJ452" s="648" t="n">
        <x:f>IF(R452&lt;30000,AF452,0)</x:f>
        <x:v>0</x:v>
      </x:c>
      <x:c r="AK452" s="647" t="n">
        <x:f>IF(P452&gt;0,AF452*S452,0)</x:f>
        <x:v>2.52</x:v>
      </x:c>
    </x:row>
    <x:row r="453" ht="22" customHeight="1">
      <x:c r="A453" s="19" t="str">
        <x:v>进取</x:v>
      </x:c>
      <x:c r="B453" s="23" t="n">
        <x:f>'114_降本系数'!B28</x:f>
        <x:v>0.15</x:v>
      </x:c>
      <x:c r="C453" s="19" t="str">
        <x:v>L1A</x:v>
      </x:c>
      <x:c r="D453" s="23" t="n">
        <x:f>'130_联合算法'!C17</x:f>
        <x:v>0.15</x:v>
      </x:c>
      <x:c r="E453" s="460" t="n">
        <x:f>'117_价格概率传导'!A10</x:f>
        <x:v>229900</x:v>
      </x:c>
      <x:c r="F453" s="23" t="n">
        <x:f>'117_价格概率传导'!E10</x:f>
        <x:v>0.28</x:v>
      </x:c>
      <x:c r="G453" s="23" t="n">
        <x:f>SUM('117_价格概率传导'!$E$6:$E$9)</x:f>
        <x:v>0.5700000000000001</x:v>
      </x:c>
      <x:c r="H453" s="23" t="n">
        <x:f>SUM('117_价格概率传导'!$E$6:$E$10)</x:f>
        <x:v>0.8500000000000001</x:v>
      </x:c>
      <x:c r="I453" s="460" t="n">
        <x:f>'117_价格概率传导'!A18</x:f>
        <x:v>289900</x:v>
      </x:c>
      <x:c r="J453" s="23" t="n">
        <x:f>'117_价格概率传导'!E18</x:f>
        <x:v>0.1</x:v>
      </x:c>
      <x:c r="K453" s="23" t="n">
        <x:f>SUM('117_价格概率传导'!$E$16:$E$17)</x:f>
        <x:v>0.02</x:v>
      </x:c>
      <x:c r="L453" s="23" t="n">
        <x:f>SUM('117_价格概率传导'!$E$16:$E$18)</x:f>
        <x:v>0.12000000000000001</x:v>
      </x:c>
      <x:c r="M453" s="23" t="n">
        <x:f>MAX(0,MIN(H453,L453)-MAX(G453,K453))</x:f>
        <x:v>0</x:v>
      </x:c>
      <x:c r="N453" s="23" t="n">
        <x:f>B453*D453*M453</x:f>
        <x:v>0</x:v>
      </x:c>
      <x:c r="O453" s="460" t="n">
        <x:f>MIN(299900,I453+20000)</x:f>
        <x:v>299900</x:v>
      </x:c>
      <x:c r="P453" s="460" t="n">
        <x:f>O453-30000</x:f>
        <x:v>269900</x:v>
      </x:c>
      <x:c r="Q453" s="460" t="str">
        <x:f>""</x:f>
      </x:c>
      <x:c r="R453" s="460" t="n">
        <x:f>O453-E453</x:f>
        <x:v>70000</x:v>
      </x:c>
      <x:c r="S453" s="460" t="n">
        <x:f>IF(P453&gt;0,P453-E453,"")</x:f>
        <x:v>40000</x:v>
      </x:c>
      <x:c r="T453" s="460" t="str">
        <x:f>IF(Q453&gt;0,Q453-E453,"")</x:f>
      </x:c>
      <x:c r="U453" s="23" t="n">
        <x:f>IF(R453&lt;30000,N453,0)</x:f>
        <x:v>0</x:v>
      </x:c>
      <x:c r="V453" s="23" t="n">
        <x:f>IF(P453&gt;0,N453,0)</x:f>
        <x:v>0</x:v>
      </x:c>
      <x:c r="W453" s="23" t="n">
        <x:f>IF(AND(P453&gt;0,S453&lt;0),N453,0)</x:f>
        <x:v>0</x:v>
      </x:c>
      <x:c r="X453" s="23" t="n">
        <x:f>IF(AND(P453&gt;0,S453=0),N453,0)</x:f>
        <x:v>0</x:v>
      </x:c>
      <x:c r="Y453" s="23" t="n">
        <x:f>IF(Q453&gt;0,N453,0)</x:f>
        <x:v>0</x:v>
      </x:c>
      <x:c r="Z453" s="460" t="n">
        <x:f>IF(P453&gt;0,N453*S453,0)</x:f>
        <x:v>0</x:v>
      </x:c>
      <x:c r="AA453" s="460" t="n">
        <x:f>IF(Q453&gt;0,N453*T453,0)</x:f>
        <x:v>0</x:v>
      </x:c>
      <x:c r="AB453" s="460" t="n">
        <x:f>N453*R453</x:f>
        <x:v>0</x:v>
      </x:c>
      <x:c r="AC453" s="460" t="n">
        <x:f>IF(N453&gt;0,R453,999999)</x:f>
        <x:v>999999</x:v>
      </x:c>
      <x:c r="AD453" s="460" t="n">
        <x:f>IF(AND(N453&gt;0,P453&gt;0),S453,999999)</x:f>
        <x:v>999999</x:v>
      </x:c>
      <x:c r="AE453" s="460" t="n">
        <x:f>IF(AND(N453&gt;0,Q453&gt;0),T453,999999)</x:f>
        <x:v>999999</x:v>
      </x:c>
      <x:c r="AF453" s="23" t="n">
        <x:f>B453*D453*F453*J453</x:f>
        <x:v>0.00063</x:v>
      </x:c>
      <x:c r="AG453" s="23" t="n">
        <x:f>IF(P453&gt;0,AF453,0)</x:f>
        <x:v>0.00063</x:v>
      </x:c>
      <x:c r="AH453" s="23" t="n">
        <x:f>IF(AND(P453&gt;0,S453&lt;0),AF453,0)</x:f>
        <x:v>0</x:v>
      </x:c>
      <x:c r="AI453" s="23" t="n">
        <x:f>IF(AND(P453&gt;0,S453=0),AF453,0)</x:f>
        <x:v>0</x:v>
      </x:c>
      <x:c r="AJ453" s="23" t="n">
        <x:f>IF(R453&lt;30000,AF453,0)</x:f>
        <x:v>0</x:v>
      </x:c>
      <x:c r="AK453" s="460" t="n">
        <x:f>IF(P453&gt;0,AF453*S453,0)</x:f>
        <x:v>25.2</x:v>
      </x:c>
    </x:row>
    <x:row r="454" ht="22" customHeight="1">
      <x:c r="A454" s="643" t="str">
        <x:v>进取</x:v>
      </x:c>
      <x:c r="B454" s="648" t="n">
        <x:f>'114_降本系数'!B28</x:f>
        <x:v>0.15</x:v>
      </x:c>
      <x:c r="C454" s="643" t="str">
        <x:v>L1A</x:v>
      </x:c>
      <x:c r="D454" s="648" t="n">
        <x:f>'130_联合算法'!C17</x:f>
        <x:v>0.15</x:v>
      </x:c>
      <x:c r="E454" s="647" t="n">
        <x:f>'117_价格概率传导'!A10</x:f>
        <x:v>229900</x:v>
      </x:c>
      <x:c r="F454" s="648" t="n">
        <x:f>'117_价格概率传导'!E10</x:f>
        <x:v>0.28</x:v>
      </x:c>
      <x:c r="G454" s="648" t="n">
        <x:f>SUM('117_价格概率传导'!$E$6:$E$9)</x:f>
        <x:v>0.5700000000000001</x:v>
      </x:c>
      <x:c r="H454" s="648" t="n">
        <x:f>SUM('117_价格概率传导'!$E$6:$E$10)</x:f>
        <x:v>0.8500000000000001</x:v>
      </x:c>
      <x:c r="I454" s="647" t="n">
        <x:f>'117_价格概率传导'!A19</x:f>
        <x:v>279900</x:v>
      </x:c>
      <x:c r="J454" s="648" t="n">
        <x:f>'117_价格概率传导'!E19</x:f>
        <x:v>0.3</x:v>
      </x:c>
      <x:c r="K454" s="648" t="n">
        <x:f>SUM('117_价格概率传导'!$E$16:$E$18)</x:f>
        <x:v>0.12000000000000001</x:v>
      </x:c>
      <x:c r="L454" s="648" t="n">
        <x:f>SUM('117_价格概率传导'!$E$16:$E$19)</x:f>
        <x:v>0.42</x:v>
      </x:c>
      <x:c r="M454" s="648" t="n">
        <x:f>MAX(0,MIN(H454,L454)-MAX(G454,K454))</x:f>
        <x:v>0</x:v>
      </x:c>
      <x:c r="N454" s="648" t="n">
        <x:f>B454*D454*M454</x:f>
        <x:v>0</x:v>
      </x:c>
      <x:c r="O454" s="647" t="n">
        <x:f>MIN(299900,I454+20000)</x:f>
        <x:v>299900</x:v>
      </x:c>
      <x:c r="P454" s="647" t="n">
        <x:f>O454-30000</x:f>
        <x:v>269900</x:v>
      </x:c>
      <x:c r="Q454" s="647" t="str">
        <x:f>""</x:f>
      </x:c>
      <x:c r="R454" s="647" t="n">
        <x:f>O454-E454</x:f>
        <x:v>70000</x:v>
      </x:c>
      <x:c r="S454" s="647" t="n">
        <x:f>IF(P454&gt;0,P454-E454,"")</x:f>
        <x:v>40000</x:v>
      </x:c>
      <x:c r="T454" s="647" t="str">
        <x:f>IF(Q454&gt;0,Q454-E454,"")</x:f>
      </x:c>
      <x:c r="U454" s="648" t="n">
        <x:f>IF(R454&lt;30000,N454,0)</x:f>
        <x:v>0</x:v>
      </x:c>
      <x:c r="V454" s="648" t="n">
        <x:f>IF(P454&gt;0,N454,0)</x:f>
        <x:v>0</x:v>
      </x:c>
      <x:c r="W454" s="648" t="n">
        <x:f>IF(AND(P454&gt;0,S454&lt;0),N454,0)</x:f>
        <x:v>0</x:v>
      </x:c>
      <x:c r="X454" s="648" t="n">
        <x:f>IF(AND(P454&gt;0,S454=0),N454,0)</x:f>
        <x:v>0</x:v>
      </x:c>
      <x:c r="Y454" s="648" t="n">
        <x:f>IF(Q454&gt;0,N454,0)</x:f>
        <x:v>0</x:v>
      </x:c>
      <x:c r="Z454" s="647" t="n">
        <x:f>IF(P454&gt;0,N454*S454,0)</x:f>
        <x:v>0</x:v>
      </x:c>
      <x:c r="AA454" s="647" t="n">
        <x:f>IF(Q454&gt;0,N454*T454,0)</x:f>
        <x:v>0</x:v>
      </x:c>
      <x:c r="AB454" s="647" t="n">
        <x:f>N454*R454</x:f>
        <x:v>0</x:v>
      </x:c>
      <x:c r="AC454" s="647" t="n">
        <x:f>IF(N454&gt;0,R454,999999)</x:f>
        <x:v>999999</x:v>
      </x:c>
      <x:c r="AD454" s="647" t="n">
        <x:f>IF(AND(N454&gt;0,P454&gt;0),S454,999999)</x:f>
        <x:v>999999</x:v>
      </x:c>
      <x:c r="AE454" s="647" t="n">
        <x:f>IF(AND(N454&gt;0,Q454&gt;0),T454,999999)</x:f>
        <x:v>999999</x:v>
      </x:c>
      <x:c r="AF454" s="648" t="n">
        <x:f>B454*D454*F454*J454</x:f>
        <x:v>0.00189</x:v>
      </x:c>
      <x:c r="AG454" s="648" t="n">
        <x:f>IF(P454&gt;0,AF454,0)</x:f>
        <x:v>0.00189</x:v>
      </x:c>
      <x:c r="AH454" s="648" t="n">
        <x:f>IF(AND(P454&gt;0,S454&lt;0),AF454,0)</x:f>
        <x:v>0</x:v>
      </x:c>
      <x:c r="AI454" s="648" t="n">
        <x:f>IF(AND(P454&gt;0,S454=0),AF454,0)</x:f>
        <x:v>0</x:v>
      </x:c>
      <x:c r="AJ454" s="648" t="n">
        <x:f>IF(R454&lt;30000,AF454,0)</x:f>
        <x:v>0</x:v>
      </x:c>
      <x:c r="AK454" s="647" t="n">
        <x:f>IF(P454&gt;0,AF454*S454,0)</x:f>
        <x:v>75.6</x:v>
      </x:c>
    </x:row>
    <x:row r="455" ht="22" customHeight="1">
      <x:c r="A455" s="19" t="str">
        <x:v>进取</x:v>
      </x:c>
      <x:c r="B455" s="23" t="n">
        <x:f>'114_降本系数'!B28</x:f>
        <x:v>0.15</x:v>
      </x:c>
      <x:c r="C455" s="19" t="str">
        <x:v>L1A</x:v>
      </x:c>
      <x:c r="D455" s="23" t="n">
        <x:f>'130_联合算法'!C17</x:f>
        <x:v>0.15</x:v>
      </x:c>
      <x:c r="E455" s="460" t="n">
        <x:f>'117_价格概率传导'!A10</x:f>
        <x:v>229900</x:v>
      </x:c>
      <x:c r="F455" s="23" t="n">
        <x:f>'117_价格概率传导'!E10</x:f>
        <x:v>0.28</x:v>
      </x:c>
      <x:c r="G455" s="23" t="n">
        <x:f>SUM('117_价格概率传导'!$E$6:$E$9)</x:f>
        <x:v>0.5700000000000001</x:v>
      </x:c>
      <x:c r="H455" s="23" t="n">
        <x:f>SUM('117_价格概率传导'!$E$6:$E$10)</x:f>
        <x:v>0.8500000000000001</x:v>
      </x:c>
      <x:c r="I455" s="460" t="n">
        <x:f>'117_价格概率传导'!A20</x:f>
        <x:v>269900</x:v>
      </x:c>
      <x:c r="J455" s="23" t="n">
        <x:f>'117_价格概率传导'!E20</x:f>
        <x:v>0.38</x:v>
      </x:c>
      <x:c r="K455" s="23" t="n">
        <x:f>SUM('117_价格概率传导'!$E$16:$E$19)</x:f>
        <x:v>0.42</x:v>
      </x:c>
      <x:c r="L455" s="23" t="n">
        <x:f>SUM('117_价格概率传导'!$E$16:$E$20)</x:f>
        <x:v>0.8</x:v>
      </x:c>
      <x:c r="M455" s="23" t="n">
        <x:f>MAX(0,MIN(H455,L455)-MAX(G455,K455))</x:f>
        <x:v>0.22999999999999998</x:v>
      </x:c>
      <x:c r="N455" s="23" t="n">
        <x:f>B455*D455*M455</x:f>
        <x:v>0.005174999999999999</x:v>
      </x:c>
      <x:c r="O455" s="460" t="n">
        <x:f>MIN(299900,I455+20000)</x:f>
        <x:v>289900</x:v>
      </x:c>
      <x:c r="P455" s="460" t="n">
        <x:f>O455-30000</x:f>
        <x:v>259900</x:v>
      </x:c>
      <x:c r="Q455" s="460" t="str">
        <x:f>""</x:f>
      </x:c>
      <x:c r="R455" s="460" t="n">
        <x:f>O455-E455</x:f>
        <x:v>60000</x:v>
      </x:c>
      <x:c r="S455" s="460" t="n">
        <x:f>IF(P455&gt;0,P455-E455,"")</x:f>
        <x:v>30000</x:v>
      </x:c>
      <x:c r="T455" s="460" t="str">
        <x:f>IF(Q455&gt;0,Q455-E455,"")</x:f>
      </x:c>
      <x:c r="U455" s="23" t="n">
        <x:f>IF(R455&lt;30000,N455,0)</x:f>
        <x:v>0</x:v>
      </x:c>
      <x:c r="V455" s="23" t="n">
        <x:f>IF(P455&gt;0,N455,0)</x:f>
        <x:v>0.005174999999999999</x:v>
      </x:c>
      <x:c r="W455" s="23" t="n">
        <x:f>IF(AND(P455&gt;0,S455&lt;0),N455,0)</x:f>
        <x:v>0</x:v>
      </x:c>
      <x:c r="X455" s="23" t="n">
        <x:f>IF(AND(P455&gt;0,S455=0),N455,0)</x:f>
        <x:v>0</x:v>
      </x:c>
      <x:c r="Y455" s="23" t="n">
        <x:f>IF(Q455&gt;0,N455,0)</x:f>
        <x:v>0</x:v>
      </x:c>
      <x:c r="Z455" s="460" t="n">
        <x:f>IF(P455&gt;0,N455*S455,0)</x:f>
        <x:v>155.24999999999997</x:v>
      </x:c>
      <x:c r="AA455" s="460" t="n">
        <x:f>IF(Q455&gt;0,N455*T455,0)</x:f>
        <x:v>0</x:v>
      </x:c>
      <x:c r="AB455" s="460" t="n">
        <x:f>N455*R455</x:f>
        <x:v>310.49999999999994</x:v>
      </x:c>
      <x:c r="AC455" s="460" t="n">
        <x:f>IF(N455&gt;0,R455,999999)</x:f>
        <x:v>60000</x:v>
      </x:c>
      <x:c r="AD455" s="460" t="n">
        <x:f>IF(AND(N455&gt;0,P455&gt;0),S455,999999)</x:f>
        <x:v>30000</x:v>
      </x:c>
      <x:c r="AE455" s="460" t="n">
        <x:f>IF(AND(N455&gt;0,Q455&gt;0),T455,999999)</x:f>
        <x:v>999999</x:v>
      </x:c>
      <x:c r="AF455" s="23" t="n">
        <x:f>B455*D455*F455*J455</x:f>
        <x:v>0.002394</x:v>
      </x:c>
      <x:c r="AG455" s="23" t="n">
        <x:f>IF(P455&gt;0,AF455,0)</x:f>
        <x:v>0.002394</x:v>
      </x:c>
      <x:c r="AH455" s="23" t="n">
        <x:f>IF(AND(P455&gt;0,S455&lt;0),AF455,0)</x:f>
        <x:v>0</x:v>
      </x:c>
      <x:c r="AI455" s="23" t="n">
        <x:f>IF(AND(P455&gt;0,S455=0),AF455,0)</x:f>
        <x:v>0</x:v>
      </x:c>
      <x:c r="AJ455" s="23" t="n">
        <x:f>IF(R455&lt;30000,AF455,0)</x:f>
        <x:v>0</x:v>
      </x:c>
      <x:c r="AK455" s="460" t="n">
        <x:f>IF(P455&gt;0,AF455*S455,0)</x:f>
        <x:v>71.82</x:v>
      </x:c>
    </x:row>
    <x:row r="456" ht="22" customHeight="1">
      <x:c r="A456" s="643" t="str">
        <x:v>进取</x:v>
      </x:c>
      <x:c r="B456" s="648" t="n">
        <x:f>'114_降本系数'!B28</x:f>
        <x:v>0.15</x:v>
      </x:c>
      <x:c r="C456" s="643" t="str">
        <x:v>L1A</x:v>
      </x:c>
      <x:c r="D456" s="648" t="n">
        <x:f>'130_联合算法'!C17</x:f>
        <x:v>0.15</x:v>
      </x:c>
      <x:c r="E456" s="647" t="n">
        <x:f>'117_价格概率传导'!A10</x:f>
        <x:v>229900</x:v>
      </x:c>
      <x:c r="F456" s="648" t="n">
        <x:f>'117_价格概率传导'!E10</x:f>
        <x:v>0.28</x:v>
      </x:c>
      <x:c r="G456" s="648" t="n">
        <x:f>SUM('117_价格概率传导'!$E$6:$E$9)</x:f>
        <x:v>0.5700000000000001</x:v>
      </x:c>
      <x:c r="H456" s="648" t="n">
        <x:f>SUM('117_价格概率传导'!$E$6:$E$10)</x:f>
        <x:v>0.8500000000000001</x:v>
      </x:c>
      <x:c r="I456" s="647" t="n">
        <x:f>'117_价格概率传导'!A21</x:f>
        <x:v>259900</x:v>
      </x:c>
      <x:c r="J456" s="648" t="n">
        <x:f>'117_价格概率传导'!E21</x:f>
        <x:v>0.2</x:v>
      </x:c>
      <x:c r="K456" s="648" t="n">
        <x:f>SUM('117_价格概率传导'!$E$16:$E$20)</x:f>
        <x:v>0.8</x:v>
      </x:c>
      <x:c r="L456" s="648" t="n">
        <x:f>SUM('117_价格概率传导'!$E$16:$E$21)</x:f>
        <x:v>1</x:v>
      </x:c>
      <x:c r="M456" s="648" t="n">
        <x:f>MAX(0,MIN(H456,L456)-MAX(G456,K456))</x:f>
        <x:v>0.050000000000000044</x:v>
      </x:c>
      <x:c r="N456" s="648" t="n">
        <x:f>B456*D456*M456</x:f>
        <x:v>0.001125000000000001</x:v>
      </x:c>
      <x:c r="O456" s="647" t="n">
        <x:f>MIN(299900,I456+20000)</x:f>
        <x:v>279900</x:v>
      </x:c>
      <x:c r="P456" s="647" t="n">
        <x:f>O456-30000</x:f>
        <x:v>249900</x:v>
      </x:c>
      <x:c r="Q456" s="647" t="str">
        <x:f>""</x:f>
      </x:c>
      <x:c r="R456" s="647" t="n">
        <x:f>O456-E456</x:f>
        <x:v>50000</x:v>
      </x:c>
      <x:c r="S456" s="647" t="n">
        <x:f>IF(P456&gt;0,P456-E456,"")</x:f>
        <x:v>20000</x:v>
      </x:c>
      <x:c r="T456" s="647" t="str">
        <x:f>IF(Q456&gt;0,Q456-E456,"")</x:f>
      </x:c>
      <x:c r="U456" s="648" t="n">
        <x:f>IF(R456&lt;30000,N456,0)</x:f>
        <x:v>0</x:v>
      </x:c>
      <x:c r="V456" s="648" t="n">
        <x:f>IF(P456&gt;0,N456,0)</x:f>
        <x:v>0.001125000000000001</x:v>
      </x:c>
      <x:c r="W456" s="648" t="n">
        <x:f>IF(AND(P456&gt;0,S456&lt;0),N456,0)</x:f>
        <x:v>0</x:v>
      </x:c>
      <x:c r="X456" s="648" t="n">
        <x:f>IF(AND(P456&gt;0,S456=0),N456,0)</x:f>
        <x:v>0</x:v>
      </x:c>
      <x:c r="Y456" s="648" t="n">
        <x:f>IF(Q456&gt;0,N456,0)</x:f>
        <x:v>0</x:v>
      </x:c>
      <x:c r="Z456" s="647" t="n">
        <x:f>IF(P456&gt;0,N456*S456,0)</x:f>
        <x:v>22.50000000000002</x:v>
      </x:c>
      <x:c r="AA456" s="647" t="n">
        <x:f>IF(Q456&gt;0,N456*T456,0)</x:f>
        <x:v>0</x:v>
      </x:c>
      <x:c r="AB456" s="647" t="n">
        <x:f>N456*R456</x:f>
        <x:v>56.25000000000005</x:v>
      </x:c>
      <x:c r="AC456" s="647" t="n">
        <x:f>IF(N456&gt;0,R456,999999)</x:f>
        <x:v>50000</x:v>
      </x:c>
      <x:c r="AD456" s="647" t="n">
        <x:f>IF(AND(N456&gt;0,P456&gt;0),S456,999999)</x:f>
        <x:v>20000</x:v>
      </x:c>
      <x:c r="AE456" s="647" t="n">
        <x:f>IF(AND(N456&gt;0,Q456&gt;0),T456,999999)</x:f>
        <x:v>999999</x:v>
      </x:c>
      <x:c r="AF456" s="648" t="n">
        <x:f>B456*D456*F456*J456</x:f>
        <x:v>0.00126</x:v>
      </x:c>
      <x:c r="AG456" s="648" t="n">
        <x:f>IF(P456&gt;0,AF456,0)</x:f>
        <x:v>0.00126</x:v>
      </x:c>
      <x:c r="AH456" s="648" t="n">
        <x:f>IF(AND(P456&gt;0,S456&lt;0),AF456,0)</x:f>
        <x:v>0</x:v>
      </x:c>
      <x:c r="AI456" s="648" t="n">
        <x:f>IF(AND(P456&gt;0,S456=0),AF456,0)</x:f>
        <x:v>0</x:v>
      </x:c>
      <x:c r="AJ456" s="648" t="n">
        <x:f>IF(R456&lt;30000,AF456,0)</x:f>
        <x:v>0</x:v>
      </x:c>
      <x:c r="AK456" s="647" t="n">
        <x:f>IF(P456&gt;0,AF456*S456,0)</x:f>
        <x:v>25.2</x:v>
      </x:c>
    </x:row>
    <x:row r="457" ht="22" customHeight="1">
      <x:c r="A457" s="19" t="str">
        <x:v>进取</x:v>
      </x:c>
      <x:c r="B457" s="23" t="n">
        <x:f>'114_降本系数'!B28</x:f>
        <x:v>0.15</x:v>
      </x:c>
      <x:c r="C457" s="19" t="str">
        <x:v>L1A</x:v>
      </x:c>
      <x:c r="D457" s="23" t="n">
        <x:f>'130_联合算法'!C17</x:f>
        <x:v>0.15</x:v>
      </x:c>
      <x:c r="E457" s="460" t="n">
        <x:f>'117_价格概率传导'!A11</x:f>
        <x:v>219900</x:v>
      </x:c>
      <x:c r="F457" s="23" t="n">
        <x:f>'117_价格概率传导'!E11</x:f>
        <x:v>0.15</x:v>
      </x:c>
      <x:c r="G457" s="23" t="n">
        <x:f>SUM('117_价格概率传导'!$E$6:$E$10)</x:f>
        <x:v>0.8500000000000001</x:v>
      </x:c>
      <x:c r="H457" s="23" t="n">
        <x:f>SUM('117_价格概率传导'!$E$6:$E$11)</x:f>
        <x:v>1</x:v>
      </x:c>
      <x:c r="I457" s="460" t="n">
        <x:f>'117_价格概率传导'!A16</x:f>
        <x:v>299900</x:v>
      </x:c>
      <x:c r="J457" s="23" t="n">
        <x:f>'117_价格概率传导'!E16</x:f>
        <x:v>0.01</x:v>
      </x:c>
      <x:c r="K457" s="23" t="n">
        <x:f>0</x:f>
        <x:v>0</x:v>
      </x:c>
      <x:c r="L457" s="23" t="n">
        <x:f>SUM('117_价格概率传导'!$E$16:$E$16)</x:f>
        <x:v>0.01</x:v>
      </x:c>
      <x:c r="M457" s="23" t="n">
        <x:f>MAX(0,MIN(H457,L457)-MAX(G457,K457))</x:f>
        <x:v>0</x:v>
      </x:c>
      <x:c r="N457" s="23" t="n">
        <x:f>B457*D457*M457</x:f>
        <x:v>0</x:v>
      </x:c>
      <x:c r="O457" s="460" t="n">
        <x:f>MIN(299900,I457+20000)</x:f>
        <x:v>299900</x:v>
      </x:c>
      <x:c r="P457" s="460" t="n">
        <x:f>O457-30000</x:f>
        <x:v>269900</x:v>
      </x:c>
      <x:c r="Q457" s="460" t="str">
        <x:f>""</x:f>
      </x:c>
      <x:c r="R457" s="460" t="n">
        <x:f>O457-E457</x:f>
        <x:v>80000</x:v>
      </x:c>
      <x:c r="S457" s="460" t="n">
        <x:f>IF(P457&gt;0,P457-E457,"")</x:f>
        <x:v>50000</x:v>
      </x:c>
      <x:c r="T457" s="460" t="str">
        <x:f>IF(Q457&gt;0,Q457-E457,"")</x:f>
      </x:c>
      <x:c r="U457" s="23" t="n">
        <x:f>IF(R457&lt;30000,N457,0)</x:f>
        <x:v>0</x:v>
      </x:c>
      <x:c r="V457" s="23" t="n">
        <x:f>IF(P457&gt;0,N457,0)</x:f>
        <x:v>0</x:v>
      </x:c>
      <x:c r="W457" s="23" t="n">
        <x:f>IF(AND(P457&gt;0,S457&lt;0),N457,0)</x:f>
        <x:v>0</x:v>
      </x:c>
      <x:c r="X457" s="23" t="n">
        <x:f>IF(AND(P457&gt;0,S457=0),N457,0)</x:f>
        <x:v>0</x:v>
      </x:c>
      <x:c r="Y457" s="23" t="n">
        <x:f>IF(Q457&gt;0,N457,0)</x:f>
        <x:v>0</x:v>
      </x:c>
      <x:c r="Z457" s="460" t="n">
        <x:f>IF(P457&gt;0,N457*S457,0)</x:f>
        <x:v>0</x:v>
      </x:c>
      <x:c r="AA457" s="460" t="n">
        <x:f>IF(Q457&gt;0,N457*T457,0)</x:f>
        <x:v>0</x:v>
      </x:c>
      <x:c r="AB457" s="460" t="n">
        <x:f>N457*R457</x:f>
        <x:v>0</x:v>
      </x:c>
      <x:c r="AC457" s="460" t="n">
        <x:f>IF(N457&gt;0,R457,999999)</x:f>
        <x:v>999999</x:v>
      </x:c>
      <x:c r="AD457" s="460" t="n">
        <x:f>IF(AND(N457&gt;0,P457&gt;0),S457,999999)</x:f>
        <x:v>999999</x:v>
      </x:c>
      <x:c r="AE457" s="460" t="n">
        <x:f>IF(AND(N457&gt;0,Q457&gt;0),T457,999999)</x:f>
        <x:v>999999</x:v>
      </x:c>
      <x:c r="AF457" s="23" t="n">
        <x:f>B457*D457*F457*J457</x:f>
        <x:v>0.00003375</x:v>
      </x:c>
      <x:c r="AG457" s="23" t="n">
        <x:f>IF(P457&gt;0,AF457,0)</x:f>
        <x:v>0.00003375</x:v>
      </x:c>
      <x:c r="AH457" s="23" t="n">
        <x:f>IF(AND(P457&gt;0,S457&lt;0),AF457,0)</x:f>
        <x:v>0</x:v>
      </x:c>
      <x:c r="AI457" s="23" t="n">
        <x:f>IF(AND(P457&gt;0,S457=0),AF457,0)</x:f>
        <x:v>0</x:v>
      </x:c>
      <x:c r="AJ457" s="23" t="n">
        <x:f>IF(R457&lt;30000,AF457,0)</x:f>
        <x:v>0</x:v>
      </x:c>
      <x:c r="AK457" s="460" t="n">
        <x:f>IF(P457&gt;0,AF457*S457,0)</x:f>
        <x:v>1.6875</x:v>
      </x:c>
    </x:row>
    <x:row r="458" ht="22" customHeight="1">
      <x:c r="A458" s="643" t="str">
        <x:v>进取</x:v>
      </x:c>
      <x:c r="B458" s="648" t="n">
        <x:f>'114_降本系数'!B28</x:f>
        <x:v>0.15</x:v>
      </x:c>
      <x:c r="C458" s="643" t="str">
        <x:v>L1A</x:v>
      </x:c>
      <x:c r="D458" s="648" t="n">
        <x:f>'130_联合算法'!C17</x:f>
        <x:v>0.15</x:v>
      </x:c>
      <x:c r="E458" s="647" t="n">
        <x:f>'117_价格概率传导'!A11</x:f>
        <x:v>219900</x:v>
      </x:c>
      <x:c r="F458" s="648" t="n">
        <x:f>'117_价格概率传导'!E11</x:f>
        <x:v>0.15</x:v>
      </x:c>
      <x:c r="G458" s="648" t="n">
        <x:f>SUM('117_价格概率传导'!$E$6:$E$10)</x:f>
        <x:v>0.8500000000000001</x:v>
      </x:c>
      <x:c r="H458" s="648" t="n">
        <x:f>SUM('117_价格概率传导'!$E$6:$E$11)</x:f>
        <x:v>1</x:v>
      </x:c>
      <x:c r="I458" s="647" t="n">
        <x:f>'117_价格概率传导'!A17</x:f>
        <x:v>293900</x:v>
      </x:c>
      <x:c r="J458" s="648" t="n">
        <x:f>'117_价格概率传导'!E17</x:f>
        <x:v>0.01</x:v>
      </x:c>
      <x:c r="K458" s="648" t="n">
        <x:f>SUM('117_价格概率传导'!$E$16:$E$16)</x:f>
        <x:v>0.01</x:v>
      </x:c>
      <x:c r="L458" s="648" t="n">
        <x:f>SUM('117_价格概率传导'!$E$16:$E$17)</x:f>
        <x:v>0.02</x:v>
      </x:c>
      <x:c r="M458" s="648" t="n">
        <x:f>MAX(0,MIN(H458,L458)-MAX(G458,K458))</x:f>
        <x:v>0</x:v>
      </x:c>
      <x:c r="N458" s="648" t="n">
        <x:f>B458*D458*M458</x:f>
        <x:v>0</x:v>
      </x:c>
      <x:c r="O458" s="647" t="n">
        <x:f>MIN(299900,I458+20000)</x:f>
        <x:v>299900</x:v>
      </x:c>
      <x:c r="P458" s="647" t="n">
        <x:f>O458-30000</x:f>
        <x:v>269900</x:v>
      </x:c>
      <x:c r="Q458" s="647" t="str">
        <x:f>""</x:f>
      </x:c>
      <x:c r="R458" s="647" t="n">
        <x:f>O458-E458</x:f>
        <x:v>80000</x:v>
      </x:c>
      <x:c r="S458" s="647" t="n">
        <x:f>IF(P458&gt;0,P458-E458,"")</x:f>
        <x:v>50000</x:v>
      </x:c>
      <x:c r="T458" s="647" t="str">
        <x:f>IF(Q458&gt;0,Q458-E458,"")</x:f>
      </x:c>
      <x:c r="U458" s="648" t="n">
        <x:f>IF(R458&lt;30000,N458,0)</x:f>
        <x:v>0</x:v>
      </x:c>
      <x:c r="V458" s="648" t="n">
        <x:f>IF(P458&gt;0,N458,0)</x:f>
        <x:v>0</x:v>
      </x:c>
      <x:c r="W458" s="648" t="n">
        <x:f>IF(AND(P458&gt;0,S458&lt;0),N458,0)</x:f>
        <x:v>0</x:v>
      </x:c>
      <x:c r="X458" s="648" t="n">
        <x:f>IF(AND(P458&gt;0,S458=0),N458,0)</x:f>
        <x:v>0</x:v>
      </x:c>
      <x:c r="Y458" s="648" t="n">
        <x:f>IF(Q458&gt;0,N458,0)</x:f>
        <x:v>0</x:v>
      </x:c>
      <x:c r="Z458" s="647" t="n">
        <x:f>IF(P458&gt;0,N458*S458,0)</x:f>
        <x:v>0</x:v>
      </x:c>
      <x:c r="AA458" s="647" t="n">
        <x:f>IF(Q458&gt;0,N458*T458,0)</x:f>
        <x:v>0</x:v>
      </x:c>
      <x:c r="AB458" s="647" t="n">
        <x:f>N458*R458</x:f>
        <x:v>0</x:v>
      </x:c>
      <x:c r="AC458" s="647" t="n">
        <x:f>IF(N458&gt;0,R458,999999)</x:f>
        <x:v>999999</x:v>
      </x:c>
      <x:c r="AD458" s="647" t="n">
        <x:f>IF(AND(N458&gt;0,P458&gt;0),S458,999999)</x:f>
        <x:v>999999</x:v>
      </x:c>
      <x:c r="AE458" s="647" t="n">
        <x:f>IF(AND(N458&gt;0,Q458&gt;0),T458,999999)</x:f>
        <x:v>999999</x:v>
      </x:c>
      <x:c r="AF458" s="648" t="n">
        <x:f>B458*D458*F458*J458</x:f>
        <x:v>0.00003375</x:v>
      </x:c>
      <x:c r="AG458" s="648" t="n">
        <x:f>IF(P458&gt;0,AF458,0)</x:f>
        <x:v>0.00003375</x:v>
      </x:c>
      <x:c r="AH458" s="648" t="n">
        <x:f>IF(AND(P458&gt;0,S458&lt;0),AF458,0)</x:f>
        <x:v>0</x:v>
      </x:c>
      <x:c r="AI458" s="648" t="n">
        <x:f>IF(AND(P458&gt;0,S458=0),AF458,0)</x:f>
        <x:v>0</x:v>
      </x:c>
      <x:c r="AJ458" s="648" t="n">
        <x:f>IF(R458&lt;30000,AF458,0)</x:f>
        <x:v>0</x:v>
      </x:c>
      <x:c r="AK458" s="647" t="n">
        <x:f>IF(P458&gt;0,AF458*S458,0)</x:f>
        <x:v>1.6875</x:v>
      </x:c>
    </x:row>
    <x:row r="459" ht="22" customHeight="1">
      <x:c r="A459" s="19" t="str">
        <x:v>进取</x:v>
      </x:c>
      <x:c r="B459" s="23" t="n">
        <x:f>'114_降本系数'!B28</x:f>
        <x:v>0.15</x:v>
      </x:c>
      <x:c r="C459" s="19" t="str">
        <x:v>L1A</x:v>
      </x:c>
      <x:c r="D459" s="23" t="n">
        <x:f>'130_联合算法'!C17</x:f>
        <x:v>0.15</x:v>
      </x:c>
      <x:c r="E459" s="460" t="n">
        <x:f>'117_价格概率传导'!A11</x:f>
        <x:v>219900</x:v>
      </x:c>
      <x:c r="F459" s="23" t="n">
        <x:f>'117_价格概率传导'!E11</x:f>
        <x:v>0.15</x:v>
      </x:c>
      <x:c r="G459" s="23" t="n">
        <x:f>SUM('117_价格概率传导'!$E$6:$E$10)</x:f>
        <x:v>0.8500000000000001</x:v>
      </x:c>
      <x:c r="H459" s="23" t="n">
        <x:f>SUM('117_价格概率传导'!$E$6:$E$11)</x:f>
        <x:v>1</x:v>
      </x:c>
      <x:c r="I459" s="460" t="n">
        <x:f>'117_价格概率传导'!A18</x:f>
        <x:v>289900</x:v>
      </x:c>
      <x:c r="J459" s="23" t="n">
        <x:f>'117_价格概率传导'!E18</x:f>
        <x:v>0.1</x:v>
      </x:c>
      <x:c r="K459" s="23" t="n">
        <x:f>SUM('117_价格概率传导'!$E$16:$E$17)</x:f>
        <x:v>0.02</x:v>
      </x:c>
      <x:c r="L459" s="23" t="n">
        <x:f>SUM('117_价格概率传导'!$E$16:$E$18)</x:f>
        <x:v>0.12000000000000001</x:v>
      </x:c>
      <x:c r="M459" s="23" t="n">
        <x:f>MAX(0,MIN(H459,L459)-MAX(G459,K459))</x:f>
        <x:v>0</x:v>
      </x:c>
      <x:c r="N459" s="23" t="n">
        <x:f>B459*D459*M459</x:f>
        <x:v>0</x:v>
      </x:c>
      <x:c r="O459" s="460" t="n">
        <x:f>MIN(299900,I459+20000)</x:f>
        <x:v>299900</x:v>
      </x:c>
      <x:c r="P459" s="460" t="n">
        <x:f>O459-30000</x:f>
        <x:v>269900</x:v>
      </x:c>
      <x:c r="Q459" s="460" t="str">
        <x:f>""</x:f>
      </x:c>
      <x:c r="R459" s="460" t="n">
        <x:f>O459-E459</x:f>
        <x:v>80000</x:v>
      </x:c>
      <x:c r="S459" s="460" t="n">
        <x:f>IF(P459&gt;0,P459-E459,"")</x:f>
        <x:v>50000</x:v>
      </x:c>
      <x:c r="T459" s="460" t="str">
        <x:f>IF(Q459&gt;0,Q459-E459,"")</x:f>
      </x:c>
      <x:c r="U459" s="23" t="n">
        <x:f>IF(R459&lt;30000,N459,0)</x:f>
        <x:v>0</x:v>
      </x:c>
      <x:c r="V459" s="23" t="n">
        <x:f>IF(P459&gt;0,N459,0)</x:f>
        <x:v>0</x:v>
      </x:c>
      <x:c r="W459" s="23" t="n">
        <x:f>IF(AND(P459&gt;0,S459&lt;0),N459,0)</x:f>
        <x:v>0</x:v>
      </x:c>
      <x:c r="X459" s="23" t="n">
        <x:f>IF(AND(P459&gt;0,S459=0),N459,0)</x:f>
        <x:v>0</x:v>
      </x:c>
      <x:c r="Y459" s="23" t="n">
        <x:f>IF(Q459&gt;0,N459,0)</x:f>
        <x:v>0</x:v>
      </x:c>
      <x:c r="Z459" s="460" t="n">
        <x:f>IF(P459&gt;0,N459*S459,0)</x:f>
        <x:v>0</x:v>
      </x:c>
      <x:c r="AA459" s="460" t="n">
        <x:f>IF(Q459&gt;0,N459*T459,0)</x:f>
        <x:v>0</x:v>
      </x:c>
      <x:c r="AB459" s="460" t="n">
        <x:f>N459*R459</x:f>
        <x:v>0</x:v>
      </x:c>
      <x:c r="AC459" s="460" t="n">
        <x:f>IF(N459&gt;0,R459,999999)</x:f>
        <x:v>999999</x:v>
      </x:c>
      <x:c r="AD459" s="460" t="n">
        <x:f>IF(AND(N459&gt;0,P459&gt;0),S459,999999)</x:f>
        <x:v>999999</x:v>
      </x:c>
      <x:c r="AE459" s="460" t="n">
        <x:f>IF(AND(N459&gt;0,Q459&gt;0),T459,999999)</x:f>
        <x:v>999999</x:v>
      </x:c>
      <x:c r="AF459" s="23" t="n">
        <x:f>B459*D459*F459*J459</x:f>
        <x:v>0.0003375</x:v>
      </x:c>
      <x:c r="AG459" s="23" t="n">
        <x:f>IF(P459&gt;0,AF459,0)</x:f>
        <x:v>0.0003375</x:v>
      </x:c>
      <x:c r="AH459" s="23" t="n">
        <x:f>IF(AND(P459&gt;0,S459&lt;0),AF459,0)</x:f>
        <x:v>0</x:v>
      </x:c>
      <x:c r="AI459" s="23" t="n">
        <x:f>IF(AND(P459&gt;0,S459=0),AF459,0)</x:f>
        <x:v>0</x:v>
      </x:c>
      <x:c r="AJ459" s="23" t="n">
        <x:f>IF(R459&lt;30000,AF459,0)</x:f>
        <x:v>0</x:v>
      </x:c>
      <x:c r="AK459" s="460" t="n">
        <x:f>IF(P459&gt;0,AF459*S459,0)</x:f>
        <x:v>16.875</x:v>
      </x:c>
    </x:row>
    <x:row r="460" ht="22" customHeight="1">
      <x:c r="A460" s="643" t="str">
        <x:v>进取</x:v>
      </x:c>
      <x:c r="B460" s="648" t="n">
        <x:f>'114_降本系数'!B28</x:f>
        <x:v>0.15</x:v>
      </x:c>
      <x:c r="C460" s="643" t="str">
        <x:v>L1A</x:v>
      </x:c>
      <x:c r="D460" s="648" t="n">
        <x:f>'130_联合算法'!C17</x:f>
        <x:v>0.15</x:v>
      </x:c>
      <x:c r="E460" s="647" t="n">
        <x:f>'117_价格概率传导'!A11</x:f>
        <x:v>219900</x:v>
      </x:c>
      <x:c r="F460" s="648" t="n">
        <x:f>'117_价格概率传导'!E11</x:f>
        <x:v>0.15</x:v>
      </x:c>
      <x:c r="G460" s="648" t="n">
        <x:f>SUM('117_价格概率传导'!$E$6:$E$10)</x:f>
        <x:v>0.8500000000000001</x:v>
      </x:c>
      <x:c r="H460" s="648" t="n">
        <x:f>SUM('117_价格概率传导'!$E$6:$E$11)</x:f>
        <x:v>1</x:v>
      </x:c>
      <x:c r="I460" s="647" t="n">
        <x:f>'117_价格概率传导'!A19</x:f>
        <x:v>279900</x:v>
      </x:c>
      <x:c r="J460" s="648" t="n">
        <x:f>'117_价格概率传导'!E19</x:f>
        <x:v>0.3</x:v>
      </x:c>
      <x:c r="K460" s="648" t="n">
        <x:f>SUM('117_价格概率传导'!$E$16:$E$18)</x:f>
        <x:v>0.12000000000000001</x:v>
      </x:c>
      <x:c r="L460" s="648" t="n">
        <x:f>SUM('117_价格概率传导'!$E$16:$E$19)</x:f>
        <x:v>0.42</x:v>
      </x:c>
      <x:c r="M460" s="648" t="n">
        <x:f>MAX(0,MIN(H460,L460)-MAX(G460,K460))</x:f>
        <x:v>0</x:v>
      </x:c>
      <x:c r="N460" s="648" t="n">
        <x:f>B460*D460*M460</x:f>
        <x:v>0</x:v>
      </x:c>
      <x:c r="O460" s="647" t="n">
        <x:f>MIN(299900,I460+20000)</x:f>
        <x:v>299900</x:v>
      </x:c>
      <x:c r="P460" s="647" t="n">
        <x:f>O460-30000</x:f>
        <x:v>269900</x:v>
      </x:c>
      <x:c r="Q460" s="647" t="str">
        <x:f>""</x:f>
      </x:c>
      <x:c r="R460" s="647" t="n">
        <x:f>O460-E460</x:f>
        <x:v>80000</x:v>
      </x:c>
      <x:c r="S460" s="647" t="n">
        <x:f>IF(P460&gt;0,P460-E460,"")</x:f>
        <x:v>50000</x:v>
      </x:c>
      <x:c r="T460" s="647" t="str">
        <x:f>IF(Q460&gt;0,Q460-E460,"")</x:f>
      </x:c>
      <x:c r="U460" s="648" t="n">
        <x:f>IF(R460&lt;30000,N460,0)</x:f>
        <x:v>0</x:v>
      </x:c>
      <x:c r="V460" s="648" t="n">
        <x:f>IF(P460&gt;0,N460,0)</x:f>
        <x:v>0</x:v>
      </x:c>
      <x:c r="W460" s="648" t="n">
        <x:f>IF(AND(P460&gt;0,S460&lt;0),N460,0)</x:f>
        <x:v>0</x:v>
      </x:c>
      <x:c r="X460" s="648" t="n">
        <x:f>IF(AND(P460&gt;0,S460=0),N460,0)</x:f>
        <x:v>0</x:v>
      </x:c>
      <x:c r="Y460" s="648" t="n">
        <x:f>IF(Q460&gt;0,N460,0)</x:f>
        <x:v>0</x:v>
      </x:c>
      <x:c r="Z460" s="647" t="n">
        <x:f>IF(P460&gt;0,N460*S460,0)</x:f>
        <x:v>0</x:v>
      </x:c>
      <x:c r="AA460" s="647" t="n">
        <x:f>IF(Q460&gt;0,N460*T460,0)</x:f>
        <x:v>0</x:v>
      </x:c>
      <x:c r="AB460" s="647" t="n">
        <x:f>N460*R460</x:f>
        <x:v>0</x:v>
      </x:c>
      <x:c r="AC460" s="647" t="n">
        <x:f>IF(N460&gt;0,R460,999999)</x:f>
        <x:v>999999</x:v>
      </x:c>
      <x:c r="AD460" s="647" t="n">
        <x:f>IF(AND(N460&gt;0,P460&gt;0),S460,999999)</x:f>
        <x:v>999999</x:v>
      </x:c>
      <x:c r="AE460" s="647" t="n">
        <x:f>IF(AND(N460&gt;0,Q460&gt;0),T460,999999)</x:f>
        <x:v>999999</x:v>
      </x:c>
      <x:c r="AF460" s="648" t="n">
        <x:f>B460*D460*F460*J460</x:f>
        <x:v>0.0010125</x:v>
      </x:c>
      <x:c r="AG460" s="648" t="n">
        <x:f>IF(P460&gt;0,AF460,0)</x:f>
        <x:v>0.0010125</x:v>
      </x:c>
      <x:c r="AH460" s="648" t="n">
        <x:f>IF(AND(P460&gt;0,S460&lt;0),AF460,0)</x:f>
        <x:v>0</x:v>
      </x:c>
      <x:c r="AI460" s="648" t="n">
        <x:f>IF(AND(P460&gt;0,S460=0),AF460,0)</x:f>
        <x:v>0</x:v>
      </x:c>
      <x:c r="AJ460" s="648" t="n">
        <x:f>IF(R460&lt;30000,AF460,0)</x:f>
        <x:v>0</x:v>
      </x:c>
      <x:c r="AK460" s="647" t="n">
        <x:f>IF(P460&gt;0,AF460*S460,0)</x:f>
        <x:v>50.625</x:v>
      </x:c>
    </x:row>
    <x:row r="461" ht="22" customHeight="1">
      <x:c r="A461" s="19" t="str">
        <x:v>进取</x:v>
      </x:c>
      <x:c r="B461" s="23" t="n">
        <x:f>'114_降本系数'!B28</x:f>
        <x:v>0.15</x:v>
      </x:c>
      <x:c r="C461" s="19" t="str">
        <x:v>L1A</x:v>
      </x:c>
      <x:c r="D461" s="23" t="n">
        <x:f>'130_联合算法'!C17</x:f>
        <x:v>0.15</x:v>
      </x:c>
      <x:c r="E461" s="460" t="n">
        <x:f>'117_价格概率传导'!A11</x:f>
        <x:v>219900</x:v>
      </x:c>
      <x:c r="F461" s="23" t="n">
        <x:f>'117_价格概率传导'!E11</x:f>
        <x:v>0.15</x:v>
      </x:c>
      <x:c r="G461" s="23" t="n">
        <x:f>SUM('117_价格概率传导'!$E$6:$E$10)</x:f>
        <x:v>0.8500000000000001</x:v>
      </x:c>
      <x:c r="H461" s="23" t="n">
        <x:f>SUM('117_价格概率传导'!$E$6:$E$11)</x:f>
        <x:v>1</x:v>
      </x:c>
      <x:c r="I461" s="460" t="n">
        <x:f>'117_价格概率传导'!A20</x:f>
        <x:v>269900</x:v>
      </x:c>
      <x:c r="J461" s="23" t="n">
        <x:f>'117_价格概率传导'!E20</x:f>
        <x:v>0.38</x:v>
      </x:c>
      <x:c r="K461" s="23" t="n">
        <x:f>SUM('117_价格概率传导'!$E$16:$E$19)</x:f>
        <x:v>0.42</x:v>
      </x:c>
      <x:c r="L461" s="23" t="n">
        <x:f>SUM('117_价格概率传导'!$E$16:$E$20)</x:f>
        <x:v>0.8</x:v>
      </x:c>
      <x:c r="M461" s="23" t="n">
        <x:f>MAX(0,MIN(H461,L461)-MAX(G461,K461))</x:f>
        <x:v>0</x:v>
      </x:c>
      <x:c r="N461" s="23" t="n">
        <x:f>B461*D461*M461</x:f>
        <x:v>0</x:v>
      </x:c>
      <x:c r="O461" s="460" t="n">
        <x:f>MIN(299900,I461+20000)</x:f>
        <x:v>289900</x:v>
      </x:c>
      <x:c r="P461" s="460" t="n">
        <x:f>O461-30000</x:f>
        <x:v>259900</x:v>
      </x:c>
      <x:c r="Q461" s="460" t="str">
        <x:f>""</x:f>
      </x:c>
      <x:c r="R461" s="460" t="n">
        <x:f>O461-E461</x:f>
        <x:v>70000</x:v>
      </x:c>
      <x:c r="S461" s="460" t="n">
        <x:f>IF(P461&gt;0,P461-E461,"")</x:f>
        <x:v>40000</x:v>
      </x:c>
      <x:c r="T461" s="460" t="str">
        <x:f>IF(Q461&gt;0,Q461-E461,"")</x:f>
      </x:c>
      <x:c r="U461" s="23" t="n">
        <x:f>IF(R461&lt;30000,N461,0)</x:f>
        <x:v>0</x:v>
      </x:c>
      <x:c r="V461" s="23" t="n">
        <x:f>IF(P461&gt;0,N461,0)</x:f>
        <x:v>0</x:v>
      </x:c>
      <x:c r="W461" s="23" t="n">
        <x:f>IF(AND(P461&gt;0,S461&lt;0),N461,0)</x:f>
        <x:v>0</x:v>
      </x:c>
      <x:c r="X461" s="23" t="n">
        <x:f>IF(AND(P461&gt;0,S461=0),N461,0)</x:f>
        <x:v>0</x:v>
      </x:c>
      <x:c r="Y461" s="23" t="n">
        <x:f>IF(Q461&gt;0,N461,0)</x:f>
        <x:v>0</x:v>
      </x:c>
      <x:c r="Z461" s="460" t="n">
        <x:f>IF(P461&gt;0,N461*S461,0)</x:f>
        <x:v>0</x:v>
      </x:c>
      <x:c r="AA461" s="460" t="n">
        <x:f>IF(Q461&gt;0,N461*T461,0)</x:f>
        <x:v>0</x:v>
      </x:c>
      <x:c r="AB461" s="460" t="n">
        <x:f>N461*R461</x:f>
        <x:v>0</x:v>
      </x:c>
      <x:c r="AC461" s="460" t="n">
        <x:f>IF(N461&gt;0,R461,999999)</x:f>
        <x:v>999999</x:v>
      </x:c>
      <x:c r="AD461" s="460" t="n">
        <x:f>IF(AND(N461&gt;0,P461&gt;0),S461,999999)</x:f>
        <x:v>999999</x:v>
      </x:c>
      <x:c r="AE461" s="460" t="n">
        <x:f>IF(AND(N461&gt;0,Q461&gt;0),T461,999999)</x:f>
        <x:v>999999</x:v>
      </x:c>
      <x:c r="AF461" s="23" t="n">
        <x:f>B461*D461*F461*J461</x:f>
        <x:v>0.0012825</x:v>
      </x:c>
      <x:c r="AG461" s="23" t="n">
        <x:f>IF(P461&gt;0,AF461,0)</x:f>
        <x:v>0.0012825</x:v>
      </x:c>
      <x:c r="AH461" s="23" t="n">
        <x:f>IF(AND(P461&gt;0,S461&lt;0),AF461,0)</x:f>
        <x:v>0</x:v>
      </x:c>
      <x:c r="AI461" s="23" t="n">
        <x:f>IF(AND(P461&gt;0,S461=0),AF461,0)</x:f>
        <x:v>0</x:v>
      </x:c>
      <x:c r="AJ461" s="23" t="n">
        <x:f>IF(R461&lt;30000,AF461,0)</x:f>
        <x:v>0</x:v>
      </x:c>
      <x:c r="AK461" s="460" t="n">
        <x:f>IF(P461&gt;0,AF461*S461,0)</x:f>
        <x:v>51.3</x:v>
      </x:c>
    </x:row>
    <x:row r="462" ht="22" customHeight="1">
      <x:c r="A462" s="643" t="str">
        <x:v>进取</x:v>
      </x:c>
      <x:c r="B462" s="648" t="n">
        <x:f>'114_降本系数'!B28</x:f>
        <x:v>0.15</x:v>
      </x:c>
      <x:c r="C462" s="643" t="str">
        <x:v>L1A</x:v>
      </x:c>
      <x:c r="D462" s="648" t="n">
        <x:f>'130_联合算法'!C17</x:f>
        <x:v>0.15</x:v>
      </x:c>
      <x:c r="E462" s="647" t="n">
        <x:f>'117_价格概率传导'!A11</x:f>
        <x:v>219900</x:v>
      </x:c>
      <x:c r="F462" s="648" t="n">
        <x:f>'117_价格概率传导'!E11</x:f>
        <x:v>0.15</x:v>
      </x:c>
      <x:c r="G462" s="648" t="n">
        <x:f>SUM('117_价格概率传导'!$E$6:$E$10)</x:f>
        <x:v>0.8500000000000001</x:v>
      </x:c>
      <x:c r="H462" s="648" t="n">
        <x:f>SUM('117_价格概率传导'!$E$6:$E$11)</x:f>
        <x:v>1</x:v>
      </x:c>
      <x:c r="I462" s="647" t="n">
        <x:f>'117_价格概率传导'!A21</x:f>
        <x:v>259900</x:v>
      </x:c>
      <x:c r="J462" s="648" t="n">
        <x:f>'117_价格概率传导'!E21</x:f>
        <x:v>0.2</x:v>
      </x:c>
      <x:c r="K462" s="648" t="n">
        <x:f>SUM('117_价格概率传导'!$E$16:$E$20)</x:f>
        <x:v>0.8</x:v>
      </x:c>
      <x:c r="L462" s="648" t="n">
        <x:f>SUM('117_价格概率传导'!$E$16:$E$21)</x:f>
        <x:v>1</x:v>
      </x:c>
      <x:c r="M462" s="648" t="n">
        <x:f>MAX(0,MIN(H462,L462)-MAX(G462,K462))</x:f>
        <x:v>0.1499999999999999</x:v>
      </x:c>
      <x:c r="N462" s="648" t="n">
        <x:f>B462*D462*M462</x:f>
        <x:v>0.003374999999999998</x:v>
      </x:c>
      <x:c r="O462" s="647" t="n">
        <x:f>MIN(299900,I462+20000)</x:f>
        <x:v>279900</x:v>
      </x:c>
      <x:c r="P462" s="647" t="n">
        <x:f>O462-30000</x:f>
        <x:v>249900</x:v>
      </x:c>
      <x:c r="Q462" s="647" t="str">
        <x:f>""</x:f>
      </x:c>
      <x:c r="R462" s="647" t="n">
        <x:f>O462-E462</x:f>
        <x:v>60000</x:v>
      </x:c>
      <x:c r="S462" s="647" t="n">
        <x:f>IF(P462&gt;0,P462-E462,"")</x:f>
        <x:v>30000</x:v>
      </x:c>
      <x:c r="T462" s="647" t="str">
        <x:f>IF(Q462&gt;0,Q462-E462,"")</x:f>
      </x:c>
      <x:c r="U462" s="648" t="n">
        <x:f>IF(R462&lt;30000,N462,0)</x:f>
        <x:v>0</x:v>
      </x:c>
      <x:c r="V462" s="648" t="n">
        <x:f>IF(P462&gt;0,N462,0)</x:f>
        <x:v>0.003374999999999998</x:v>
      </x:c>
      <x:c r="W462" s="648" t="n">
        <x:f>IF(AND(P462&gt;0,S462&lt;0),N462,0)</x:f>
        <x:v>0</x:v>
      </x:c>
      <x:c r="X462" s="648" t="n">
        <x:f>IF(AND(P462&gt;0,S462=0),N462,0)</x:f>
        <x:v>0</x:v>
      </x:c>
      <x:c r="Y462" s="648" t="n">
        <x:f>IF(Q462&gt;0,N462,0)</x:f>
        <x:v>0</x:v>
      </x:c>
      <x:c r="Z462" s="647" t="n">
        <x:f>IF(P462&gt;0,N462*S462,0)</x:f>
        <x:v>101.24999999999993</x:v>
      </x:c>
      <x:c r="AA462" s="647" t="n">
        <x:f>IF(Q462&gt;0,N462*T462,0)</x:f>
        <x:v>0</x:v>
      </x:c>
      <x:c r="AB462" s="647" t="n">
        <x:f>N462*R462</x:f>
        <x:v>202.49999999999986</x:v>
      </x:c>
      <x:c r="AC462" s="647" t="n">
        <x:f>IF(N462&gt;0,R462,999999)</x:f>
        <x:v>60000</x:v>
      </x:c>
      <x:c r="AD462" s="647" t="n">
        <x:f>IF(AND(N462&gt;0,P462&gt;0),S462,999999)</x:f>
        <x:v>30000</x:v>
      </x:c>
      <x:c r="AE462" s="647" t="n">
        <x:f>IF(AND(N462&gt;0,Q462&gt;0),T462,999999)</x:f>
        <x:v>999999</x:v>
      </x:c>
      <x:c r="AF462" s="648" t="n">
        <x:f>B462*D462*F462*J462</x:f>
        <x:v>0.000675</x:v>
      </x:c>
      <x:c r="AG462" s="648" t="n">
        <x:f>IF(P462&gt;0,AF462,0)</x:f>
        <x:v>0.000675</x:v>
      </x:c>
      <x:c r="AH462" s="648" t="n">
        <x:f>IF(AND(P462&gt;0,S462&lt;0),AF462,0)</x:f>
        <x:v>0</x:v>
      </x:c>
      <x:c r="AI462" s="648" t="n">
        <x:f>IF(AND(P462&gt;0,S462=0),AF462,0)</x:f>
        <x:v>0</x:v>
      </x:c>
      <x:c r="AJ462" s="648" t="n">
        <x:f>IF(R462&lt;30000,AF462,0)</x:f>
        <x:v>0</x:v>
      </x:c>
      <x:c r="AK462" s="647" t="n">
        <x:f>IF(P462&gt;0,AF462*S462,0)</x:f>
        <x:v>20.25</x:v>
      </x:c>
    </x:row>
    <x:row r="463" ht="22" customHeight="1">
      <x:c r="A463" s="19" t="str">
        <x:v>进取</x:v>
      </x:c>
      <x:c r="B463" s="23" t="n">
        <x:f>'114_降本系数'!B28</x:f>
        <x:v>0.15</x:v>
      </x:c>
      <x:c r="C463" s="19" t="str">
        <x:v>L1B</x:v>
      </x:c>
      <x:c r="D463" s="23" t="n">
        <x:f>'130_联合算法'!C18</x:f>
        <x:v>0.1</x:v>
      </x:c>
      <x:c r="E463" s="460" t="n">
        <x:f>'117_价格概率传导'!A6</x:f>
        <x:v>259900</x:v>
      </x:c>
      <x:c r="F463" s="23" t="n">
        <x:f>'117_价格概率传导'!E6</x:f>
        <x:v>0.01</x:v>
      </x:c>
      <x:c r="G463" s="23" t="n">
        <x:f>0</x:f>
        <x:v>0</x:v>
      </x:c>
      <x:c r="H463" s="23" t="n">
        <x:f>SUM('117_价格概率传导'!$E$6:$E$6)</x:f>
        <x:v>0.01</x:v>
      </x:c>
      <x:c r="I463" s="460" t="n">
        <x:f>'117_价格概率传导'!A16</x:f>
        <x:v>299900</x:v>
      </x:c>
      <x:c r="J463" s="23" t="n">
        <x:f>'117_价格概率传导'!E16</x:f>
        <x:v>0.01</x:v>
      </x:c>
      <x:c r="K463" s="23" t="n">
        <x:f>0</x:f>
        <x:v>0</x:v>
      </x:c>
      <x:c r="L463" s="23" t="n">
        <x:f>SUM('117_价格概率传导'!$E$16:$E$16)</x:f>
        <x:v>0.01</x:v>
      </x:c>
      <x:c r="M463" s="23" t="n">
        <x:f>MAX(0,MIN(H463,L463)-MAX(G463,K463))</x:f>
        <x:v>0.01</x:v>
      </x:c>
      <x:c r="N463" s="23" t="n">
        <x:f>B463*D463*M463</x:f>
        <x:v>0.00015</x:v>
      </x:c>
      <x:c r="O463" s="460" t="n">
        <x:f>MIN(289900,I463+10000)</x:f>
        <x:v>289900</x:v>
      </x:c>
      <x:c r="P463" s="460" t="n">
        <x:f>O463-30000</x:f>
        <x:v>259900</x:v>
      </x:c>
      <x:c r="Q463" s="460" t="str">
        <x:f>""</x:f>
      </x:c>
      <x:c r="R463" s="460" t="n">
        <x:f>O463-E463</x:f>
        <x:v>30000</x:v>
      </x:c>
      <x:c r="S463" s="460" t="n">
        <x:f>IF(P463&gt;0,P463-E463,"")</x:f>
        <x:v>0</x:v>
      </x:c>
      <x:c r="T463" s="460" t="str">
        <x:f>IF(Q463&gt;0,Q463-E463,"")</x:f>
      </x:c>
      <x:c r="U463" s="23" t="n">
        <x:f>IF(R463&lt;30000,N463,0)</x:f>
        <x:v>0</x:v>
      </x:c>
      <x:c r="V463" s="23" t="n">
        <x:f>IF(P463&gt;0,N463,0)</x:f>
        <x:v>0.00015</x:v>
      </x:c>
      <x:c r="W463" s="23" t="n">
        <x:f>IF(AND(P463&gt;0,S463&lt;0),N463,0)</x:f>
        <x:v>0</x:v>
      </x:c>
      <x:c r="X463" s="23" t="n">
        <x:f>IF(AND(P463&gt;0,S463=0),N463,0)</x:f>
        <x:v>0.00015</x:v>
      </x:c>
      <x:c r="Y463" s="23" t="n">
        <x:f>IF(Q463&gt;0,N463,0)</x:f>
        <x:v>0</x:v>
      </x:c>
      <x:c r="Z463" s="460" t="n">
        <x:f>IF(P463&gt;0,N463*S463,0)</x:f>
        <x:v>0</x:v>
      </x:c>
      <x:c r="AA463" s="460" t="n">
        <x:f>IF(Q463&gt;0,N463*T463,0)</x:f>
        <x:v>0</x:v>
      </x:c>
      <x:c r="AB463" s="460" t="n">
        <x:f>N463*R463</x:f>
        <x:v>4.5</x:v>
      </x:c>
      <x:c r="AC463" s="460" t="n">
        <x:f>IF(N463&gt;0,R463,999999)</x:f>
        <x:v>30000</x:v>
      </x:c>
      <x:c r="AD463" s="460" t="n">
        <x:f>IF(AND(N463&gt;0,P463&gt;0),S463,999999)</x:f>
        <x:v>0</x:v>
      </x:c>
      <x:c r="AE463" s="460" t="n">
        <x:f>IF(AND(N463&gt;0,Q463&gt;0),T463,999999)</x:f>
        <x:v>999999</x:v>
      </x:c>
      <x:c r="AF463" s="23" t="n">
        <x:f>B463*D463*F463*J463</x:f>
        <x:v>0.0000014999999999999998</x:v>
      </x:c>
      <x:c r="AG463" s="23" t="n">
        <x:f>IF(P463&gt;0,AF463,0)</x:f>
        <x:v>0.0000014999999999999998</x:v>
      </x:c>
      <x:c r="AH463" s="23" t="n">
        <x:f>IF(AND(P463&gt;0,S463&lt;0),AF463,0)</x:f>
        <x:v>0</x:v>
      </x:c>
      <x:c r="AI463" s="23" t="n">
        <x:f>IF(AND(P463&gt;0,S463=0),AF463,0)</x:f>
        <x:v>0.0000014999999999999998</x:v>
      </x:c>
      <x:c r="AJ463" s="23" t="n">
        <x:f>IF(R463&lt;30000,AF463,0)</x:f>
        <x:v>0</x:v>
      </x:c>
      <x:c r="AK463" s="460" t="n">
        <x:f>IF(P463&gt;0,AF463*S463,0)</x:f>
        <x:v>0</x:v>
      </x:c>
    </x:row>
    <x:row r="464" ht="22" customHeight="1">
      <x:c r="A464" s="643" t="str">
        <x:v>进取</x:v>
      </x:c>
      <x:c r="B464" s="648" t="n">
        <x:f>'114_降本系数'!B28</x:f>
        <x:v>0.15</x:v>
      </x:c>
      <x:c r="C464" s="643" t="str">
        <x:v>L1B</x:v>
      </x:c>
      <x:c r="D464" s="648" t="n">
        <x:f>'130_联合算法'!C18</x:f>
        <x:v>0.1</x:v>
      </x:c>
      <x:c r="E464" s="647" t="n">
        <x:f>'117_价格概率传导'!A6</x:f>
        <x:v>259900</x:v>
      </x:c>
      <x:c r="F464" s="648" t="n">
        <x:f>'117_价格概率传导'!E6</x:f>
        <x:v>0.01</x:v>
      </x:c>
      <x:c r="G464" s="648" t="n">
        <x:f>0</x:f>
        <x:v>0</x:v>
      </x:c>
      <x:c r="H464" s="648" t="n">
        <x:f>SUM('117_价格概率传导'!$E$6:$E$6)</x:f>
        <x:v>0.01</x:v>
      </x:c>
      <x:c r="I464" s="647" t="n">
        <x:f>'117_价格概率传导'!A17</x:f>
        <x:v>293900</x:v>
      </x:c>
      <x:c r="J464" s="648" t="n">
        <x:f>'117_价格概率传导'!E17</x:f>
        <x:v>0.01</x:v>
      </x:c>
      <x:c r="K464" s="648" t="n">
        <x:f>SUM('117_价格概率传导'!$E$16:$E$16)</x:f>
        <x:v>0.01</x:v>
      </x:c>
      <x:c r="L464" s="648" t="n">
        <x:f>SUM('117_价格概率传导'!$E$16:$E$17)</x:f>
        <x:v>0.02</x:v>
      </x:c>
      <x:c r="M464" s="648" t="n">
        <x:f>MAX(0,MIN(H464,L464)-MAX(G464,K464))</x:f>
        <x:v>0</x:v>
      </x:c>
      <x:c r="N464" s="648" t="n">
        <x:f>B464*D464*M464</x:f>
        <x:v>0</x:v>
      </x:c>
      <x:c r="O464" s="647" t="n">
        <x:f>MIN(289900,I464+10000)</x:f>
        <x:v>289900</x:v>
      </x:c>
      <x:c r="P464" s="647" t="n">
        <x:f>O464-30000</x:f>
        <x:v>259900</x:v>
      </x:c>
      <x:c r="Q464" s="647" t="str">
        <x:f>""</x:f>
      </x:c>
      <x:c r="R464" s="647" t="n">
        <x:f>O464-E464</x:f>
        <x:v>30000</x:v>
      </x:c>
      <x:c r="S464" s="647" t="n">
        <x:f>IF(P464&gt;0,P464-E464,"")</x:f>
        <x:v>0</x:v>
      </x:c>
      <x:c r="T464" s="647" t="str">
        <x:f>IF(Q464&gt;0,Q464-E464,"")</x:f>
      </x:c>
      <x:c r="U464" s="648" t="n">
        <x:f>IF(R464&lt;30000,N464,0)</x:f>
        <x:v>0</x:v>
      </x:c>
      <x:c r="V464" s="648" t="n">
        <x:f>IF(P464&gt;0,N464,0)</x:f>
        <x:v>0</x:v>
      </x:c>
      <x:c r="W464" s="648" t="n">
        <x:f>IF(AND(P464&gt;0,S464&lt;0),N464,0)</x:f>
        <x:v>0</x:v>
      </x:c>
      <x:c r="X464" s="648" t="n">
        <x:f>IF(AND(P464&gt;0,S464=0),N464,0)</x:f>
        <x:v>0</x:v>
      </x:c>
      <x:c r="Y464" s="648" t="n">
        <x:f>IF(Q464&gt;0,N464,0)</x:f>
        <x:v>0</x:v>
      </x:c>
      <x:c r="Z464" s="647" t="n">
        <x:f>IF(P464&gt;0,N464*S464,0)</x:f>
        <x:v>0</x:v>
      </x:c>
      <x:c r="AA464" s="647" t="n">
        <x:f>IF(Q464&gt;0,N464*T464,0)</x:f>
        <x:v>0</x:v>
      </x:c>
      <x:c r="AB464" s="647" t="n">
        <x:f>N464*R464</x:f>
        <x:v>0</x:v>
      </x:c>
      <x:c r="AC464" s="647" t="n">
        <x:f>IF(N464&gt;0,R464,999999)</x:f>
        <x:v>999999</x:v>
      </x:c>
      <x:c r="AD464" s="647" t="n">
        <x:f>IF(AND(N464&gt;0,P464&gt;0),S464,999999)</x:f>
        <x:v>999999</x:v>
      </x:c>
      <x:c r="AE464" s="647" t="n">
        <x:f>IF(AND(N464&gt;0,Q464&gt;0),T464,999999)</x:f>
        <x:v>999999</x:v>
      </x:c>
      <x:c r="AF464" s="648" t="n">
        <x:f>B464*D464*F464*J464</x:f>
        <x:v>0.0000014999999999999998</x:v>
      </x:c>
      <x:c r="AG464" s="648" t="n">
        <x:f>IF(P464&gt;0,AF464,0)</x:f>
        <x:v>0.0000014999999999999998</x:v>
      </x:c>
      <x:c r="AH464" s="648" t="n">
        <x:f>IF(AND(P464&gt;0,S464&lt;0),AF464,0)</x:f>
        <x:v>0</x:v>
      </x:c>
      <x:c r="AI464" s="648" t="n">
        <x:f>IF(AND(P464&gt;0,S464=0),AF464,0)</x:f>
        <x:v>0.0000014999999999999998</x:v>
      </x:c>
      <x:c r="AJ464" s="648" t="n">
        <x:f>IF(R464&lt;30000,AF464,0)</x:f>
        <x:v>0</x:v>
      </x:c>
      <x:c r="AK464" s="647" t="n">
        <x:f>IF(P464&gt;0,AF464*S464,0)</x:f>
        <x:v>0</x:v>
      </x:c>
    </x:row>
    <x:row r="465" ht="22" customHeight="1">
      <x:c r="A465" s="19" t="str">
        <x:v>进取</x:v>
      </x:c>
      <x:c r="B465" s="23" t="n">
        <x:f>'114_降本系数'!B28</x:f>
        <x:v>0.15</x:v>
      </x:c>
      <x:c r="C465" s="19" t="str">
        <x:v>L1B</x:v>
      </x:c>
      <x:c r="D465" s="23" t="n">
        <x:f>'130_联合算法'!C18</x:f>
        <x:v>0.1</x:v>
      </x:c>
      <x:c r="E465" s="460" t="n">
        <x:f>'117_价格概率传导'!A6</x:f>
        <x:v>259900</x:v>
      </x:c>
      <x:c r="F465" s="23" t="n">
        <x:f>'117_价格概率传导'!E6</x:f>
        <x:v>0.01</x:v>
      </x:c>
      <x:c r="G465" s="23" t="n">
        <x:f>0</x:f>
        <x:v>0</x:v>
      </x:c>
      <x:c r="H465" s="23" t="n">
        <x:f>SUM('117_价格概率传导'!$E$6:$E$6)</x:f>
        <x:v>0.01</x:v>
      </x:c>
      <x:c r="I465" s="460" t="n">
        <x:f>'117_价格概率传导'!A18</x:f>
        <x:v>289900</x:v>
      </x:c>
      <x:c r="J465" s="23" t="n">
        <x:f>'117_价格概率传导'!E18</x:f>
        <x:v>0.1</x:v>
      </x:c>
      <x:c r="K465" s="23" t="n">
        <x:f>SUM('117_价格概率传导'!$E$16:$E$17)</x:f>
        <x:v>0.02</x:v>
      </x:c>
      <x:c r="L465" s="23" t="n">
        <x:f>SUM('117_价格概率传导'!$E$16:$E$18)</x:f>
        <x:v>0.12000000000000001</x:v>
      </x:c>
      <x:c r="M465" s="23" t="n">
        <x:f>MAX(0,MIN(H465,L465)-MAX(G465,K465))</x:f>
        <x:v>0</x:v>
      </x:c>
      <x:c r="N465" s="23" t="n">
        <x:f>B465*D465*M465</x:f>
        <x:v>0</x:v>
      </x:c>
      <x:c r="O465" s="460" t="n">
        <x:f>MIN(289900,I465+10000)</x:f>
        <x:v>289900</x:v>
      </x:c>
      <x:c r="P465" s="460" t="n">
        <x:f>O465-30000</x:f>
        <x:v>259900</x:v>
      </x:c>
      <x:c r="Q465" s="460" t="str">
        <x:f>""</x:f>
      </x:c>
      <x:c r="R465" s="460" t="n">
        <x:f>O465-E465</x:f>
        <x:v>30000</x:v>
      </x:c>
      <x:c r="S465" s="460" t="n">
        <x:f>IF(P465&gt;0,P465-E465,"")</x:f>
        <x:v>0</x:v>
      </x:c>
      <x:c r="T465" s="460" t="str">
        <x:f>IF(Q465&gt;0,Q465-E465,"")</x:f>
      </x:c>
      <x:c r="U465" s="23" t="n">
        <x:f>IF(R465&lt;30000,N465,0)</x:f>
        <x:v>0</x:v>
      </x:c>
      <x:c r="V465" s="23" t="n">
        <x:f>IF(P465&gt;0,N465,0)</x:f>
        <x:v>0</x:v>
      </x:c>
      <x:c r="W465" s="23" t="n">
        <x:f>IF(AND(P465&gt;0,S465&lt;0),N465,0)</x:f>
        <x:v>0</x:v>
      </x:c>
      <x:c r="X465" s="23" t="n">
        <x:f>IF(AND(P465&gt;0,S465=0),N465,0)</x:f>
        <x:v>0</x:v>
      </x:c>
      <x:c r="Y465" s="23" t="n">
        <x:f>IF(Q465&gt;0,N465,0)</x:f>
        <x:v>0</x:v>
      </x:c>
      <x:c r="Z465" s="460" t="n">
        <x:f>IF(P465&gt;0,N465*S465,0)</x:f>
        <x:v>0</x:v>
      </x:c>
      <x:c r="AA465" s="460" t="n">
        <x:f>IF(Q465&gt;0,N465*T465,0)</x:f>
        <x:v>0</x:v>
      </x:c>
      <x:c r="AB465" s="460" t="n">
        <x:f>N465*R465</x:f>
        <x:v>0</x:v>
      </x:c>
      <x:c r="AC465" s="460" t="n">
        <x:f>IF(N465&gt;0,R465,999999)</x:f>
        <x:v>999999</x:v>
      </x:c>
      <x:c r="AD465" s="460" t="n">
        <x:f>IF(AND(N465&gt;0,P465&gt;0),S465,999999)</x:f>
        <x:v>999999</x:v>
      </x:c>
      <x:c r="AE465" s="460" t="n">
        <x:f>IF(AND(N465&gt;0,Q465&gt;0),T465,999999)</x:f>
        <x:v>999999</x:v>
      </x:c>
      <x:c r="AF465" s="23" t="n">
        <x:f>B465*D465*F465*J465</x:f>
        <x:v>0.000014999999999999999</x:v>
      </x:c>
      <x:c r="AG465" s="23" t="n">
        <x:f>IF(P465&gt;0,AF465,0)</x:f>
        <x:v>0.000014999999999999999</x:v>
      </x:c>
      <x:c r="AH465" s="23" t="n">
        <x:f>IF(AND(P465&gt;0,S465&lt;0),AF465,0)</x:f>
        <x:v>0</x:v>
      </x:c>
      <x:c r="AI465" s="23" t="n">
        <x:f>IF(AND(P465&gt;0,S465=0),AF465,0)</x:f>
        <x:v>0.000014999999999999999</x:v>
      </x:c>
      <x:c r="AJ465" s="23" t="n">
        <x:f>IF(R465&lt;30000,AF465,0)</x:f>
        <x:v>0</x:v>
      </x:c>
      <x:c r="AK465" s="460" t="n">
        <x:f>IF(P465&gt;0,AF465*S465,0)</x:f>
        <x:v>0</x:v>
      </x:c>
    </x:row>
    <x:row r="466" ht="22" customHeight="1">
      <x:c r="A466" s="643" t="str">
        <x:v>进取</x:v>
      </x:c>
      <x:c r="B466" s="648" t="n">
        <x:f>'114_降本系数'!B28</x:f>
        <x:v>0.15</x:v>
      </x:c>
      <x:c r="C466" s="643" t="str">
        <x:v>L1B</x:v>
      </x:c>
      <x:c r="D466" s="648" t="n">
        <x:f>'130_联合算法'!C18</x:f>
        <x:v>0.1</x:v>
      </x:c>
      <x:c r="E466" s="647" t="n">
        <x:f>'117_价格概率传导'!A6</x:f>
        <x:v>259900</x:v>
      </x:c>
      <x:c r="F466" s="648" t="n">
        <x:f>'117_价格概率传导'!E6</x:f>
        <x:v>0.01</x:v>
      </x:c>
      <x:c r="G466" s="648" t="n">
        <x:f>0</x:f>
        <x:v>0</x:v>
      </x:c>
      <x:c r="H466" s="648" t="n">
        <x:f>SUM('117_价格概率传导'!$E$6:$E$6)</x:f>
        <x:v>0.01</x:v>
      </x:c>
      <x:c r="I466" s="647" t="n">
        <x:f>'117_价格概率传导'!A19</x:f>
        <x:v>279900</x:v>
      </x:c>
      <x:c r="J466" s="648" t="n">
        <x:f>'117_价格概率传导'!E19</x:f>
        <x:v>0.3</x:v>
      </x:c>
      <x:c r="K466" s="648" t="n">
        <x:f>SUM('117_价格概率传导'!$E$16:$E$18)</x:f>
        <x:v>0.12000000000000001</x:v>
      </x:c>
      <x:c r="L466" s="648" t="n">
        <x:f>SUM('117_价格概率传导'!$E$16:$E$19)</x:f>
        <x:v>0.42</x:v>
      </x:c>
      <x:c r="M466" s="648" t="n">
        <x:f>MAX(0,MIN(H466,L466)-MAX(G466,K466))</x:f>
        <x:v>0</x:v>
      </x:c>
      <x:c r="N466" s="648" t="n">
        <x:f>B466*D466*M466</x:f>
        <x:v>0</x:v>
      </x:c>
      <x:c r="O466" s="647" t="n">
        <x:f>MIN(289900,I466+10000)</x:f>
        <x:v>289900</x:v>
      </x:c>
      <x:c r="P466" s="647" t="n">
        <x:f>O466-30000</x:f>
        <x:v>259900</x:v>
      </x:c>
      <x:c r="Q466" s="647" t="str">
        <x:f>""</x:f>
      </x:c>
      <x:c r="R466" s="647" t="n">
        <x:f>O466-E466</x:f>
        <x:v>30000</x:v>
      </x:c>
      <x:c r="S466" s="647" t="n">
        <x:f>IF(P466&gt;0,P466-E466,"")</x:f>
        <x:v>0</x:v>
      </x:c>
      <x:c r="T466" s="647" t="str">
        <x:f>IF(Q466&gt;0,Q466-E466,"")</x:f>
      </x:c>
      <x:c r="U466" s="648" t="n">
        <x:f>IF(R466&lt;30000,N466,0)</x:f>
        <x:v>0</x:v>
      </x:c>
      <x:c r="V466" s="648" t="n">
        <x:f>IF(P466&gt;0,N466,0)</x:f>
        <x:v>0</x:v>
      </x:c>
      <x:c r="W466" s="648" t="n">
        <x:f>IF(AND(P466&gt;0,S466&lt;0),N466,0)</x:f>
        <x:v>0</x:v>
      </x:c>
      <x:c r="X466" s="648" t="n">
        <x:f>IF(AND(P466&gt;0,S466=0),N466,0)</x:f>
        <x:v>0</x:v>
      </x:c>
      <x:c r="Y466" s="648" t="n">
        <x:f>IF(Q466&gt;0,N466,0)</x:f>
        <x:v>0</x:v>
      </x:c>
      <x:c r="Z466" s="647" t="n">
        <x:f>IF(P466&gt;0,N466*S466,0)</x:f>
        <x:v>0</x:v>
      </x:c>
      <x:c r="AA466" s="647" t="n">
        <x:f>IF(Q466&gt;0,N466*T466,0)</x:f>
        <x:v>0</x:v>
      </x:c>
      <x:c r="AB466" s="647" t="n">
        <x:f>N466*R466</x:f>
        <x:v>0</x:v>
      </x:c>
      <x:c r="AC466" s="647" t="n">
        <x:f>IF(N466&gt;0,R466,999999)</x:f>
        <x:v>999999</x:v>
      </x:c>
      <x:c r="AD466" s="647" t="n">
        <x:f>IF(AND(N466&gt;0,P466&gt;0),S466,999999)</x:f>
        <x:v>999999</x:v>
      </x:c>
      <x:c r="AE466" s="647" t="n">
        <x:f>IF(AND(N466&gt;0,Q466&gt;0),T466,999999)</x:f>
        <x:v>999999</x:v>
      </x:c>
      <x:c r="AF466" s="648" t="n">
        <x:f>B466*D466*F466*J466</x:f>
        <x:v>0.000044999999999999996</x:v>
      </x:c>
      <x:c r="AG466" s="648" t="n">
        <x:f>IF(P466&gt;0,AF466,0)</x:f>
        <x:v>0.000044999999999999996</x:v>
      </x:c>
      <x:c r="AH466" s="648" t="n">
        <x:f>IF(AND(P466&gt;0,S466&lt;0),AF466,0)</x:f>
        <x:v>0</x:v>
      </x:c>
      <x:c r="AI466" s="648" t="n">
        <x:f>IF(AND(P466&gt;0,S466=0),AF466,0)</x:f>
        <x:v>0.000044999999999999996</x:v>
      </x:c>
      <x:c r="AJ466" s="648" t="n">
        <x:f>IF(R466&lt;30000,AF466,0)</x:f>
        <x:v>0</x:v>
      </x:c>
      <x:c r="AK466" s="647" t="n">
        <x:f>IF(P466&gt;0,AF466*S466,0)</x:f>
        <x:v>0</x:v>
      </x:c>
    </x:row>
    <x:row r="467" ht="22" customHeight="1">
      <x:c r="A467" s="19" t="str">
        <x:v>进取</x:v>
      </x:c>
      <x:c r="B467" s="23" t="n">
        <x:f>'114_降本系数'!B28</x:f>
        <x:v>0.15</x:v>
      </x:c>
      <x:c r="C467" s="19" t="str">
        <x:v>L1B</x:v>
      </x:c>
      <x:c r="D467" s="23" t="n">
        <x:f>'130_联合算法'!C18</x:f>
        <x:v>0.1</x:v>
      </x:c>
      <x:c r="E467" s="460" t="n">
        <x:f>'117_价格概率传导'!A6</x:f>
        <x:v>259900</x:v>
      </x:c>
      <x:c r="F467" s="23" t="n">
        <x:f>'117_价格概率传导'!E6</x:f>
        <x:v>0.01</x:v>
      </x:c>
      <x:c r="G467" s="23" t="n">
        <x:f>0</x:f>
        <x:v>0</x:v>
      </x:c>
      <x:c r="H467" s="23" t="n">
        <x:f>SUM('117_价格概率传导'!$E$6:$E$6)</x:f>
        <x:v>0.01</x:v>
      </x:c>
      <x:c r="I467" s="460" t="n">
        <x:f>'117_价格概率传导'!A20</x:f>
        <x:v>269900</x:v>
      </x:c>
      <x:c r="J467" s="23" t="n">
        <x:f>'117_价格概率传导'!E20</x:f>
        <x:v>0.38</x:v>
      </x:c>
      <x:c r="K467" s="23" t="n">
        <x:f>SUM('117_价格概率传导'!$E$16:$E$19)</x:f>
        <x:v>0.42</x:v>
      </x:c>
      <x:c r="L467" s="23" t="n">
        <x:f>SUM('117_价格概率传导'!$E$16:$E$20)</x:f>
        <x:v>0.8</x:v>
      </x:c>
      <x:c r="M467" s="23" t="n">
        <x:f>MAX(0,MIN(H467,L467)-MAX(G467,K467))</x:f>
        <x:v>0</x:v>
      </x:c>
      <x:c r="N467" s="23" t="n">
        <x:f>B467*D467*M467</x:f>
        <x:v>0</x:v>
      </x:c>
      <x:c r="O467" s="460" t="n">
        <x:f>MIN(289900,I467+10000)</x:f>
        <x:v>279900</x:v>
      </x:c>
      <x:c r="P467" s="460" t="n">
        <x:f>O467-30000</x:f>
        <x:v>249900</x:v>
      </x:c>
      <x:c r="Q467" s="460" t="str">
        <x:f>""</x:f>
      </x:c>
      <x:c r="R467" s="460" t="n">
        <x:f>O467-E467</x:f>
        <x:v>20000</x:v>
      </x:c>
      <x:c r="S467" s="460" t="n">
        <x:f>IF(P467&gt;0,P467-E467,"")</x:f>
        <x:v>-10000</x:v>
      </x:c>
      <x:c r="T467" s="460" t="str">
        <x:f>IF(Q467&gt;0,Q467-E467,"")</x:f>
      </x:c>
      <x:c r="U467" s="23" t="n">
        <x:f>IF(R467&lt;30000,N467,0)</x:f>
        <x:v>0</x:v>
      </x:c>
      <x:c r="V467" s="23" t="n">
        <x:f>IF(P467&gt;0,N467,0)</x:f>
        <x:v>0</x:v>
      </x:c>
      <x:c r="W467" s="23" t="n">
        <x:f>IF(AND(P467&gt;0,S467&lt;0),N467,0)</x:f>
        <x:v>0</x:v>
      </x:c>
      <x:c r="X467" s="23" t="n">
        <x:f>IF(AND(P467&gt;0,S467=0),N467,0)</x:f>
        <x:v>0</x:v>
      </x:c>
      <x:c r="Y467" s="23" t="n">
        <x:f>IF(Q467&gt;0,N467,0)</x:f>
        <x:v>0</x:v>
      </x:c>
      <x:c r="Z467" s="460" t="n">
        <x:f>IF(P467&gt;0,N467*S467,0)</x:f>
        <x:v>0</x:v>
      </x:c>
      <x:c r="AA467" s="460" t="n">
        <x:f>IF(Q467&gt;0,N467*T467,0)</x:f>
        <x:v>0</x:v>
      </x:c>
      <x:c r="AB467" s="460" t="n">
        <x:f>N467*R467</x:f>
        <x:v>0</x:v>
      </x:c>
      <x:c r="AC467" s="460" t="n">
        <x:f>IF(N467&gt;0,R467,999999)</x:f>
        <x:v>999999</x:v>
      </x:c>
      <x:c r="AD467" s="460" t="n">
        <x:f>IF(AND(N467&gt;0,P467&gt;0),S467,999999)</x:f>
        <x:v>999999</x:v>
      </x:c>
      <x:c r="AE467" s="460" t="n">
        <x:f>IF(AND(N467&gt;0,Q467&gt;0),T467,999999)</x:f>
        <x:v>999999</x:v>
      </x:c>
      <x:c r="AF467" s="23" t="n">
        <x:f>B467*D467*F467*J467</x:f>
        <x:v>0.000056999999999999996</x:v>
      </x:c>
      <x:c r="AG467" s="23" t="n">
        <x:f>IF(P467&gt;0,AF467,0)</x:f>
        <x:v>0.000056999999999999996</x:v>
      </x:c>
      <x:c r="AH467" s="23" t="n">
        <x:f>IF(AND(P467&gt;0,S467&lt;0),AF467,0)</x:f>
        <x:v>0.000056999999999999996</x:v>
      </x:c>
      <x:c r="AI467" s="23" t="n">
        <x:f>IF(AND(P467&gt;0,S467=0),AF467,0)</x:f>
        <x:v>0</x:v>
      </x:c>
      <x:c r="AJ467" s="23" t="n">
        <x:f>IF(R467&lt;30000,AF467,0)</x:f>
        <x:v>0.000056999999999999996</x:v>
      </x:c>
      <x:c r="AK467" s="460" t="n">
        <x:f>IF(P467&gt;0,AF467*S467,0)</x:f>
        <x:v>-0.57</x:v>
      </x:c>
    </x:row>
    <x:row r="468" ht="22" customHeight="1">
      <x:c r="A468" s="643" t="str">
        <x:v>进取</x:v>
      </x:c>
      <x:c r="B468" s="648" t="n">
        <x:f>'114_降本系数'!B28</x:f>
        <x:v>0.15</x:v>
      </x:c>
      <x:c r="C468" s="643" t="str">
        <x:v>L1B</x:v>
      </x:c>
      <x:c r="D468" s="648" t="n">
        <x:f>'130_联合算法'!C18</x:f>
        <x:v>0.1</x:v>
      </x:c>
      <x:c r="E468" s="647" t="n">
        <x:f>'117_价格概率传导'!A6</x:f>
        <x:v>259900</x:v>
      </x:c>
      <x:c r="F468" s="648" t="n">
        <x:f>'117_价格概率传导'!E6</x:f>
        <x:v>0.01</x:v>
      </x:c>
      <x:c r="G468" s="648" t="n">
        <x:f>0</x:f>
        <x:v>0</x:v>
      </x:c>
      <x:c r="H468" s="648" t="n">
        <x:f>SUM('117_价格概率传导'!$E$6:$E$6)</x:f>
        <x:v>0.01</x:v>
      </x:c>
      <x:c r="I468" s="647" t="n">
        <x:f>'117_价格概率传导'!A21</x:f>
        <x:v>259900</x:v>
      </x:c>
      <x:c r="J468" s="648" t="n">
        <x:f>'117_价格概率传导'!E21</x:f>
        <x:v>0.2</x:v>
      </x:c>
      <x:c r="K468" s="648" t="n">
        <x:f>SUM('117_价格概率传导'!$E$16:$E$20)</x:f>
        <x:v>0.8</x:v>
      </x:c>
      <x:c r="L468" s="648" t="n">
        <x:f>SUM('117_价格概率传导'!$E$16:$E$21)</x:f>
        <x:v>1</x:v>
      </x:c>
      <x:c r="M468" s="648" t="n">
        <x:f>MAX(0,MIN(H468,L468)-MAX(G468,K468))</x:f>
        <x:v>0</x:v>
      </x:c>
      <x:c r="N468" s="648" t="n">
        <x:f>B468*D468*M468</x:f>
        <x:v>0</x:v>
      </x:c>
      <x:c r="O468" s="647" t="n">
        <x:f>MIN(289900,I468+10000)</x:f>
        <x:v>269900</x:v>
      </x:c>
      <x:c r="P468" s="647" t="n">
        <x:f>O468-30000</x:f>
        <x:v>239900</x:v>
      </x:c>
      <x:c r="Q468" s="647" t="str">
        <x:f>""</x:f>
      </x:c>
      <x:c r="R468" s="647" t="n">
        <x:f>O468-E468</x:f>
        <x:v>10000</x:v>
      </x:c>
      <x:c r="S468" s="647" t="n">
        <x:f>IF(P468&gt;0,P468-E468,"")</x:f>
        <x:v>-20000</x:v>
      </x:c>
      <x:c r="T468" s="647" t="str">
        <x:f>IF(Q468&gt;0,Q468-E468,"")</x:f>
      </x:c>
      <x:c r="U468" s="648" t="n">
        <x:f>IF(R468&lt;30000,N468,0)</x:f>
        <x:v>0</x:v>
      </x:c>
      <x:c r="V468" s="648" t="n">
        <x:f>IF(P468&gt;0,N468,0)</x:f>
        <x:v>0</x:v>
      </x:c>
      <x:c r="W468" s="648" t="n">
        <x:f>IF(AND(P468&gt;0,S468&lt;0),N468,0)</x:f>
        <x:v>0</x:v>
      </x:c>
      <x:c r="X468" s="648" t="n">
        <x:f>IF(AND(P468&gt;0,S468=0),N468,0)</x:f>
        <x:v>0</x:v>
      </x:c>
      <x:c r="Y468" s="648" t="n">
        <x:f>IF(Q468&gt;0,N468,0)</x:f>
        <x:v>0</x:v>
      </x:c>
      <x:c r="Z468" s="647" t="n">
        <x:f>IF(P468&gt;0,N468*S468,0)</x:f>
        <x:v>0</x:v>
      </x:c>
      <x:c r="AA468" s="647" t="n">
        <x:f>IF(Q468&gt;0,N468*T468,0)</x:f>
        <x:v>0</x:v>
      </x:c>
      <x:c r="AB468" s="647" t="n">
        <x:f>N468*R468</x:f>
        <x:v>0</x:v>
      </x:c>
      <x:c r="AC468" s="647" t="n">
        <x:f>IF(N468&gt;0,R468,999999)</x:f>
        <x:v>999999</x:v>
      </x:c>
      <x:c r="AD468" s="647" t="n">
        <x:f>IF(AND(N468&gt;0,P468&gt;0),S468,999999)</x:f>
        <x:v>999999</x:v>
      </x:c>
      <x:c r="AE468" s="647" t="n">
        <x:f>IF(AND(N468&gt;0,Q468&gt;0),T468,999999)</x:f>
        <x:v>999999</x:v>
      </x:c>
      <x:c r="AF468" s="648" t="n">
        <x:f>B468*D468*F468*J468</x:f>
        <x:v>0.000029999999999999997</x:v>
      </x:c>
      <x:c r="AG468" s="648" t="n">
        <x:f>IF(P468&gt;0,AF468,0)</x:f>
        <x:v>0.000029999999999999997</x:v>
      </x:c>
      <x:c r="AH468" s="648" t="n">
        <x:f>IF(AND(P468&gt;0,S468&lt;0),AF468,0)</x:f>
        <x:v>0.000029999999999999997</x:v>
      </x:c>
      <x:c r="AI468" s="648" t="n">
        <x:f>IF(AND(P468&gt;0,S468=0),AF468,0)</x:f>
        <x:v>0</x:v>
      </x:c>
      <x:c r="AJ468" s="648" t="n">
        <x:f>IF(R468&lt;30000,AF468,0)</x:f>
        <x:v>0.000029999999999999997</x:v>
      </x:c>
      <x:c r="AK468" s="647" t="n">
        <x:f>IF(P468&gt;0,AF468*S468,0)</x:f>
        <x:v>-0.6</x:v>
      </x:c>
    </x:row>
    <x:row r="469" ht="22" customHeight="1">
      <x:c r="A469" s="19" t="str">
        <x:v>进取</x:v>
      </x:c>
      <x:c r="B469" s="23" t="n">
        <x:f>'114_降本系数'!B28</x:f>
        <x:v>0.15</x:v>
      </x:c>
      <x:c r="C469" s="19" t="str">
        <x:v>L1B</x:v>
      </x:c>
      <x:c r="D469" s="23" t="n">
        <x:f>'130_联合算法'!C18</x:f>
        <x:v>0.1</x:v>
      </x:c>
      <x:c r="E469" s="460" t="n">
        <x:f>'117_价格概率传导'!A7</x:f>
        <x:v>253900</x:v>
      </x:c>
      <x:c r="F469" s="23" t="n">
        <x:f>'117_价格概率传导'!E7</x:f>
        <x:v>0.02</x:v>
      </x:c>
      <x:c r="G469" s="23" t="n">
        <x:f>SUM('117_价格概率传导'!$E$6:$E$6)</x:f>
        <x:v>0.01</x:v>
      </x:c>
      <x:c r="H469" s="23" t="n">
        <x:f>SUM('117_价格概率传导'!$E$6:$E$7)</x:f>
        <x:v>0.03</x:v>
      </x:c>
      <x:c r="I469" s="460" t="n">
        <x:f>'117_价格概率传导'!A16</x:f>
        <x:v>299900</x:v>
      </x:c>
      <x:c r="J469" s="23" t="n">
        <x:f>'117_价格概率传导'!E16</x:f>
        <x:v>0.01</x:v>
      </x:c>
      <x:c r="K469" s="23" t="n">
        <x:f>0</x:f>
        <x:v>0</x:v>
      </x:c>
      <x:c r="L469" s="23" t="n">
        <x:f>SUM('117_价格概率传导'!$E$16:$E$16)</x:f>
        <x:v>0.01</x:v>
      </x:c>
      <x:c r="M469" s="23" t="n">
        <x:f>MAX(0,MIN(H469,L469)-MAX(G469,K469))</x:f>
        <x:v>0</x:v>
      </x:c>
      <x:c r="N469" s="23" t="n">
        <x:f>B469*D469*M469</x:f>
        <x:v>0</x:v>
      </x:c>
      <x:c r="O469" s="460" t="n">
        <x:f>MIN(289900,I469+10000)</x:f>
        <x:v>289900</x:v>
      </x:c>
      <x:c r="P469" s="460" t="n">
        <x:f>O469-30000</x:f>
        <x:v>259900</x:v>
      </x:c>
      <x:c r="Q469" s="460" t="str">
        <x:f>""</x:f>
      </x:c>
      <x:c r="R469" s="460" t="n">
        <x:f>O469-E469</x:f>
        <x:v>36000</x:v>
      </x:c>
      <x:c r="S469" s="460" t="n">
        <x:f>IF(P469&gt;0,P469-E469,"")</x:f>
        <x:v>6000</x:v>
      </x:c>
      <x:c r="T469" s="460" t="str">
        <x:f>IF(Q469&gt;0,Q469-E469,"")</x:f>
      </x:c>
      <x:c r="U469" s="23" t="n">
        <x:f>IF(R469&lt;30000,N469,0)</x:f>
        <x:v>0</x:v>
      </x:c>
      <x:c r="V469" s="23" t="n">
        <x:f>IF(P469&gt;0,N469,0)</x:f>
        <x:v>0</x:v>
      </x:c>
      <x:c r="W469" s="23" t="n">
        <x:f>IF(AND(P469&gt;0,S469&lt;0),N469,0)</x:f>
        <x:v>0</x:v>
      </x:c>
      <x:c r="X469" s="23" t="n">
        <x:f>IF(AND(P469&gt;0,S469=0),N469,0)</x:f>
        <x:v>0</x:v>
      </x:c>
      <x:c r="Y469" s="23" t="n">
        <x:f>IF(Q469&gt;0,N469,0)</x:f>
        <x:v>0</x:v>
      </x:c>
      <x:c r="Z469" s="460" t="n">
        <x:f>IF(P469&gt;0,N469*S469,0)</x:f>
        <x:v>0</x:v>
      </x:c>
      <x:c r="AA469" s="460" t="n">
        <x:f>IF(Q469&gt;0,N469*T469,0)</x:f>
        <x:v>0</x:v>
      </x:c>
      <x:c r="AB469" s="460" t="n">
        <x:f>N469*R469</x:f>
        <x:v>0</x:v>
      </x:c>
      <x:c r="AC469" s="460" t="n">
        <x:f>IF(N469&gt;0,R469,999999)</x:f>
        <x:v>999999</x:v>
      </x:c>
      <x:c r="AD469" s="460" t="n">
        <x:f>IF(AND(N469&gt;0,P469&gt;0),S469,999999)</x:f>
        <x:v>999999</x:v>
      </x:c>
      <x:c r="AE469" s="460" t="n">
        <x:f>IF(AND(N469&gt;0,Q469&gt;0),T469,999999)</x:f>
        <x:v>999999</x:v>
      </x:c>
      <x:c r="AF469" s="23" t="n">
        <x:f>B469*D469*F469*J469</x:f>
        <x:v>0.0000029999999999999997</x:v>
      </x:c>
      <x:c r="AG469" s="23" t="n">
        <x:f>IF(P469&gt;0,AF469,0)</x:f>
        <x:v>0.0000029999999999999997</x:v>
      </x:c>
      <x:c r="AH469" s="23" t="n">
        <x:f>IF(AND(P469&gt;0,S469&lt;0),AF469,0)</x:f>
        <x:v>0</x:v>
      </x:c>
      <x:c r="AI469" s="23" t="n">
        <x:f>IF(AND(P469&gt;0,S469=0),AF469,0)</x:f>
        <x:v>0</x:v>
      </x:c>
      <x:c r="AJ469" s="23" t="n">
        <x:f>IF(R469&lt;30000,AF469,0)</x:f>
        <x:v>0</x:v>
      </x:c>
      <x:c r="AK469" s="460" t="n">
        <x:f>IF(P469&gt;0,AF469*S469,0)</x:f>
        <x:v>0.018</x:v>
      </x:c>
    </x:row>
    <x:row r="470" ht="22" customHeight="1">
      <x:c r="A470" s="643" t="str">
        <x:v>进取</x:v>
      </x:c>
      <x:c r="B470" s="648" t="n">
        <x:f>'114_降本系数'!B28</x:f>
        <x:v>0.15</x:v>
      </x:c>
      <x:c r="C470" s="643" t="str">
        <x:v>L1B</x:v>
      </x:c>
      <x:c r="D470" s="648" t="n">
        <x:f>'130_联合算法'!C18</x:f>
        <x:v>0.1</x:v>
      </x:c>
      <x:c r="E470" s="647" t="n">
        <x:f>'117_价格概率传导'!A7</x:f>
        <x:v>253900</x:v>
      </x:c>
      <x:c r="F470" s="648" t="n">
        <x:f>'117_价格概率传导'!E7</x:f>
        <x:v>0.02</x:v>
      </x:c>
      <x:c r="G470" s="648" t="n">
        <x:f>SUM('117_价格概率传导'!$E$6:$E$6)</x:f>
        <x:v>0.01</x:v>
      </x:c>
      <x:c r="H470" s="648" t="n">
        <x:f>SUM('117_价格概率传导'!$E$6:$E$7)</x:f>
        <x:v>0.03</x:v>
      </x:c>
      <x:c r="I470" s="647" t="n">
        <x:f>'117_价格概率传导'!A17</x:f>
        <x:v>293900</x:v>
      </x:c>
      <x:c r="J470" s="648" t="n">
        <x:f>'117_价格概率传导'!E17</x:f>
        <x:v>0.01</x:v>
      </x:c>
      <x:c r="K470" s="648" t="n">
        <x:f>SUM('117_价格概率传导'!$E$16:$E$16)</x:f>
        <x:v>0.01</x:v>
      </x:c>
      <x:c r="L470" s="648" t="n">
        <x:f>SUM('117_价格概率传导'!$E$16:$E$17)</x:f>
        <x:v>0.02</x:v>
      </x:c>
      <x:c r="M470" s="648" t="n">
        <x:f>MAX(0,MIN(H470,L470)-MAX(G470,K470))</x:f>
        <x:v>0.01</x:v>
      </x:c>
      <x:c r="N470" s="648" t="n">
        <x:f>B470*D470*M470</x:f>
        <x:v>0.00015</x:v>
      </x:c>
      <x:c r="O470" s="647" t="n">
        <x:f>MIN(289900,I470+10000)</x:f>
        <x:v>289900</x:v>
      </x:c>
      <x:c r="P470" s="647" t="n">
        <x:f>O470-30000</x:f>
        <x:v>259900</x:v>
      </x:c>
      <x:c r="Q470" s="647" t="str">
        <x:f>""</x:f>
      </x:c>
      <x:c r="R470" s="647" t="n">
        <x:f>O470-E470</x:f>
        <x:v>36000</x:v>
      </x:c>
      <x:c r="S470" s="647" t="n">
        <x:f>IF(P470&gt;0,P470-E470,"")</x:f>
        <x:v>6000</x:v>
      </x:c>
      <x:c r="T470" s="647" t="str">
        <x:f>IF(Q470&gt;0,Q470-E470,"")</x:f>
      </x:c>
      <x:c r="U470" s="648" t="n">
        <x:f>IF(R470&lt;30000,N470,0)</x:f>
        <x:v>0</x:v>
      </x:c>
      <x:c r="V470" s="648" t="n">
        <x:f>IF(P470&gt;0,N470,0)</x:f>
        <x:v>0.00015</x:v>
      </x:c>
      <x:c r="W470" s="648" t="n">
        <x:f>IF(AND(P470&gt;0,S470&lt;0),N470,0)</x:f>
        <x:v>0</x:v>
      </x:c>
      <x:c r="X470" s="648" t="n">
        <x:f>IF(AND(P470&gt;0,S470=0),N470,0)</x:f>
        <x:v>0</x:v>
      </x:c>
      <x:c r="Y470" s="648" t="n">
        <x:f>IF(Q470&gt;0,N470,0)</x:f>
        <x:v>0</x:v>
      </x:c>
      <x:c r="Z470" s="647" t="n">
        <x:f>IF(P470&gt;0,N470*S470,0)</x:f>
        <x:v>0.8999999999999999</x:v>
      </x:c>
      <x:c r="AA470" s="647" t="n">
        <x:f>IF(Q470&gt;0,N470*T470,0)</x:f>
        <x:v>0</x:v>
      </x:c>
      <x:c r="AB470" s="647" t="n">
        <x:f>N470*R470</x:f>
        <x:v>5.3999999999999995</x:v>
      </x:c>
      <x:c r="AC470" s="647" t="n">
        <x:f>IF(N470&gt;0,R470,999999)</x:f>
        <x:v>36000</x:v>
      </x:c>
      <x:c r="AD470" s="647" t="n">
        <x:f>IF(AND(N470&gt;0,P470&gt;0),S470,999999)</x:f>
        <x:v>6000</x:v>
      </x:c>
      <x:c r="AE470" s="647" t="n">
        <x:f>IF(AND(N470&gt;0,Q470&gt;0),T470,999999)</x:f>
        <x:v>999999</x:v>
      </x:c>
      <x:c r="AF470" s="648" t="n">
        <x:f>B470*D470*F470*J470</x:f>
        <x:v>0.0000029999999999999997</x:v>
      </x:c>
      <x:c r="AG470" s="648" t="n">
        <x:f>IF(P470&gt;0,AF470,0)</x:f>
        <x:v>0.0000029999999999999997</x:v>
      </x:c>
      <x:c r="AH470" s="648" t="n">
        <x:f>IF(AND(P470&gt;0,S470&lt;0),AF470,0)</x:f>
        <x:v>0</x:v>
      </x:c>
      <x:c r="AI470" s="648" t="n">
        <x:f>IF(AND(P470&gt;0,S470=0),AF470,0)</x:f>
        <x:v>0</x:v>
      </x:c>
      <x:c r="AJ470" s="648" t="n">
        <x:f>IF(R470&lt;30000,AF470,0)</x:f>
        <x:v>0</x:v>
      </x:c>
      <x:c r="AK470" s="647" t="n">
        <x:f>IF(P470&gt;0,AF470*S470,0)</x:f>
        <x:v>0.018</x:v>
      </x:c>
    </x:row>
    <x:row r="471" ht="22" customHeight="1">
      <x:c r="A471" s="19" t="str">
        <x:v>进取</x:v>
      </x:c>
      <x:c r="B471" s="23" t="n">
        <x:f>'114_降本系数'!B28</x:f>
        <x:v>0.15</x:v>
      </x:c>
      <x:c r="C471" s="19" t="str">
        <x:v>L1B</x:v>
      </x:c>
      <x:c r="D471" s="23" t="n">
        <x:f>'130_联合算法'!C18</x:f>
        <x:v>0.1</x:v>
      </x:c>
      <x:c r="E471" s="460" t="n">
        <x:f>'117_价格概率传导'!A7</x:f>
        <x:v>253900</x:v>
      </x:c>
      <x:c r="F471" s="23" t="n">
        <x:f>'117_价格概率传导'!E7</x:f>
        <x:v>0.02</x:v>
      </x:c>
      <x:c r="G471" s="23" t="n">
        <x:f>SUM('117_价格概率传导'!$E$6:$E$6)</x:f>
        <x:v>0.01</x:v>
      </x:c>
      <x:c r="H471" s="23" t="n">
        <x:f>SUM('117_价格概率传导'!$E$6:$E$7)</x:f>
        <x:v>0.03</x:v>
      </x:c>
      <x:c r="I471" s="460" t="n">
        <x:f>'117_价格概率传导'!A18</x:f>
        <x:v>289900</x:v>
      </x:c>
      <x:c r="J471" s="23" t="n">
        <x:f>'117_价格概率传导'!E18</x:f>
        <x:v>0.1</x:v>
      </x:c>
      <x:c r="K471" s="23" t="n">
        <x:f>SUM('117_价格概率传导'!$E$16:$E$17)</x:f>
        <x:v>0.02</x:v>
      </x:c>
      <x:c r="L471" s="23" t="n">
        <x:f>SUM('117_价格概率传导'!$E$16:$E$18)</x:f>
        <x:v>0.12000000000000001</x:v>
      </x:c>
      <x:c r="M471" s="23" t="n">
        <x:f>MAX(0,MIN(H471,L471)-MAX(G471,K471))</x:f>
        <x:v>0.009999999999999998</x:v>
      </x:c>
      <x:c r="N471" s="23" t="n">
        <x:f>B471*D471*M471</x:f>
        <x:v>0.00014999999999999996</x:v>
      </x:c>
      <x:c r="O471" s="460" t="n">
        <x:f>MIN(289900,I471+10000)</x:f>
        <x:v>289900</x:v>
      </x:c>
      <x:c r="P471" s="460" t="n">
        <x:f>O471-30000</x:f>
        <x:v>259900</x:v>
      </x:c>
      <x:c r="Q471" s="460" t="str">
        <x:f>""</x:f>
      </x:c>
      <x:c r="R471" s="460" t="n">
        <x:f>O471-E471</x:f>
        <x:v>36000</x:v>
      </x:c>
      <x:c r="S471" s="460" t="n">
        <x:f>IF(P471&gt;0,P471-E471,"")</x:f>
        <x:v>6000</x:v>
      </x:c>
      <x:c r="T471" s="460" t="str">
        <x:f>IF(Q471&gt;0,Q471-E471,"")</x:f>
      </x:c>
      <x:c r="U471" s="23" t="n">
        <x:f>IF(R471&lt;30000,N471,0)</x:f>
        <x:v>0</x:v>
      </x:c>
      <x:c r="V471" s="23" t="n">
        <x:f>IF(P471&gt;0,N471,0)</x:f>
        <x:v>0.00014999999999999996</x:v>
      </x:c>
      <x:c r="W471" s="23" t="n">
        <x:f>IF(AND(P471&gt;0,S471&lt;0),N471,0)</x:f>
        <x:v>0</x:v>
      </x:c>
      <x:c r="X471" s="23" t="n">
        <x:f>IF(AND(P471&gt;0,S471=0),N471,0)</x:f>
        <x:v>0</x:v>
      </x:c>
      <x:c r="Y471" s="23" t="n">
        <x:f>IF(Q471&gt;0,N471,0)</x:f>
        <x:v>0</x:v>
      </x:c>
      <x:c r="Z471" s="460" t="n">
        <x:f>IF(P471&gt;0,N471*S471,0)</x:f>
        <x:v>0.8999999999999998</x:v>
      </x:c>
      <x:c r="AA471" s="460" t="n">
        <x:f>IF(Q471&gt;0,N471*T471,0)</x:f>
        <x:v>0</x:v>
      </x:c>
      <x:c r="AB471" s="460" t="n">
        <x:f>N471*R471</x:f>
        <x:v>5.399999999999999</x:v>
      </x:c>
      <x:c r="AC471" s="460" t="n">
        <x:f>IF(N471&gt;0,R471,999999)</x:f>
        <x:v>36000</x:v>
      </x:c>
      <x:c r="AD471" s="460" t="n">
        <x:f>IF(AND(N471&gt;0,P471&gt;0),S471,999999)</x:f>
        <x:v>6000</x:v>
      </x:c>
      <x:c r="AE471" s="460" t="n">
        <x:f>IF(AND(N471&gt;0,Q471&gt;0),T471,999999)</x:f>
        <x:v>999999</x:v>
      </x:c>
      <x:c r="AF471" s="23" t="n">
        <x:f>B471*D471*F471*J471</x:f>
        <x:v>0.000029999999999999997</x:v>
      </x:c>
      <x:c r="AG471" s="23" t="n">
        <x:f>IF(P471&gt;0,AF471,0)</x:f>
        <x:v>0.000029999999999999997</x:v>
      </x:c>
      <x:c r="AH471" s="23" t="n">
        <x:f>IF(AND(P471&gt;0,S471&lt;0),AF471,0)</x:f>
        <x:v>0</x:v>
      </x:c>
      <x:c r="AI471" s="23" t="n">
        <x:f>IF(AND(P471&gt;0,S471=0),AF471,0)</x:f>
        <x:v>0</x:v>
      </x:c>
      <x:c r="AJ471" s="23" t="n">
        <x:f>IF(R471&lt;30000,AF471,0)</x:f>
        <x:v>0</x:v>
      </x:c>
      <x:c r="AK471" s="460" t="n">
        <x:f>IF(P471&gt;0,AF471*S471,0)</x:f>
        <x:v>0.18</x:v>
      </x:c>
    </x:row>
    <x:row r="472" ht="22" customHeight="1">
      <x:c r="A472" s="643" t="str">
        <x:v>进取</x:v>
      </x:c>
      <x:c r="B472" s="648" t="n">
        <x:f>'114_降本系数'!B28</x:f>
        <x:v>0.15</x:v>
      </x:c>
      <x:c r="C472" s="643" t="str">
        <x:v>L1B</x:v>
      </x:c>
      <x:c r="D472" s="648" t="n">
        <x:f>'130_联合算法'!C18</x:f>
        <x:v>0.1</x:v>
      </x:c>
      <x:c r="E472" s="647" t="n">
        <x:f>'117_价格概率传导'!A7</x:f>
        <x:v>253900</x:v>
      </x:c>
      <x:c r="F472" s="648" t="n">
        <x:f>'117_价格概率传导'!E7</x:f>
        <x:v>0.02</x:v>
      </x:c>
      <x:c r="G472" s="648" t="n">
        <x:f>SUM('117_价格概率传导'!$E$6:$E$6)</x:f>
        <x:v>0.01</x:v>
      </x:c>
      <x:c r="H472" s="648" t="n">
        <x:f>SUM('117_价格概率传导'!$E$6:$E$7)</x:f>
        <x:v>0.03</x:v>
      </x:c>
      <x:c r="I472" s="647" t="n">
        <x:f>'117_价格概率传导'!A19</x:f>
        <x:v>279900</x:v>
      </x:c>
      <x:c r="J472" s="648" t="n">
        <x:f>'117_价格概率传导'!E19</x:f>
        <x:v>0.3</x:v>
      </x:c>
      <x:c r="K472" s="648" t="n">
        <x:f>SUM('117_价格概率传导'!$E$16:$E$18)</x:f>
        <x:v>0.12000000000000001</x:v>
      </x:c>
      <x:c r="L472" s="648" t="n">
        <x:f>SUM('117_价格概率传导'!$E$16:$E$19)</x:f>
        <x:v>0.42</x:v>
      </x:c>
      <x:c r="M472" s="648" t="n">
        <x:f>MAX(0,MIN(H472,L472)-MAX(G472,K472))</x:f>
        <x:v>0</x:v>
      </x:c>
      <x:c r="N472" s="648" t="n">
        <x:f>B472*D472*M472</x:f>
        <x:v>0</x:v>
      </x:c>
      <x:c r="O472" s="647" t="n">
        <x:f>MIN(289900,I472+10000)</x:f>
        <x:v>289900</x:v>
      </x:c>
      <x:c r="P472" s="647" t="n">
        <x:f>O472-30000</x:f>
        <x:v>259900</x:v>
      </x:c>
      <x:c r="Q472" s="647" t="str">
        <x:f>""</x:f>
      </x:c>
      <x:c r="R472" s="647" t="n">
        <x:f>O472-E472</x:f>
        <x:v>36000</x:v>
      </x:c>
      <x:c r="S472" s="647" t="n">
        <x:f>IF(P472&gt;0,P472-E472,"")</x:f>
        <x:v>6000</x:v>
      </x:c>
      <x:c r="T472" s="647" t="str">
        <x:f>IF(Q472&gt;0,Q472-E472,"")</x:f>
      </x:c>
      <x:c r="U472" s="648" t="n">
        <x:f>IF(R472&lt;30000,N472,0)</x:f>
        <x:v>0</x:v>
      </x:c>
      <x:c r="V472" s="648" t="n">
        <x:f>IF(P472&gt;0,N472,0)</x:f>
        <x:v>0</x:v>
      </x:c>
      <x:c r="W472" s="648" t="n">
        <x:f>IF(AND(P472&gt;0,S472&lt;0),N472,0)</x:f>
        <x:v>0</x:v>
      </x:c>
      <x:c r="X472" s="648" t="n">
        <x:f>IF(AND(P472&gt;0,S472=0),N472,0)</x:f>
        <x:v>0</x:v>
      </x:c>
      <x:c r="Y472" s="648" t="n">
        <x:f>IF(Q472&gt;0,N472,0)</x:f>
        <x:v>0</x:v>
      </x:c>
      <x:c r="Z472" s="647" t="n">
        <x:f>IF(P472&gt;0,N472*S472,0)</x:f>
        <x:v>0</x:v>
      </x:c>
      <x:c r="AA472" s="647" t="n">
        <x:f>IF(Q472&gt;0,N472*T472,0)</x:f>
        <x:v>0</x:v>
      </x:c>
      <x:c r="AB472" s="647" t="n">
        <x:f>N472*R472</x:f>
        <x:v>0</x:v>
      </x:c>
      <x:c r="AC472" s="647" t="n">
        <x:f>IF(N472&gt;0,R472,999999)</x:f>
        <x:v>999999</x:v>
      </x:c>
      <x:c r="AD472" s="647" t="n">
        <x:f>IF(AND(N472&gt;0,P472&gt;0),S472,999999)</x:f>
        <x:v>999999</x:v>
      </x:c>
      <x:c r="AE472" s="647" t="n">
        <x:f>IF(AND(N472&gt;0,Q472&gt;0),T472,999999)</x:f>
        <x:v>999999</x:v>
      </x:c>
      <x:c r="AF472" s="648" t="n">
        <x:f>B472*D472*F472*J472</x:f>
        <x:v>0.00008999999999999999</x:v>
      </x:c>
      <x:c r="AG472" s="648" t="n">
        <x:f>IF(P472&gt;0,AF472,0)</x:f>
        <x:v>0.00008999999999999999</x:v>
      </x:c>
      <x:c r="AH472" s="648" t="n">
        <x:f>IF(AND(P472&gt;0,S472&lt;0),AF472,0)</x:f>
        <x:v>0</x:v>
      </x:c>
      <x:c r="AI472" s="648" t="n">
        <x:f>IF(AND(P472&gt;0,S472=0),AF472,0)</x:f>
        <x:v>0</x:v>
      </x:c>
      <x:c r="AJ472" s="648" t="n">
        <x:f>IF(R472&lt;30000,AF472,0)</x:f>
        <x:v>0</x:v>
      </x:c>
      <x:c r="AK472" s="647" t="n">
        <x:f>IF(P472&gt;0,AF472*S472,0)</x:f>
        <x:v>0.5399999999999999</x:v>
      </x:c>
    </x:row>
    <x:row r="473" ht="22" customHeight="1">
      <x:c r="A473" s="19" t="str">
        <x:v>进取</x:v>
      </x:c>
      <x:c r="B473" s="23" t="n">
        <x:f>'114_降本系数'!B28</x:f>
        <x:v>0.15</x:v>
      </x:c>
      <x:c r="C473" s="19" t="str">
        <x:v>L1B</x:v>
      </x:c>
      <x:c r="D473" s="23" t="n">
        <x:f>'130_联合算法'!C18</x:f>
        <x:v>0.1</x:v>
      </x:c>
      <x:c r="E473" s="460" t="n">
        <x:f>'117_价格概率传导'!A7</x:f>
        <x:v>253900</x:v>
      </x:c>
      <x:c r="F473" s="23" t="n">
        <x:f>'117_价格概率传导'!E7</x:f>
        <x:v>0.02</x:v>
      </x:c>
      <x:c r="G473" s="23" t="n">
        <x:f>SUM('117_价格概率传导'!$E$6:$E$6)</x:f>
        <x:v>0.01</x:v>
      </x:c>
      <x:c r="H473" s="23" t="n">
        <x:f>SUM('117_价格概率传导'!$E$6:$E$7)</x:f>
        <x:v>0.03</x:v>
      </x:c>
      <x:c r="I473" s="460" t="n">
        <x:f>'117_价格概率传导'!A20</x:f>
        <x:v>269900</x:v>
      </x:c>
      <x:c r="J473" s="23" t="n">
        <x:f>'117_价格概率传导'!E20</x:f>
        <x:v>0.38</x:v>
      </x:c>
      <x:c r="K473" s="23" t="n">
        <x:f>SUM('117_价格概率传导'!$E$16:$E$19)</x:f>
        <x:v>0.42</x:v>
      </x:c>
      <x:c r="L473" s="23" t="n">
        <x:f>SUM('117_价格概率传导'!$E$16:$E$20)</x:f>
        <x:v>0.8</x:v>
      </x:c>
      <x:c r="M473" s="23" t="n">
        <x:f>MAX(0,MIN(H473,L473)-MAX(G473,K473))</x:f>
        <x:v>0</x:v>
      </x:c>
      <x:c r="N473" s="23" t="n">
        <x:f>B473*D473*M473</x:f>
        <x:v>0</x:v>
      </x:c>
      <x:c r="O473" s="460" t="n">
        <x:f>MIN(289900,I473+10000)</x:f>
        <x:v>279900</x:v>
      </x:c>
      <x:c r="P473" s="460" t="n">
        <x:f>O473-30000</x:f>
        <x:v>249900</x:v>
      </x:c>
      <x:c r="Q473" s="460" t="str">
        <x:f>""</x:f>
      </x:c>
      <x:c r="R473" s="460" t="n">
        <x:f>O473-E473</x:f>
        <x:v>26000</x:v>
      </x:c>
      <x:c r="S473" s="460" t="n">
        <x:f>IF(P473&gt;0,P473-E473,"")</x:f>
        <x:v>-4000</x:v>
      </x:c>
      <x:c r="T473" s="460" t="str">
        <x:f>IF(Q473&gt;0,Q473-E473,"")</x:f>
      </x:c>
      <x:c r="U473" s="23" t="n">
        <x:f>IF(R473&lt;30000,N473,0)</x:f>
        <x:v>0</x:v>
      </x:c>
      <x:c r="V473" s="23" t="n">
        <x:f>IF(P473&gt;0,N473,0)</x:f>
        <x:v>0</x:v>
      </x:c>
      <x:c r="W473" s="23" t="n">
        <x:f>IF(AND(P473&gt;0,S473&lt;0),N473,0)</x:f>
        <x:v>0</x:v>
      </x:c>
      <x:c r="X473" s="23" t="n">
        <x:f>IF(AND(P473&gt;0,S473=0),N473,0)</x:f>
        <x:v>0</x:v>
      </x:c>
      <x:c r="Y473" s="23" t="n">
        <x:f>IF(Q473&gt;0,N473,0)</x:f>
        <x:v>0</x:v>
      </x:c>
      <x:c r="Z473" s="460" t="n">
        <x:f>IF(P473&gt;0,N473*S473,0)</x:f>
        <x:v>0</x:v>
      </x:c>
      <x:c r="AA473" s="460" t="n">
        <x:f>IF(Q473&gt;0,N473*T473,0)</x:f>
        <x:v>0</x:v>
      </x:c>
      <x:c r="AB473" s="460" t="n">
        <x:f>N473*R473</x:f>
        <x:v>0</x:v>
      </x:c>
      <x:c r="AC473" s="460" t="n">
        <x:f>IF(N473&gt;0,R473,999999)</x:f>
        <x:v>999999</x:v>
      </x:c>
      <x:c r="AD473" s="460" t="n">
        <x:f>IF(AND(N473&gt;0,P473&gt;0),S473,999999)</x:f>
        <x:v>999999</x:v>
      </x:c>
      <x:c r="AE473" s="460" t="n">
        <x:f>IF(AND(N473&gt;0,Q473&gt;0),T473,999999)</x:f>
        <x:v>999999</x:v>
      </x:c>
      <x:c r="AF473" s="23" t="n">
        <x:f>B473*D473*F473*J473</x:f>
        <x:v>0.00011399999999999999</x:v>
      </x:c>
      <x:c r="AG473" s="23" t="n">
        <x:f>IF(P473&gt;0,AF473,0)</x:f>
        <x:v>0.00011399999999999999</x:v>
      </x:c>
      <x:c r="AH473" s="23" t="n">
        <x:f>IF(AND(P473&gt;0,S473&lt;0),AF473,0)</x:f>
        <x:v>0.00011399999999999999</x:v>
      </x:c>
      <x:c r="AI473" s="23" t="n">
        <x:f>IF(AND(P473&gt;0,S473=0),AF473,0)</x:f>
        <x:v>0</x:v>
      </x:c>
      <x:c r="AJ473" s="23" t="n">
        <x:f>IF(R473&lt;30000,AF473,0)</x:f>
        <x:v>0.00011399999999999999</x:v>
      </x:c>
      <x:c r="AK473" s="460" t="n">
        <x:f>IF(P473&gt;0,AF473*S473,0)</x:f>
        <x:v>-0.45599999999999996</x:v>
      </x:c>
    </x:row>
    <x:row r="474" ht="22" customHeight="1">
      <x:c r="A474" s="643" t="str">
        <x:v>进取</x:v>
      </x:c>
      <x:c r="B474" s="648" t="n">
        <x:f>'114_降本系数'!B28</x:f>
        <x:v>0.15</x:v>
      </x:c>
      <x:c r="C474" s="643" t="str">
        <x:v>L1B</x:v>
      </x:c>
      <x:c r="D474" s="648" t="n">
        <x:f>'130_联合算法'!C18</x:f>
        <x:v>0.1</x:v>
      </x:c>
      <x:c r="E474" s="647" t="n">
        <x:f>'117_价格概率传导'!A7</x:f>
        <x:v>253900</x:v>
      </x:c>
      <x:c r="F474" s="648" t="n">
        <x:f>'117_价格概率传导'!E7</x:f>
        <x:v>0.02</x:v>
      </x:c>
      <x:c r="G474" s="648" t="n">
        <x:f>SUM('117_价格概率传导'!$E$6:$E$6)</x:f>
        <x:v>0.01</x:v>
      </x:c>
      <x:c r="H474" s="648" t="n">
        <x:f>SUM('117_价格概率传导'!$E$6:$E$7)</x:f>
        <x:v>0.03</x:v>
      </x:c>
      <x:c r="I474" s="647" t="n">
        <x:f>'117_价格概率传导'!A21</x:f>
        <x:v>259900</x:v>
      </x:c>
      <x:c r="J474" s="648" t="n">
        <x:f>'117_价格概率传导'!E21</x:f>
        <x:v>0.2</x:v>
      </x:c>
      <x:c r="K474" s="648" t="n">
        <x:f>SUM('117_价格概率传导'!$E$16:$E$20)</x:f>
        <x:v>0.8</x:v>
      </x:c>
      <x:c r="L474" s="648" t="n">
        <x:f>SUM('117_价格概率传导'!$E$16:$E$21)</x:f>
        <x:v>1</x:v>
      </x:c>
      <x:c r="M474" s="648" t="n">
        <x:f>MAX(0,MIN(H474,L474)-MAX(G474,K474))</x:f>
        <x:v>0</x:v>
      </x:c>
      <x:c r="N474" s="648" t="n">
        <x:f>B474*D474*M474</x:f>
        <x:v>0</x:v>
      </x:c>
      <x:c r="O474" s="647" t="n">
        <x:f>MIN(289900,I474+10000)</x:f>
        <x:v>269900</x:v>
      </x:c>
      <x:c r="P474" s="647" t="n">
        <x:f>O474-30000</x:f>
        <x:v>239900</x:v>
      </x:c>
      <x:c r="Q474" s="647" t="str">
        <x:f>""</x:f>
      </x:c>
      <x:c r="R474" s="647" t="n">
        <x:f>O474-E474</x:f>
        <x:v>16000</x:v>
      </x:c>
      <x:c r="S474" s="647" t="n">
        <x:f>IF(P474&gt;0,P474-E474,"")</x:f>
        <x:v>-14000</x:v>
      </x:c>
      <x:c r="T474" s="647" t="str">
        <x:f>IF(Q474&gt;0,Q474-E474,"")</x:f>
      </x:c>
      <x:c r="U474" s="648" t="n">
        <x:f>IF(R474&lt;30000,N474,0)</x:f>
        <x:v>0</x:v>
      </x:c>
      <x:c r="V474" s="648" t="n">
        <x:f>IF(P474&gt;0,N474,0)</x:f>
        <x:v>0</x:v>
      </x:c>
      <x:c r="W474" s="648" t="n">
        <x:f>IF(AND(P474&gt;0,S474&lt;0),N474,0)</x:f>
        <x:v>0</x:v>
      </x:c>
      <x:c r="X474" s="648" t="n">
        <x:f>IF(AND(P474&gt;0,S474=0),N474,0)</x:f>
        <x:v>0</x:v>
      </x:c>
      <x:c r="Y474" s="648" t="n">
        <x:f>IF(Q474&gt;0,N474,0)</x:f>
        <x:v>0</x:v>
      </x:c>
      <x:c r="Z474" s="647" t="n">
        <x:f>IF(P474&gt;0,N474*S474,0)</x:f>
        <x:v>0</x:v>
      </x:c>
      <x:c r="AA474" s="647" t="n">
        <x:f>IF(Q474&gt;0,N474*T474,0)</x:f>
        <x:v>0</x:v>
      </x:c>
      <x:c r="AB474" s="647" t="n">
        <x:f>N474*R474</x:f>
        <x:v>0</x:v>
      </x:c>
      <x:c r="AC474" s="647" t="n">
        <x:f>IF(N474&gt;0,R474,999999)</x:f>
        <x:v>999999</x:v>
      </x:c>
      <x:c r="AD474" s="647" t="n">
        <x:f>IF(AND(N474&gt;0,P474&gt;0),S474,999999)</x:f>
        <x:v>999999</x:v>
      </x:c>
      <x:c r="AE474" s="647" t="n">
        <x:f>IF(AND(N474&gt;0,Q474&gt;0),T474,999999)</x:f>
        <x:v>999999</x:v>
      </x:c>
      <x:c r="AF474" s="648" t="n">
        <x:f>B474*D474*F474*J474</x:f>
        <x:v>0.000059999999999999995</x:v>
      </x:c>
      <x:c r="AG474" s="648" t="n">
        <x:f>IF(P474&gt;0,AF474,0)</x:f>
        <x:v>0.000059999999999999995</x:v>
      </x:c>
      <x:c r="AH474" s="648" t="n">
        <x:f>IF(AND(P474&gt;0,S474&lt;0),AF474,0)</x:f>
        <x:v>0.000059999999999999995</x:v>
      </x:c>
      <x:c r="AI474" s="648" t="n">
        <x:f>IF(AND(P474&gt;0,S474=0),AF474,0)</x:f>
        <x:v>0</x:v>
      </x:c>
      <x:c r="AJ474" s="648" t="n">
        <x:f>IF(R474&lt;30000,AF474,0)</x:f>
        <x:v>0.000059999999999999995</x:v>
      </x:c>
      <x:c r="AK474" s="647" t="n">
        <x:f>IF(P474&gt;0,AF474*S474,0)</x:f>
        <x:v>-0.84</x:v>
      </x:c>
    </x:row>
    <x:row r="475" ht="22" customHeight="1">
      <x:c r="A475" s="19" t="str">
        <x:v>进取</x:v>
      </x:c>
      <x:c r="B475" s="23" t="n">
        <x:f>'114_降本系数'!B28</x:f>
        <x:v>0.15</x:v>
      </x:c>
      <x:c r="C475" s="19" t="str">
        <x:v>L1B</x:v>
      </x:c>
      <x:c r="D475" s="23" t="n">
        <x:f>'130_联合算法'!C18</x:f>
        <x:v>0.1</x:v>
      </x:c>
      <x:c r="E475" s="460" t="n">
        <x:f>'117_价格概率传导'!A8</x:f>
        <x:v>249900</x:v>
      </x:c>
      <x:c r="F475" s="23" t="n">
        <x:f>'117_价格概率传导'!E8</x:f>
        <x:v>0.22</x:v>
      </x:c>
      <x:c r="G475" s="23" t="n">
        <x:f>SUM('117_价格概率传导'!$E$6:$E$7)</x:f>
        <x:v>0.03</x:v>
      </x:c>
      <x:c r="H475" s="23" t="n">
        <x:f>SUM('117_价格概率传导'!$E$6:$E$8)</x:f>
        <x:v>0.25</x:v>
      </x:c>
      <x:c r="I475" s="460" t="n">
        <x:f>'117_价格概率传导'!A16</x:f>
        <x:v>299900</x:v>
      </x:c>
      <x:c r="J475" s="23" t="n">
        <x:f>'117_价格概率传导'!E16</x:f>
        <x:v>0.01</x:v>
      </x:c>
      <x:c r="K475" s="23" t="n">
        <x:f>0</x:f>
        <x:v>0</x:v>
      </x:c>
      <x:c r="L475" s="23" t="n">
        <x:f>SUM('117_价格概率传导'!$E$16:$E$16)</x:f>
        <x:v>0.01</x:v>
      </x:c>
      <x:c r="M475" s="23" t="n">
        <x:f>MAX(0,MIN(H475,L475)-MAX(G475,K475))</x:f>
        <x:v>0</x:v>
      </x:c>
      <x:c r="N475" s="23" t="n">
        <x:f>B475*D475*M475</x:f>
        <x:v>0</x:v>
      </x:c>
      <x:c r="O475" s="460" t="n">
        <x:f>MIN(289900,I475+10000)</x:f>
        <x:v>289900</x:v>
      </x:c>
      <x:c r="P475" s="460" t="n">
        <x:f>O475-30000</x:f>
        <x:v>259900</x:v>
      </x:c>
      <x:c r="Q475" s="460" t="str">
        <x:f>""</x:f>
      </x:c>
      <x:c r="R475" s="460" t="n">
        <x:f>O475-E475</x:f>
        <x:v>40000</x:v>
      </x:c>
      <x:c r="S475" s="460" t="n">
        <x:f>IF(P475&gt;0,P475-E475,"")</x:f>
        <x:v>10000</x:v>
      </x:c>
      <x:c r="T475" s="460" t="str">
        <x:f>IF(Q475&gt;0,Q475-E475,"")</x:f>
      </x:c>
      <x:c r="U475" s="23" t="n">
        <x:f>IF(R475&lt;30000,N475,0)</x:f>
        <x:v>0</x:v>
      </x:c>
      <x:c r="V475" s="23" t="n">
        <x:f>IF(P475&gt;0,N475,0)</x:f>
        <x:v>0</x:v>
      </x:c>
      <x:c r="W475" s="23" t="n">
        <x:f>IF(AND(P475&gt;0,S475&lt;0),N475,0)</x:f>
        <x:v>0</x:v>
      </x:c>
      <x:c r="X475" s="23" t="n">
        <x:f>IF(AND(P475&gt;0,S475=0),N475,0)</x:f>
        <x:v>0</x:v>
      </x:c>
      <x:c r="Y475" s="23" t="n">
        <x:f>IF(Q475&gt;0,N475,0)</x:f>
        <x:v>0</x:v>
      </x:c>
      <x:c r="Z475" s="460" t="n">
        <x:f>IF(P475&gt;0,N475*S475,0)</x:f>
        <x:v>0</x:v>
      </x:c>
      <x:c r="AA475" s="460" t="n">
        <x:f>IF(Q475&gt;0,N475*T475,0)</x:f>
        <x:v>0</x:v>
      </x:c>
      <x:c r="AB475" s="460" t="n">
        <x:f>N475*R475</x:f>
        <x:v>0</x:v>
      </x:c>
      <x:c r="AC475" s="460" t="n">
        <x:f>IF(N475&gt;0,R475,999999)</x:f>
        <x:v>999999</x:v>
      </x:c>
      <x:c r="AD475" s="460" t="n">
        <x:f>IF(AND(N475&gt;0,P475&gt;0),S475,999999)</x:f>
        <x:v>999999</x:v>
      </x:c>
      <x:c r="AE475" s="460" t="n">
        <x:f>IF(AND(N475&gt;0,Q475&gt;0),T475,999999)</x:f>
        <x:v>999999</x:v>
      </x:c>
      <x:c r="AF475" s="23" t="n">
        <x:f>B475*D475*F475*J475</x:f>
        <x:v>0.000033</x:v>
      </x:c>
      <x:c r="AG475" s="23" t="n">
        <x:f>IF(P475&gt;0,AF475,0)</x:f>
        <x:v>0.000033</x:v>
      </x:c>
      <x:c r="AH475" s="23" t="n">
        <x:f>IF(AND(P475&gt;0,S475&lt;0),AF475,0)</x:f>
        <x:v>0</x:v>
      </x:c>
      <x:c r="AI475" s="23" t="n">
        <x:f>IF(AND(P475&gt;0,S475=0),AF475,0)</x:f>
        <x:v>0</x:v>
      </x:c>
      <x:c r="AJ475" s="23" t="n">
        <x:f>IF(R475&lt;30000,AF475,0)</x:f>
        <x:v>0</x:v>
      </x:c>
      <x:c r="AK475" s="460" t="n">
        <x:f>IF(P475&gt;0,AF475*S475,0)</x:f>
        <x:v>0.33</x:v>
      </x:c>
    </x:row>
    <x:row r="476" ht="22" customHeight="1">
      <x:c r="A476" s="643" t="str">
        <x:v>进取</x:v>
      </x:c>
      <x:c r="B476" s="648" t="n">
        <x:f>'114_降本系数'!B28</x:f>
        <x:v>0.15</x:v>
      </x:c>
      <x:c r="C476" s="643" t="str">
        <x:v>L1B</x:v>
      </x:c>
      <x:c r="D476" s="648" t="n">
        <x:f>'130_联合算法'!C18</x:f>
        <x:v>0.1</x:v>
      </x:c>
      <x:c r="E476" s="647" t="n">
        <x:f>'117_价格概率传导'!A8</x:f>
        <x:v>249900</x:v>
      </x:c>
      <x:c r="F476" s="648" t="n">
        <x:f>'117_价格概率传导'!E8</x:f>
        <x:v>0.22</x:v>
      </x:c>
      <x:c r="G476" s="648" t="n">
        <x:f>SUM('117_价格概率传导'!$E$6:$E$7)</x:f>
        <x:v>0.03</x:v>
      </x:c>
      <x:c r="H476" s="648" t="n">
        <x:f>SUM('117_价格概率传导'!$E$6:$E$8)</x:f>
        <x:v>0.25</x:v>
      </x:c>
      <x:c r="I476" s="647" t="n">
        <x:f>'117_价格概率传导'!A17</x:f>
        <x:v>293900</x:v>
      </x:c>
      <x:c r="J476" s="648" t="n">
        <x:f>'117_价格概率传导'!E17</x:f>
        <x:v>0.01</x:v>
      </x:c>
      <x:c r="K476" s="648" t="n">
        <x:f>SUM('117_价格概率传导'!$E$16:$E$16)</x:f>
        <x:v>0.01</x:v>
      </x:c>
      <x:c r="L476" s="648" t="n">
        <x:f>SUM('117_价格概率传导'!$E$16:$E$17)</x:f>
        <x:v>0.02</x:v>
      </x:c>
      <x:c r="M476" s="648" t="n">
        <x:f>MAX(0,MIN(H476,L476)-MAX(G476,K476))</x:f>
        <x:v>0</x:v>
      </x:c>
      <x:c r="N476" s="648" t="n">
        <x:f>B476*D476*M476</x:f>
        <x:v>0</x:v>
      </x:c>
      <x:c r="O476" s="647" t="n">
        <x:f>MIN(289900,I476+10000)</x:f>
        <x:v>289900</x:v>
      </x:c>
      <x:c r="P476" s="647" t="n">
        <x:f>O476-30000</x:f>
        <x:v>259900</x:v>
      </x:c>
      <x:c r="Q476" s="647" t="str">
        <x:f>""</x:f>
      </x:c>
      <x:c r="R476" s="647" t="n">
        <x:f>O476-E476</x:f>
        <x:v>40000</x:v>
      </x:c>
      <x:c r="S476" s="647" t="n">
        <x:f>IF(P476&gt;0,P476-E476,"")</x:f>
        <x:v>10000</x:v>
      </x:c>
      <x:c r="T476" s="647" t="str">
        <x:f>IF(Q476&gt;0,Q476-E476,"")</x:f>
      </x:c>
      <x:c r="U476" s="648" t="n">
        <x:f>IF(R476&lt;30000,N476,0)</x:f>
        <x:v>0</x:v>
      </x:c>
      <x:c r="V476" s="648" t="n">
        <x:f>IF(P476&gt;0,N476,0)</x:f>
        <x:v>0</x:v>
      </x:c>
      <x:c r="W476" s="648" t="n">
        <x:f>IF(AND(P476&gt;0,S476&lt;0),N476,0)</x:f>
        <x:v>0</x:v>
      </x:c>
      <x:c r="X476" s="648" t="n">
        <x:f>IF(AND(P476&gt;0,S476=0),N476,0)</x:f>
        <x:v>0</x:v>
      </x:c>
      <x:c r="Y476" s="648" t="n">
        <x:f>IF(Q476&gt;0,N476,0)</x:f>
        <x:v>0</x:v>
      </x:c>
      <x:c r="Z476" s="647" t="n">
        <x:f>IF(P476&gt;0,N476*S476,0)</x:f>
        <x:v>0</x:v>
      </x:c>
      <x:c r="AA476" s="647" t="n">
        <x:f>IF(Q476&gt;0,N476*T476,0)</x:f>
        <x:v>0</x:v>
      </x:c>
      <x:c r="AB476" s="647" t="n">
        <x:f>N476*R476</x:f>
        <x:v>0</x:v>
      </x:c>
      <x:c r="AC476" s="647" t="n">
        <x:f>IF(N476&gt;0,R476,999999)</x:f>
        <x:v>999999</x:v>
      </x:c>
      <x:c r="AD476" s="647" t="n">
        <x:f>IF(AND(N476&gt;0,P476&gt;0),S476,999999)</x:f>
        <x:v>999999</x:v>
      </x:c>
      <x:c r="AE476" s="647" t="n">
        <x:f>IF(AND(N476&gt;0,Q476&gt;0),T476,999999)</x:f>
        <x:v>999999</x:v>
      </x:c>
      <x:c r="AF476" s="648" t="n">
        <x:f>B476*D476*F476*J476</x:f>
        <x:v>0.000033</x:v>
      </x:c>
      <x:c r="AG476" s="648" t="n">
        <x:f>IF(P476&gt;0,AF476,0)</x:f>
        <x:v>0.000033</x:v>
      </x:c>
      <x:c r="AH476" s="648" t="n">
        <x:f>IF(AND(P476&gt;0,S476&lt;0),AF476,0)</x:f>
        <x:v>0</x:v>
      </x:c>
      <x:c r="AI476" s="648" t="n">
        <x:f>IF(AND(P476&gt;0,S476=0),AF476,0)</x:f>
        <x:v>0</x:v>
      </x:c>
      <x:c r="AJ476" s="648" t="n">
        <x:f>IF(R476&lt;30000,AF476,0)</x:f>
        <x:v>0</x:v>
      </x:c>
      <x:c r="AK476" s="647" t="n">
        <x:f>IF(P476&gt;0,AF476*S476,0)</x:f>
        <x:v>0.33</x:v>
      </x:c>
    </x:row>
    <x:row r="477" ht="22" customHeight="1">
      <x:c r="A477" s="19" t="str">
        <x:v>进取</x:v>
      </x:c>
      <x:c r="B477" s="23" t="n">
        <x:f>'114_降本系数'!B28</x:f>
        <x:v>0.15</x:v>
      </x:c>
      <x:c r="C477" s="19" t="str">
        <x:v>L1B</x:v>
      </x:c>
      <x:c r="D477" s="23" t="n">
        <x:f>'130_联合算法'!C18</x:f>
        <x:v>0.1</x:v>
      </x:c>
      <x:c r="E477" s="460" t="n">
        <x:f>'117_价格概率传导'!A8</x:f>
        <x:v>249900</x:v>
      </x:c>
      <x:c r="F477" s="23" t="n">
        <x:f>'117_价格概率传导'!E8</x:f>
        <x:v>0.22</x:v>
      </x:c>
      <x:c r="G477" s="23" t="n">
        <x:f>SUM('117_价格概率传导'!$E$6:$E$7)</x:f>
        <x:v>0.03</x:v>
      </x:c>
      <x:c r="H477" s="23" t="n">
        <x:f>SUM('117_价格概率传导'!$E$6:$E$8)</x:f>
        <x:v>0.25</x:v>
      </x:c>
      <x:c r="I477" s="460" t="n">
        <x:f>'117_价格概率传导'!A18</x:f>
        <x:v>289900</x:v>
      </x:c>
      <x:c r="J477" s="23" t="n">
        <x:f>'117_价格概率传导'!E18</x:f>
        <x:v>0.1</x:v>
      </x:c>
      <x:c r="K477" s="23" t="n">
        <x:f>SUM('117_价格概率传导'!$E$16:$E$17)</x:f>
        <x:v>0.02</x:v>
      </x:c>
      <x:c r="L477" s="23" t="n">
        <x:f>SUM('117_价格概率传导'!$E$16:$E$18)</x:f>
        <x:v>0.12000000000000001</x:v>
      </x:c>
      <x:c r="M477" s="23" t="n">
        <x:f>MAX(0,MIN(H477,L477)-MAX(G477,K477))</x:f>
        <x:v>0.09000000000000001</x:v>
      </x:c>
      <x:c r="N477" s="23" t="n">
        <x:f>B477*D477*M477</x:f>
        <x:v>0.00135</x:v>
      </x:c>
      <x:c r="O477" s="460" t="n">
        <x:f>MIN(289900,I477+10000)</x:f>
        <x:v>289900</x:v>
      </x:c>
      <x:c r="P477" s="460" t="n">
        <x:f>O477-30000</x:f>
        <x:v>259900</x:v>
      </x:c>
      <x:c r="Q477" s="460" t="str">
        <x:f>""</x:f>
      </x:c>
      <x:c r="R477" s="460" t="n">
        <x:f>O477-E477</x:f>
        <x:v>40000</x:v>
      </x:c>
      <x:c r="S477" s="460" t="n">
        <x:f>IF(P477&gt;0,P477-E477,"")</x:f>
        <x:v>10000</x:v>
      </x:c>
      <x:c r="T477" s="460" t="str">
        <x:f>IF(Q477&gt;0,Q477-E477,"")</x:f>
      </x:c>
      <x:c r="U477" s="23" t="n">
        <x:f>IF(R477&lt;30000,N477,0)</x:f>
        <x:v>0</x:v>
      </x:c>
      <x:c r="V477" s="23" t="n">
        <x:f>IF(P477&gt;0,N477,0)</x:f>
        <x:v>0.00135</x:v>
      </x:c>
      <x:c r="W477" s="23" t="n">
        <x:f>IF(AND(P477&gt;0,S477&lt;0),N477,0)</x:f>
        <x:v>0</x:v>
      </x:c>
      <x:c r="X477" s="23" t="n">
        <x:f>IF(AND(P477&gt;0,S477=0),N477,0)</x:f>
        <x:v>0</x:v>
      </x:c>
      <x:c r="Y477" s="23" t="n">
        <x:f>IF(Q477&gt;0,N477,0)</x:f>
        <x:v>0</x:v>
      </x:c>
      <x:c r="Z477" s="460" t="n">
        <x:f>IF(P477&gt;0,N477*S477,0)</x:f>
        <x:v>13.5</x:v>
      </x:c>
      <x:c r="AA477" s="460" t="n">
        <x:f>IF(Q477&gt;0,N477*T477,0)</x:f>
        <x:v>0</x:v>
      </x:c>
      <x:c r="AB477" s="460" t="n">
        <x:f>N477*R477</x:f>
        <x:v>54</x:v>
      </x:c>
      <x:c r="AC477" s="460" t="n">
        <x:f>IF(N477&gt;0,R477,999999)</x:f>
        <x:v>40000</x:v>
      </x:c>
      <x:c r="AD477" s="460" t="n">
        <x:f>IF(AND(N477&gt;0,P477&gt;0),S477,999999)</x:f>
        <x:v>10000</x:v>
      </x:c>
      <x:c r="AE477" s="460" t="n">
        <x:f>IF(AND(N477&gt;0,Q477&gt;0),T477,999999)</x:f>
        <x:v>999999</x:v>
      </x:c>
      <x:c r="AF477" s="23" t="n">
        <x:f>B477*D477*F477*J477</x:f>
        <x:v>0.00033</x:v>
      </x:c>
      <x:c r="AG477" s="23" t="n">
        <x:f>IF(P477&gt;0,AF477,0)</x:f>
        <x:v>0.00033</x:v>
      </x:c>
      <x:c r="AH477" s="23" t="n">
        <x:f>IF(AND(P477&gt;0,S477&lt;0),AF477,0)</x:f>
        <x:v>0</x:v>
      </x:c>
      <x:c r="AI477" s="23" t="n">
        <x:f>IF(AND(P477&gt;0,S477=0),AF477,0)</x:f>
        <x:v>0</x:v>
      </x:c>
      <x:c r="AJ477" s="23" t="n">
        <x:f>IF(R477&lt;30000,AF477,0)</x:f>
        <x:v>0</x:v>
      </x:c>
      <x:c r="AK477" s="460" t="n">
        <x:f>IF(P477&gt;0,AF477*S477,0)</x:f>
        <x:v>3.3</x:v>
      </x:c>
    </x:row>
    <x:row r="478" ht="22" customHeight="1">
      <x:c r="A478" s="643" t="str">
        <x:v>进取</x:v>
      </x:c>
      <x:c r="B478" s="648" t="n">
        <x:f>'114_降本系数'!B28</x:f>
        <x:v>0.15</x:v>
      </x:c>
      <x:c r="C478" s="643" t="str">
        <x:v>L1B</x:v>
      </x:c>
      <x:c r="D478" s="648" t="n">
        <x:f>'130_联合算法'!C18</x:f>
        <x:v>0.1</x:v>
      </x:c>
      <x:c r="E478" s="647" t="n">
        <x:f>'117_价格概率传导'!A8</x:f>
        <x:v>249900</x:v>
      </x:c>
      <x:c r="F478" s="648" t="n">
        <x:f>'117_价格概率传导'!E8</x:f>
        <x:v>0.22</x:v>
      </x:c>
      <x:c r="G478" s="648" t="n">
        <x:f>SUM('117_价格概率传导'!$E$6:$E$7)</x:f>
        <x:v>0.03</x:v>
      </x:c>
      <x:c r="H478" s="648" t="n">
        <x:f>SUM('117_价格概率传导'!$E$6:$E$8)</x:f>
        <x:v>0.25</x:v>
      </x:c>
      <x:c r="I478" s="647" t="n">
        <x:f>'117_价格概率传导'!A19</x:f>
        <x:v>279900</x:v>
      </x:c>
      <x:c r="J478" s="648" t="n">
        <x:f>'117_价格概率传导'!E19</x:f>
        <x:v>0.3</x:v>
      </x:c>
      <x:c r="K478" s="648" t="n">
        <x:f>SUM('117_价格概率传导'!$E$16:$E$18)</x:f>
        <x:v>0.12000000000000001</x:v>
      </x:c>
      <x:c r="L478" s="648" t="n">
        <x:f>SUM('117_价格概率传导'!$E$16:$E$19)</x:f>
        <x:v>0.42</x:v>
      </x:c>
      <x:c r="M478" s="648" t="n">
        <x:f>MAX(0,MIN(H478,L478)-MAX(G478,K478))</x:f>
        <x:v>0.13</x:v>
      </x:c>
      <x:c r="N478" s="648" t="n">
        <x:f>B478*D478*M478</x:f>
        <x:v>0.00195</x:v>
      </x:c>
      <x:c r="O478" s="647" t="n">
        <x:f>MIN(289900,I478+10000)</x:f>
        <x:v>289900</x:v>
      </x:c>
      <x:c r="P478" s="647" t="n">
        <x:f>O478-30000</x:f>
        <x:v>259900</x:v>
      </x:c>
      <x:c r="Q478" s="647" t="str">
        <x:f>""</x:f>
      </x:c>
      <x:c r="R478" s="647" t="n">
        <x:f>O478-E478</x:f>
        <x:v>40000</x:v>
      </x:c>
      <x:c r="S478" s="647" t="n">
        <x:f>IF(P478&gt;0,P478-E478,"")</x:f>
        <x:v>10000</x:v>
      </x:c>
      <x:c r="T478" s="647" t="str">
        <x:f>IF(Q478&gt;0,Q478-E478,"")</x:f>
      </x:c>
      <x:c r="U478" s="648" t="n">
        <x:f>IF(R478&lt;30000,N478,0)</x:f>
        <x:v>0</x:v>
      </x:c>
      <x:c r="V478" s="648" t="n">
        <x:f>IF(P478&gt;0,N478,0)</x:f>
        <x:v>0.00195</x:v>
      </x:c>
      <x:c r="W478" s="648" t="n">
        <x:f>IF(AND(P478&gt;0,S478&lt;0),N478,0)</x:f>
        <x:v>0</x:v>
      </x:c>
      <x:c r="X478" s="648" t="n">
        <x:f>IF(AND(P478&gt;0,S478=0),N478,0)</x:f>
        <x:v>0</x:v>
      </x:c>
      <x:c r="Y478" s="648" t="n">
        <x:f>IF(Q478&gt;0,N478,0)</x:f>
        <x:v>0</x:v>
      </x:c>
      <x:c r="Z478" s="647" t="n">
        <x:f>IF(P478&gt;0,N478*S478,0)</x:f>
        <x:v>19.5</x:v>
      </x:c>
      <x:c r="AA478" s="647" t="n">
        <x:f>IF(Q478&gt;0,N478*T478,0)</x:f>
        <x:v>0</x:v>
      </x:c>
      <x:c r="AB478" s="647" t="n">
        <x:f>N478*R478</x:f>
        <x:v>78</x:v>
      </x:c>
      <x:c r="AC478" s="647" t="n">
        <x:f>IF(N478&gt;0,R478,999999)</x:f>
        <x:v>40000</x:v>
      </x:c>
      <x:c r="AD478" s="647" t="n">
        <x:f>IF(AND(N478&gt;0,P478&gt;0),S478,999999)</x:f>
        <x:v>10000</x:v>
      </x:c>
      <x:c r="AE478" s="647" t="n">
        <x:f>IF(AND(N478&gt;0,Q478&gt;0),T478,999999)</x:f>
        <x:v>999999</x:v>
      </x:c>
      <x:c r="AF478" s="648" t="n">
        <x:f>B478*D478*F478*J478</x:f>
        <x:v>0.00099</x:v>
      </x:c>
      <x:c r="AG478" s="648" t="n">
        <x:f>IF(P478&gt;0,AF478,0)</x:f>
        <x:v>0.00099</x:v>
      </x:c>
      <x:c r="AH478" s="648" t="n">
        <x:f>IF(AND(P478&gt;0,S478&lt;0),AF478,0)</x:f>
        <x:v>0</x:v>
      </x:c>
      <x:c r="AI478" s="648" t="n">
        <x:f>IF(AND(P478&gt;0,S478=0),AF478,0)</x:f>
        <x:v>0</x:v>
      </x:c>
      <x:c r="AJ478" s="648" t="n">
        <x:f>IF(R478&lt;30000,AF478,0)</x:f>
        <x:v>0</x:v>
      </x:c>
      <x:c r="AK478" s="647" t="n">
        <x:f>IF(P478&gt;0,AF478*S478,0)</x:f>
        <x:v>9.9</x:v>
      </x:c>
    </x:row>
    <x:row r="479" ht="22" customHeight="1">
      <x:c r="A479" s="19" t="str">
        <x:v>进取</x:v>
      </x:c>
      <x:c r="B479" s="23" t="n">
        <x:f>'114_降本系数'!B28</x:f>
        <x:v>0.15</x:v>
      </x:c>
      <x:c r="C479" s="19" t="str">
        <x:v>L1B</x:v>
      </x:c>
      <x:c r="D479" s="23" t="n">
        <x:f>'130_联合算法'!C18</x:f>
        <x:v>0.1</x:v>
      </x:c>
      <x:c r="E479" s="460" t="n">
        <x:f>'117_价格概率传导'!A8</x:f>
        <x:v>249900</x:v>
      </x:c>
      <x:c r="F479" s="23" t="n">
        <x:f>'117_价格概率传导'!E8</x:f>
        <x:v>0.22</x:v>
      </x:c>
      <x:c r="G479" s="23" t="n">
        <x:f>SUM('117_价格概率传导'!$E$6:$E$7)</x:f>
        <x:v>0.03</x:v>
      </x:c>
      <x:c r="H479" s="23" t="n">
        <x:f>SUM('117_价格概率传导'!$E$6:$E$8)</x:f>
        <x:v>0.25</x:v>
      </x:c>
      <x:c r="I479" s="460" t="n">
        <x:f>'117_价格概率传导'!A20</x:f>
        <x:v>269900</x:v>
      </x:c>
      <x:c r="J479" s="23" t="n">
        <x:f>'117_价格概率传导'!E20</x:f>
        <x:v>0.38</x:v>
      </x:c>
      <x:c r="K479" s="23" t="n">
        <x:f>SUM('117_价格概率传导'!$E$16:$E$19)</x:f>
        <x:v>0.42</x:v>
      </x:c>
      <x:c r="L479" s="23" t="n">
        <x:f>SUM('117_价格概率传导'!$E$16:$E$20)</x:f>
        <x:v>0.8</x:v>
      </x:c>
      <x:c r="M479" s="23" t="n">
        <x:f>MAX(0,MIN(H479,L479)-MAX(G479,K479))</x:f>
        <x:v>0</x:v>
      </x:c>
      <x:c r="N479" s="23" t="n">
        <x:f>B479*D479*M479</x:f>
        <x:v>0</x:v>
      </x:c>
      <x:c r="O479" s="460" t="n">
        <x:f>MIN(289900,I479+10000)</x:f>
        <x:v>279900</x:v>
      </x:c>
      <x:c r="P479" s="460" t="n">
        <x:f>O479-30000</x:f>
        <x:v>249900</x:v>
      </x:c>
      <x:c r="Q479" s="460" t="str">
        <x:f>""</x:f>
      </x:c>
      <x:c r="R479" s="460" t="n">
        <x:f>O479-E479</x:f>
        <x:v>30000</x:v>
      </x:c>
      <x:c r="S479" s="460" t="n">
        <x:f>IF(P479&gt;0,P479-E479,"")</x:f>
        <x:v>0</x:v>
      </x:c>
      <x:c r="T479" s="460" t="str">
        <x:f>IF(Q479&gt;0,Q479-E479,"")</x:f>
      </x:c>
      <x:c r="U479" s="23" t="n">
        <x:f>IF(R479&lt;30000,N479,0)</x:f>
        <x:v>0</x:v>
      </x:c>
      <x:c r="V479" s="23" t="n">
        <x:f>IF(P479&gt;0,N479,0)</x:f>
        <x:v>0</x:v>
      </x:c>
      <x:c r="W479" s="23" t="n">
        <x:f>IF(AND(P479&gt;0,S479&lt;0),N479,0)</x:f>
        <x:v>0</x:v>
      </x:c>
      <x:c r="X479" s="23" t="n">
        <x:f>IF(AND(P479&gt;0,S479=0),N479,0)</x:f>
        <x:v>0</x:v>
      </x:c>
      <x:c r="Y479" s="23" t="n">
        <x:f>IF(Q479&gt;0,N479,0)</x:f>
        <x:v>0</x:v>
      </x:c>
      <x:c r="Z479" s="460" t="n">
        <x:f>IF(P479&gt;0,N479*S479,0)</x:f>
        <x:v>0</x:v>
      </x:c>
      <x:c r="AA479" s="460" t="n">
        <x:f>IF(Q479&gt;0,N479*T479,0)</x:f>
        <x:v>0</x:v>
      </x:c>
      <x:c r="AB479" s="460" t="n">
        <x:f>N479*R479</x:f>
        <x:v>0</x:v>
      </x:c>
      <x:c r="AC479" s="460" t="n">
        <x:f>IF(N479&gt;0,R479,999999)</x:f>
        <x:v>999999</x:v>
      </x:c>
      <x:c r="AD479" s="460" t="n">
        <x:f>IF(AND(N479&gt;0,P479&gt;0),S479,999999)</x:f>
        <x:v>999999</x:v>
      </x:c>
      <x:c r="AE479" s="460" t="n">
        <x:f>IF(AND(N479&gt;0,Q479&gt;0),T479,999999)</x:f>
        <x:v>999999</x:v>
      </x:c>
      <x:c r="AF479" s="23" t="n">
        <x:f>B479*D479*F479*J479</x:f>
        <x:v>0.001254</x:v>
      </x:c>
      <x:c r="AG479" s="23" t="n">
        <x:f>IF(P479&gt;0,AF479,0)</x:f>
        <x:v>0.001254</x:v>
      </x:c>
      <x:c r="AH479" s="23" t="n">
        <x:f>IF(AND(P479&gt;0,S479&lt;0),AF479,0)</x:f>
        <x:v>0</x:v>
      </x:c>
      <x:c r="AI479" s="23" t="n">
        <x:f>IF(AND(P479&gt;0,S479=0),AF479,0)</x:f>
        <x:v>0.001254</x:v>
      </x:c>
      <x:c r="AJ479" s="23" t="n">
        <x:f>IF(R479&lt;30000,AF479,0)</x:f>
        <x:v>0</x:v>
      </x:c>
      <x:c r="AK479" s="460" t="n">
        <x:f>IF(P479&gt;0,AF479*S479,0)</x:f>
        <x:v>0</x:v>
      </x:c>
    </x:row>
    <x:row r="480" ht="22" customHeight="1">
      <x:c r="A480" s="643" t="str">
        <x:v>进取</x:v>
      </x:c>
      <x:c r="B480" s="648" t="n">
        <x:f>'114_降本系数'!B28</x:f>
        <x:v>0.15</x:v>
      </x:c>
      <x:c r="C480" s="643" t="str">
        <x:v>L1B</x:v>
      </x:c>
      <x:c r="D480" s="648" t="n">
        <x:f>'130_联合算法'!C18</x:f>
        <x:v>0.1</x:v>
      </x:c>
      <x:c r="E480" s="647" t="n">
        <x:f>'117_价格概率传导'!A8</x:f>
        <x:v>249900</x:v>
      </x:c>
      <x:c r="F480" s="648" t="n">
        <x:f>'117_价格概率传导'!E8</x:f>
        <x:v>0.22</x:v>
      </x:c>
      <x:c r="G480" s="648" t="n">
        <x:f>SUM('117_价格概率传导'!$E$6:$E$7)</x:f>
        <x:v>0.03</x:v>
      </x:c>
      <x:c r="H480" s="648" t="n">
        <x:f>SUM('117_价格概率传导'!$E$6:$E$8)</x:f>
        <x:v>0.25</x:v>
      </x:c>
      <x:c r="I480" s="647" t="n">
        <x:f>'117_价格概率传导'!A21</x:f>
        <x:v>259900</x:v>
      </x:c>
      <x:c r="J480" s="648" t="n">
        <x:f>'117_价格概率传导'!E21</x:f>
        <x:v>0.2</x:v>
      </x:c>
      <x:c r="K480" s="648" t="n">
        <x:f>SUM('117_价格概率传导'!$E$16:$E$20)</x:f>
        <x:v>0.8</x:v>
      </x:c>
      <x:c r="L480" s="648" t="n">
        <x:f>SUM('117_价格概率传导'!$E$16:$E$21)</x:f>
        <x:v>1</x:v>
      </x:c>
      <x:c r="M480" s="648" t="n">
        <x:f>MAX(0,MIN(H480,L480)-MAX(G480,K480))</x:f>
        <x:v>0</x:v>
      </x:c>
      <x:c r="N480" s="648" t="n">
        <x:f>B480*D480*M480</x:f>
        <x:v>0</x:v>
      </x:c>
      <x:c r="O480" s="647" t="n">
        <x:f>MIN(289900,I480+10000)</x:f>
        <x:v>269900</x:v>
      </x:c>
      <x:c r="P480" s="647" t="n">
        <x:f>O480-30000</x:f>
        <x:v>239900</x:v>
      </x:c>
      <x:c r="Q480" s="647" t="str">
        <x:f>""</x:f>
      </x:c>
      <x:c r="R480" s="647" t="n">
        <x:f>O480-E480</x:f>
        <x:v>20000</x:v>
      </x:c>
      <x:c r="S480" s="647" t="n">
        <x:f>IF(P480&gt;0,P480-E480,"")</x:f>
        <x:v>-10000</x:v>
      </x:c>
      <x:c r="T480" s="647" t="str">
        <x:f>IF(Q480&gt;0,Q480-E480,"")</x:f>
      </x:c>
      <x:c r="U480" s="648" t="n">
        <x:f>IF(R480&lt;30000,N480,0)</x:f>
        <x:v>0</x:v>
      </x:c>
      <x:c r="V480" s="648" t="n">
        <x:f>IF(P480&gt;0,N480,0)</x:f>
        <x:v>0</x:v>
      </x:c>
      <x:c r="W480" s="648" t="n">
        <x:f>IF(AND(P480&gt;0,S480&lt;0),N480,0)</x:f>
        <x:v>0</x:v>
      </x:c>
      <x:c r="X480" s="648" t="n">
        <x:f>IF(AND(P480&gt;0,S480=0),N480,0)</x:f>
        <x:v>0</x:v>
      </x:c>
      <x:c r="Y480" s="648" t="n">
        <x:f>IF(Q480&gt;0,N480,0)</x:f>
        <x:v>0</x:v>
      </x:c>
      <x:c r="Z480" s="647" t="n">
        <x:f>IF(P480&gt;0,N480*S480,0)</x:f>
        <x:v>0</x:v>
      </x:c>
      <x:c r="AA480" s="647" t="n">
        <x:f>IF(Q480&gt;0,N480*T480,0)</x:f>
        <x:v>0</x:v>
      </x:c>
      <x:c r="AB480" s="647" t="n">
        <x:f>N480*R480</x:f>
        <x:v>0</x:v>
      </x:c>
      <x:c r="AC480" s="647" t="n">
        <x:f>IF(N480&gt;0,R480,999999)</x:f>
        <x:v>999999</x:v>
      </x:c>
      <x:c r="AD480" s="647" t="n">
        <x:f>IF(AND(N480&gt;0,P480&gt;0),S480,999999)</x:f>
        <x:v>999999</x:v>
      </x:c>
      <x:c r="AE480" s="647" t="n">
        <x:f>IF(AND(N480&gt;0,Q480&gt;0),T480,999999)</x:f>
        <x:v>999999</x:v>
      </x:c>
      <x:c r="AF480" s="648" t="n">
        <x:f>B480*D480*F480*J480</x:f>
        <x:v>0.00066</x:v>
      </x:c>
      <x:c r="AG480" s="648" t="n">
        <x:f>IF(P480&gt;0,AF480,0)</x:f>
        <x:v>0.00066</x:v>
      </x:c>
      <x:c r="AH480" s="648" t="n">
        <x:f>IF(AND(P480&gt;0,S480&lt;0),AF480,0)</x:f>
        <x:v>0.00066</x:v>
      </x:c>
      <x:c r="AI480" s="648" t="n">
        <x:f>IF(AND(P480&gt;0,S480=0),AF480,0)</x:f>
        <x:v>0</x:v>
      </x:c>
      <x:c r="AJ480" s="648" t="n">
        <x:f>IF(R480&lt;30000,AF480,0)</x:f>
        <x:v>0.00066</x:v>
      </x:c>
      <x:c r="AK480" s="647" t="n">
        <x:f>IF(P480&gt;0,AF480*S480,0)</x:f>
        <x:v>-6.6</x:v>
      </x:c>
    </x:row>
    <x:row r="481" ht="22" customHeight="1">
      <x:c r="A481" s="19" t="str">
        <x:v>进取</x:v>
      </x:c>
      <x:c r="B481" s="23" t="n">
        <x:f>'114_降本系数'!B28</x:f>
        <x:v>0.15</x:v>
      </x:c>
      <x:c r="C481" s="19" t="str">
        <x:v>L1B</x:v>
      </x:c>
      <x:c r="D481" s="23" t="n">
        <x:f>'130_联合算法'!C18</x:f>
        <x:v>0.1</x:v>
      </x:c>
      <x:c r="E481" s="460" t="n">
        <x:f>'117_价格概率传导'!A9</x:f>
        <x:v>239900</x:v>
      </x:c>
      <x:c r="F481" s="23" t="n">
        <x:f>'117_价格概率传导'!E9</x:f>
        <x:v>0.32</x:v>
      </x:c>
      <x:c r="G481" s="23" t="n">
        <x:f>SUM('117_价格概率传导'!$E$6:$E$8)</x:f>
        <x:v>0.25</x:v>
      </x:c>
      <x:c r="H481" s="23" t="n">
        <x:f>SUM('117_价格概率传导'!$E$6:$E$9)</x:f>
        <x:v>0.5700000000000001</x:v>
      </x:c>
      <x:c r="I481" s="460" t="n">
        <x:f>'117_价格概率传导'!A16</x:f>
        <x:v>299900</x:v>
      </x:c>
      <x:c r="J481" s="23" t="n">
        <x:f>'117_价格概率传导'!E16</x:f>
        <x:v>0.01</x:v>
      </x:c>
      <x:c r="K481" s="23" t="n">
        <x:f>0</x:f>
        <x:v>0</x:v>
      </x:c>
      <x:c r="L481" s="23" t="n">
        <x:f>SUM('117_价格概率传导'!$E$16:$E$16)</x:f>
        <x:v>0.01</x:v>
      </x:c>
      <x:c r="M481" s="23" t="n">
        <x:f>MAX(0,MIN(H481,L481)-MAX(G481,K481))</x:f>
        <x:v>0</x:v>
      </x:c>
      <x:c r="N481" s="23" t="n">
        <x:f>B481*D481*M481</x:f>
        <x:v>0</x:v>
      </x:c>
      <x:c r="O481" s="460" t="n">
        <x:f>MIN(289900,I481+10000)</x:f>
        <x:v>289900</x:v>
      </x:c>
      <x:c r="P481" s="460" t="n">
        <x:f>O481-30000</x:f>
        <x:v>259900</x:v>
      </x:c>
      <x:c r="Q481" s="460" t="str">
        <x:f>""</x:f>
      </x:c>
      <x:c r="R481" s="460" t="n">
        <x:f>O481-E481</x:f>
        <x:v>50000</x:v>
      </x:c>
      <x:c r="S481" s="460" t="n">
        <x:f>IF(P481&gt;0,P481-E481,"")</x:f>
        <x:v>20000</x:v>
      </x:c>
      <x:c r="T481" s="460" t="str">
        <x:f>IF(Q481&gt;0,Q481-E481,"")</x:f>
      </x:c>
      <x:c r="U481" s="23" t="n">
        <x:f>IF(R481&lt;30000,N481,0)</x:f>
        <x:v>0</x:v>
      </x:c>
      <x:c r="V481" s="23" t="n">
        <x:f>IF(P481&gt;0,N481,0)</x:f>
        <x:v>0</x:v>
      </x:c>
      <x:c r="W481" s="23" t="n">
        <x:f>IF(AND(P481&gt;0,S481&lt;0),N481,0)</x:f>
        <x:v>0</x:v>
      </x:c>
      <x:c r="X481" s="23" t="n">
        <x:f>IF(AND(P481&gt;0,S481=0),N481,0)</x:f>
        <x:v>0</x:v>
      </x:c>
      <x:c r="Y481" s="23" t="n">
        <x:f>IF(Q481&gt;0,N481,0)</x:f>
        <x:v>0</x:v>
      </x:c>
      <x:c r="Z481" s="460" t="n">
        <x:f>IF(P481&gt;0,N481*S481,0)</x:f>
        <x:v>0</x:v>
      </x:c>
      <x:c r="AA481" s="460" t="n">
        <x:f>IF(Q481&gt;0,N481*T481,0)</x:f>
        <x:v>0</x:v>
      </x:c>
      <x:c r="AB481" s="460" t="n">
        <x:f>N481*R481</x:f>
        <x:v>0</x:v>
      </x:c>
      <x:c r="AC481" s="460" t="n">
        <x:f>IF(N481&gt;0,R481,999999)</x:f>
        <x:v>999999</x:v>
      </x:c>
      <x:c r="AD481" s="460" t="n">
        <x:f>IF(AND(N481&gt;0,P481&gt;0),S481,999999)</x:f>
        <x:v>999999</x:v>
      </x:c>
      <x:c r="AE481" s="460" t="n">
        <x:f>IF(AND(N481&gt;0,Q481&gt;0),T481,999999)</x:f>
        <x:v>999999</x:v>
      </x:c>
      <x:c r="AF481" s="23" t="n">
        <x:f>B481*D481*F481*J481</x:f>
        <x:v>0.000047999999999999994</x:v>
      </x:c>
      <x:c r="AG481" s="23" t="n">
        <x:f>IF(P481&gt;0,AF481,0)</x:f>
        <x:v>0.000047999999999999994</x:v>
      </x:c>
      <x:c r="AH481" s="23" t="n">
        <x:f>IF(AND(P481&gt;0,S481&lt;0),AF481,0)</x:f>
        <x:v>0</x:v>
      </x:c>
      <x:c r="AI481" s="23" t="n">
        <x:f>IF(AND(P481&gt;0,S481=0),AF481,0)</x:f>
        <x:v>0</x:v>
      </x:c>
      <x:c r="AJ481" s="23" t="n">
        <x:f>IF(R481&lt;30000,AF481,0)</x:f>
        <x:v>0</x:v>
      </x:c>
      <x:c r="AK481" s="460" t="n">
        <x:f>IF(P481&gt;0,AF481*S481,0)</x:f>
        <x:v>0.9599999999999999</x:v>
      </x:c>
    </x:row>
    <x:row r="482" ht="22" customHeight="1">
      <x:c r="A482" s="643" t="str">
        <x:v>进取</x:v>
      </x:c>
      <x:c r="B482" s="648" t="n">
        <x:f>'114_降本系数'!B28</x:f>
        <x:v>0.15</x:v>
      </x:c>
      <x:c r="C482" s="643" t="str">
        <x:v>L1B</x:v>
      </x:c>
      <x:c r="D482" s="648" t="n">
        <x:f>'130_联合算法'!C18</x:f>
        <x:v>0.1</x:v>
      </x:c>
      <x:c r="E482" s="647" t="n">
        <x:f>'117_价格概率传导'!A9</x:f>
        <x:v>239900</x:v>
      </x:c>
      <x:c r="F482" s="648" t="n">
        <x:f>'117_价格概率传导'!E9</x:f>
        <x:v>0.32</x:v>
      </x:c>
      <x:c r="G482" s="648" t="n">
        <x:f>SUM('117_价格概率传导'!$E$6:$E$8)</x:f>
        <x:v>0.25</x:v>
      </x:c>
      <x:c r="H482" s="648" t="n">
        <x:f>SUM('117_价格概率传导'!$E$6:$E$9)</x:f>
        <x:v>0.5700000000000001</x:v>
      </x:c>
      <x:c r="I482" s="647" t="n">
        <x:f>'117_价格概率传导'!A17</x:f>
        <x:v>293900</x:v>
      </x:c>
      <x:c r="J482" s="648" t="n">
        <x:f>'117_价格概率传导'!E17</x:f>
        <x:v>0.01</x:v>
      </x:c>
      <x:c r="K482" s="648" t="n">
        <x:f>SUM('117_价格概率传导'!$E$16:$E$16)</x:f>
        <x:v>0.01</x:v>
      </x:c>
      <x:c r="L482" s="648" t="n">
        <x:f>SUM('117_价格概率传导'!$E$16:$E$17)</x:f>
        <x:v>0.02</x:v>
      </x:c>
      <x:c r="M482" s="648" t="n">
        <x:f>MAX(0,MIN(H482,L482)-MAX(G482,K482))</x:f>
        <x:v>0</x:v>
      </x:c>
      <x:c r="N482" s="648" t="n">
        <x:f>B482*D482*M482</x:f>
        <x:v>0</x:v>
      </x:c>
      <x:c r="O482" s="647" t="n">
        <x:f>MIN(289900,I482+10000)</x:f>
        <x:v>289900</x:v>
      </x:c>
      <x:c r="P482" s="647" t="n">
        <x:f>O482-30000</x:f>
        <x:v>259900</x:v>
      </x:c>
      <x:c r="Q482" s="647" t="str">
        <x:f>""</x:f>
      </x:c>
      <x:c r="R482" s="647" t="n">
        <x:f>O482-E482</x:f>
        <x:v>50000</x:v>
      </x:c>
      <x:c r="S482" s="647" t="n">
        <x:f>IF(P482&gt;0,P482-E482,"")</x:f>
        <x:v>20000</x:v>
      </x:c>
      <x:c r="T482" s="647" t="str">
        <x:f>IF(Q482&gt;0,Q482-E482,"")</x:f>
      </x:c>
      <x:c r="U482" s="648" t="n">
        <x:f>IF(R482&lt;30000,N482,0)</x:f>
        <x:v>0</x:v>
      </x:c>
      <x:c r="V482" s="648" t="n">
        <x:f>IF(P482&gt;0,N482,0)</x:f>
        <x:v>0</x:v>
      </x:c>
      <x:c r="W482" s="648" t="n">
        <x:f>IF(AND(P482&gt;0,S482&lt;0),N482,0)</x:f>
        <x:v>0</x:v>
      </x:c>
      <x:c r="X482" s="648" t="n">
        <x:f>IF(AND(P482&gt;0,S482=0),N482,0)</x:f>
        <x:v>0</x:v>
      </x:c>
      <x:c r="Y482" s="648" t="n">
        <x:f>IF(Q482&gt;0,N482,0)</x:f>
        <x:v>0</x:v>
      </x:c>
      <x:c r="Z482" s="647" t="n">
        <x:f>IF(P482&gt;0,N482*S482,0)</x:f>
        <x:v>0</x:v>
      </x:c>
      <x:c r="AA482" s="647" t="n">
        <x:f>IF(Q482&gt;0,N482*T482,0)</x:f>
        <x:v>0</x:v>
      </x:c>
      <x:c r="AB482" s="647" t="n">
        <x:f>N482*R482</x:f>
        <x:v>0</x:v>
      </x:c>
      <x:c r="AC482" s="647" t="n">
        <x:f>IF(N482&gt;0,R482,999999)</x:f>
        <x:v>999999</x:v>
      </x:c>
      <x:c r="AD482" s="647" t="n">
        <x:f>IF(AND(N482&gt;0,P482&gt;0),S482,999999)</x:f>
        <x:v>999999</x:v>
      </x:c>
      <x:c r="AE482" s="647" t="n">
        <x:f>IF(AND(N482&gt;0,Q482&gt;0),T482,999999)</x:f>
        <x:v>999999</x:v>
      </x:c>
      <x:c r="AF482" s="648" t="n">
        <x:f>B482*D482*F482*J482</x:f>
        <x:v>0.000047999999999999994</x:v>
      </x:c>
      <x:c r="AG482" s="648" t="n">
        <x:f>IF(P482&gt;0,AF482,0)</x:f>
        <x:v>0.000047999999999999994</x:v>
      </x:c>
      <x:c r="AH482" s="648" t="n">
        <x:f>IF(AND(P482&gt;0,S482&lt;0),AF482,0)</x:f>
        <x:v>0</x:v>
      </x:c>
      <x:c r="AI482" s="648" t="n">
        <x:f>IF(AND(P482&gt;0,S482=0),AF482,0)</x:f>
        <x:v>0</x:v>
      </x:c>
      <x:c r="AJ482" s="648" t="n">
        <x:f>IF(R482&lt;30000,AF482,0)</x:f>
        <x:v>0</x:v>
      </x:c>
      <x:c r="AK482" s="647" t="n">
        <x:f>IF(P482&gt;0,AF482*S482,0)</x:f>
        <x:v>0.9599999999999999</x:v>
      </x:c>
    </x:row>
    <x:row r="483" ht="22" customHeight="1">
      <x:c r="A483" s="19" t="str">
        <x:v>进取</x:v>
      </x:c>
      <x:c r="B483" s="23" t="n">
        <x:f>'114_降本系数'!B28</x:f>
        <x:v>0.15</x:v>
      </x:c>
      <x:c r="C483" s="19" t="str">
        <x:v>L1B</x:v>
      </x:c>
      <x:c r="D483" s="23" t="n">
        <x:f>'130_联合算法'!C18</x:f>
        <x:v>0.1</x:v>
      </x:c>
      <x:c r="E483" s="460" t="n">
        <x:f>'117_价格概率传导'!A9</x:f>
        <x:v>239900</x:v>
      </x:c>
      <x:c r="F483" s="23" t="n">
        <x:f>'117_价格概率传导'!E9</x:f>
        <x:v>0.32</x:v>
      </x:c>
      <x:c r="G483" s="23" t="n">
        <x:f>SUM('117_价格概率传导'!$E$6:$E$8)</x:f>
        <x:v>0.25</x:v>
      </x:c>
      <x:c r="H483" s="23" t="n">
        <x:f>SUM('117_价格概率传导'!$E$6:$E$9)</x:f>
        <x:v>0.5700000000000001</x:v>
      </x:c>
      <x:c r="I483" s="460" t="n">
        <x:f>'117_价格概率传导'!A18</x:f>
        <x:v>289900</x:v>
      </x:c>
      <x:c r="J483" s="23" t="n">
        <x:f>'117_价格概率传导'!E18</x:f>
        <x:v>0.1</x:v>
      </x:c>
      <x:c r="K483" s="23" t="n">
        <x:f>SUM('117_价格概率传导'!$E$16:$E$17)</x:f>
        <x:v>0.02</x:v>
      </x:c>
      <x:c r="L483" s="23" t="n">
        <x:f>SUM('117_价格概率传导'!$E$16:$E$18)</x:f>
        <x:v>0.12000000000000001</x:v>
      </x:c>
      <x:c r="M483" s="23" t="n">
        <x:f>MAX(0,MIN(H483,L483)-MAX(G483,K483))</x:f>
        <x:v>0</x:v>
      </x:c>
      <x:c r="N483" s="23" t="n">
        <x:f>B483*D483*M483</x:f>
        <x:v>0</x:v>
      </x:c>
      <x:c r="O483" s="460" t="n">
        <x:f>MIN(289900,I483+10000)</x:f>
        <x:v>289900</x:v>
      </x:c>
      <x:c r="P483" s="460" t="n">
        <x:f>O483-30000</x:f>
        <x:v>259900</x:v>
      </x:c>
      <x:c r="Q483" s="460" t="str">
        <x:f>""</x:f>
      </x:c>
      <x:c r="R483" s="460" t="n">
        <x:f>O483-E483</x:f>
        <x:v>50000</x:v>
      </x:c>
      <x:c r="S483" s="460" t="n">
        <x:f>IF(P483&gt;0,P483-E483,"")</x:f>
        <x:v>20000</x:v>
      </x:c>
      <x:c r="T483" s="460" t="str">
        <x:f>IF(Q483&gt;0,Q483-E483,"")</x:f>
      </x:c>
      <x:c r="U483" s="23" t="n">
        <x:f>IF(R483&lt;30000,N483,0)</x:f>
        <x:v>0</x:v>
      </x:c>
      <x:c r="V483" s="23" t="n">
        <x:f>IF(P483&gt;0,N483,0)</x:f>
        <x:v>0</x:v>
      </x:c>
      <x:c r="W483" s="23" t="n">
        <x:f>IF(AND(P483&gt;0,S483&lt;0),N483,0)</x:f>
        <x:v>0</x:v>
      </x:c>
      <x:c r="X483" s="23" t="n">
        <x:f>IF(AND(P483&gt;0,S483=0),N483,0)</x:f>
        <x:v>0</x:v>
      </x:c>
      <x:c r="Y483" s="23" t="n">
        <x:f>IF(Q483&gt;0,N483,0)</x:f>
        <x:v>0</x:v>
      </x:c>
      <x:c r="Z483" s="460" t="n">
        <x:f>IF(P483&gt;0,N483*S483,0)</x:f>
        <x:v>0</x:v>
      </x:c>
      <x:c r="AA483" s="460" t="n">
        <x:f>IF(Q483&gt;0,N483*T483,0)</x:f>
        <x:v>0</x:v>
      </x:c>
      <x:c r="AB483" s="460" t="n">
        <x:f>N483*R483</x:f>
        <x:v>0</x:v>
      </x:c>
      <x:c r="AC483" s="460" t="n">
        <x:f>IF(N483&gt;0,R483,999999)</x:f>
        <x:v>999999</x:v>
      </x:c>
      <x:c r="AD483" s="460" t="n">
        <x:f>IF(AND(N483&gt;0,P483&gt;0),S483,999999)</x:f>
        <x:v>999999</x:v>
      </x:c>
      <x:c r="AE483" s="460" t="n">
        <x:f>IF(AND(N483&gt;0,Q483&gt;0),T483,999999)</x:f>
        <x:v>999999</x:v>
      </x:c>
      <x:c r="AF483" s="23" t="n">
        <x:f>B483*D483*F483*J483</x:f>
        <x:v>0.00047999999999999996</x:v>
      </x:c>
      <x:c r="AG483" s="23" t="n">
        <x:f>IF(P483&gt;0,AF483,0)</x:f>
        <x:v>0.00047999999999999996</x:v>
      </x:c>
      <x:c r="AH483" s="23" t="n">
        <x:f>IF(AND(P483&gt;0,S483&lt;0),AF483,0)</x:f>
        <x:v>0</x:v>
      </x:c>
      <x:c r="AI483" s="23" t="n">
        <x:f>IF(AND(P483&gt;0,S483=0),AF483,0)</x:f>
        <x:v>0</x:v>
      </x:c>
      <x:c r="AJ483" s="23" t="n">
        <x:f>IF(R483&lt;30000,AF483,0)</x:f>
        <x:v>0</x:v>
      </x:c>
      <x:c r="AK483" s="460" t="n">
        <x:f>IF(P483&gt;0,AF483*S483,0)</x:f>
        <x:v>9.6</x:v>
      </x:c>
    </x:row>
    <x:row r="484" ht="22" customHeight="1">
      <x:c r="A484" s="643" t="str">
        <x:v>进取</x:v>
      </x:c>
      <x:c r="B484" s="648" t="n">
        <x:f>'114_降本系数'!B28</x:f>
        <x:v>0.15</x:v>
      </x:c>
      <x:c r="C484" s="643" t="str">
        <x:v>L1B</x:v>
      </x:c>
      <x:c r="D484" s="648" t="n">
        <x:f>'130_联合算法'!C18</x:f>
        <x:v>0.1</x:v>
      </x:c>
      <x:c r="E484" s="647" t="n">
        <x:f>'117_价格概率传导'!A9</x:f>
        <x:v>239900</x:v>
      </x:c>
      <x:c r="F484" s="648" t="n">
        <x:f>'117_价格概率传导'!E9</x:f>
        <x:v>0.32</x:v>
      </x:c>
      <x:c r="G484" s="648" t="n">
        <x:f>SUM('117_价格概率传导'!$E$6:$E$8)</x:f>
        <x:v>0.25</x:v>
      </x:c>
      <x:c r="H484" s="648" t="n">
        <x:f>SUM('117_价格概率传导'!$E$6:$E$9)</x:f>
        <x:v>0.5700000000000001</x:v>
      </x:c>
      <x:c r="I484" s="647" t="n">
        <x:f>'117_价格概率传导'!A19</x:f>
        <x:v>279900</x:v>
      </x:c>
      <x:c r="J484" s="648" t="n">
        <x:f>'117_价格概率传导'!E19</x:f>
        <x:v>0.3</x:v>
      </x:c>
      <x:c r="K484" s="648" t="n">
        <x:f>SUM('117_价格概率传导'!$E$16:$E$18)</x:f>
        <x:v>0.12000000000000001</x:v>
      </x:c>
      <x:c r="L484" s="648" t="n">
        <x:f>SUM('117_价格概率传导'!$E$16:$E$19)</x:f>
        <x:v>0.42</x:v>
      </x:c>
      <x:c r="M484" s="648" t="n">
        <x:f>MAX(0,MIN(H484,L484)-MAX(G484,K484))</x:f>
        <x:v>0.16999999999999998</x:v>
      </x:c>
      <x:c r="N484" s="648" t="n">
        <x:f>B484*D484*M484</x:f>
        <x:v>0.0025499999999999997</x:v>
      </x:c>
      <x:c r="O484" s="647" t="n">
        <x:f>MIN(289900,I484+10000)</x:f>
        <x:v>289900</x:v>
      </x:c>
      <x:c r="P484" s="647" t="n">
        <x:f>O484-30000</x:f>
        <x:v>259900</x:v>
      </x:c>
      <x:c r="Q484" s="647" t="str">
        <x:f>""</x:f>
      </x:c>
      <x:c r="R484" s="647" t="n">
        <x:f>O484-E484</x:f>
        <x:v>50000</x:v>
      </x:c>
      <x:c r="S484" s="647" t="n">
        <x:f>IF(P484&gt;0,P484-E484,"")</x:f>
        <x:v>20000</x:v>
      </x:c>
      <x:c r="T484" s="647" t="str">
        <x:f>IF(Q484&gt;0,Q484-E484,"")</x:f>
      </x:c>
      <x:c r="U484" s="648" t="n">
        <x:f>IF(R484&lt;30000,N484,0)</x:f>
        <x:v>0</x:v>
      </x:c>
      <x:c r="V484" s="648" t="n">
        <x:f>IF(P484&gt;0,N484,0)</x:f>
        <x:v>0.0025499999999999997</x:v>
      </x:c>
      <x:c r="W484" s="648" t="n">
        <x:f>IF(AND(P484&gt;0,S484&lt;0),N484,0)</x:f>
        <x:v>0</x:v>
      </x:c>
      <x:c r="X484" s="648" t="n">
        <x:f>IF(AND(P484&gt;0,S484=0),N484,0)</x:f>
        <x:v>0</x:v>
      </x:c>
      <x:c r="Y484" s="648" t="n">
        <x:f>IF(Q484&gt;0,N484,0)</x:f>
        <x:v>0</x:v>
      </x:c>
      <x:c r="Z484" s="647" t="n">
        <x:f>IF(P484&gt;0,N484*S484,0)</x:f>
        <x:v>50.99999999999999</x:v>
      </x:c>
      <x:c r="AA484" s="647" t="n">
        <x:f>IF(Q484&gt;0,N484*T484,0)</x:f>
        <x:v>0</x:v>
      </x:c>
      <x:c r="AB484" s="647" t="n">
        <x:f>N484*R484</x:f>
        <x:v>127.49999999999999</x:v>
      </x:c>
      <x:c r="AC484" s="647" t="n">
        <x:f>IF(N484&gt;0,R484,999999)</x:f>
        <x:v>50000</x:v>
      </x:c>
      <x:c r="AD484" s="647" t="n">
        <x:f>IF(AND(N484&gt;0,P484&gt;0),S484,999999)</x:f>
        <x:v>20000</x:v>
      </x:c>
      <x:c r="AE484" s="647" t="n">
        <x:f>IF(AND(N484&gt;0,Q484&gt;0),T484,999999)</x:f>
        <x:v>999999</x:v>
      </x:c>
      <x:c r="AF484" s="648" t="n">
        <x:f>B484*D484*F484*J484</x:f>
        <x:v>0.0014399999999999999</x:v>
      </x:c>
      <x:c r="AG484" s="648" t="n">
        <x:f>IF(P484&gt;0,AF484,0)</x:f>
        <x:v>0.0014399999999999999</x:v>
      </x:c>
      <x:c r="AH484" s="648" t="n">
        <x:f>IF(AND(P484&gt;0,S484&lt;0),AF484,0)</x:f>
        <x:v>0</x:v>
      </x:c>
      <x:c r="AI484" s="648" t="n">
        <x:f>IF(AND(P484&gt;0,S484=0),AF484,0)</x:f>
        <x:v>0</x:v>
      </x:c>
      <x:c r="AJ484" s="648" t="n">
        <x:f>IF(R484&lt;30000,AF484,0)</x:f>
        <x:v>0</x:v>
      </x:c>
      <x:c r="AK484" s="647" t="n">
        <x:f>IF(P484&gt;0,AF484*S484,0)</x:f>
        <x:v>28.799999999999997</x:v>
      </x:c>
    </x:row>
    <x:row r="485" ht="22" customHeight="1">
      <x:c r="A485" s="19" t="str">
        <x:v>进取</x:v>
      </x:c>
      <x:c r="B485" s="23" t="n">
        <x:f>'114_降本系数'!B28</x:f>
        <x:v>0.15</x:v>
      </x:c>
      <x:c r="C485" s="19" t="str">
        <x:v>L1B</x:v>
      </x:c>
      <x:c r="D485" s="23" t="n">
        <x:f>'130_联合算法'!C18</x:f>
        <x:v>0.1</x:v>
      </x:c>
      <x:c r="E485" s="460" t="n">
        <x:f>'117_价格概率传导'!A9</x:f>
        <x:v>239900</x:v>
      </x:c>
      <x:c r="F485" s="23" t="n">
        <x:f>'117_价格概率传导'!E9</x:f>
        <x:v>0.32</x:v>
      </x:c>
      <x:c r="G485" s="23" t="n">
        <x:f>SUM('117_价格概率传导'!$E$6:$E$8)</x:f>
        <x:v>0.25</x:v>
      </x:c>
      <x:c r="H485" s="23" t="n">
        <x:f>SUM('117_价格概率传导'!$E$6:$E$9)</x:f>
        <x:v>0.5700000000000001</x:v>
      </x:c>
      <x:c r="I485" s="460" t="n">
        <x:f>'117_价格概率传导'!A20</x:f>
        <x:v>269900</x:v>
      </x:c>
      <x:c r="J485" s="23" t="n">
        <x:f>'117_价格概率传导'!E20</x:f>
        <x:v>0.38</x:v>
      </x:c>
      <x:c r="K485" s="23" t="n">
        <x:f>SUM('117_价格概率传导'!$E$16:$E$19)</x:f>
        <x:v>0.42</x:v>
      </x:c>
      <x:c r="L485" s="23" t="n">
        <x:f>SUM('117_价格概率传导'!$E$16:$E$20)</x:f>
        <x:v>0.8</x:v>
      </x:c>
      <x:c r="M485" s="23" t="n">
        <x:f>MAX(0,MIN(H485,L485)-MAX(G485,K485))</x:f>
        <x:v>0.15000000000000008</x:v>
      </x:c>
      <x:c r="N485" s="23" t="n">
        <x:f>B485*D485*M485</x:f>
        <x:v>0.002250000000000001</x:v>
      </x:c>
      <x:c r="O485" s="460" t="n">
        <x:f>MIN(289900,I485+10000)</x:f>
        <x:v>279900</x:v>
      </x:c>
      <x:c r="P485" s="460" t="n">
        <x:f>O485-30000</x:f>
        <x:v>249900</x:v>
      </x:c>
      <x:c r="Q485" s="460" t="str">
        <x:f>""</x:f>
      </x:c>
      <x:c r="R485" s="460" t="n">
        <x:f>O485-E485</x:f>
        <x:v>40000</x:v>
      </x:c>
      <x:c r="S485" s="460" t="n">
        <x:f>IF(P485&gt;0,P485-E485,"")</x:f>
        <x:v>10000</x:v>
      </x:c>
      <x:c r="T485" s="460" t="str">
        <x:f>IF(Q485&gt;0,Q485-E485,"")</x:f>
      </x:c>
      <x:c r="U485" s="23" t="n">
        <x:f>IF(R485&lt;30000,N485,0)</x:f>
        <x:v>0</x:v>
      </x:c>
      <x:c r="V485" s="23" t="n">
        <x:f>IF(P485&gt;0,N485,0)</x:f>
        <x:v>0.002250000000000001</x:v>
      </x:c>
      <x:c r="W485" s="23" t="n">
        <x:f>IF(AND(P485&gt;0,S485&lt;0),N485,0)</x:f>
        <x:v>0</x:v>
      </x:c>
      <x:c r="X485" s="23" t="n">
        <x:f>IF(AND(P485&gt;0,S485=0),N485,0)</x:f>
        <x:v>0</x:v>
      </x:c>
      <x:c r="Y485" s="23" t="n">
        <x:f>IF(Q485&gt;0,N485,0)</x:f>
        <x:v>0</x:v>
      </x:c>
      <x:c r="Z485" s="460" t="n">
        <x:f>IF(P485&gt;0,N485*S485,0)</x:f>
        <x:v>22.50000000000001</x:v>
      </x:c>
      <x:c r="AA485" s="460" t="n">
        <x:f>IF(Q485&gt;0,N485*T485,0)</x:f>
        <x:v>0</x:v>
      </x:c>
      <x:c r="AB485" s="460" t="n">
        <x:f>N485*R485</x:f>
        <x:v>90.00000000000004</x:v>
      </x:c>
      <x:c r="AC485" s="460" t="n">
        <x:f>IF(N485&gt;0,R485,999999)</x:f>
        <x:v>40000</x:v>
      </x:c>
      <x:c r="AD485" s="460" t="n">
        <x:f>IF(AND(N485&gt;0,P485&gt;0),S485,999999)</x:f>
        <x:v>10000</x:v>
      </x:c>
      <x:c r="AE485" s="460" t="n">
        <x:f>IF(AND(N485&gt;0,Q485&gt;0),T485,999999)</x:f>
        <x:v>999999</x:v>
      </x:c>
      <x:c r="AF485" s="23" t="n">
        <x:f>B485*D485*F485*J485</x:f>
        <x:v>0.0018239999999999999</x:v>
      </x:c>
      <x:c r="AG485" s="23" t="n">
        <x:f>IF(P485&gt;0,AF485,0)</x:f>
        <x:v>0.0018239999999999999</x:v>
      </x:c>
      <x:c r="AH485" s="23" t="n">
        <x:f>IF(AND(P485&gt;0,S485&lt;0),AF485,0)</x:f>
        <x:v>0</x:v>
      </x:c>
      <x:c r="AI485" s="23" t="n">
        <x:f>IF(AND(P485&gt;0,S485=0),AF485,0)</x:f>
        <x:v>0</x:v>
      </x:c>
      <x:c r="AJ485" s="23" t="n">
        <x:f>IF(R485&lt;30000,AF485,0)</x:f>
        <x:v>0</x:v>
      </x:c>
      <x:c r="AK485" s="460" t="n">
        <x:f>IF(P485&gt;0,AF485*S485,0)</x:f>
        <x:v>18.24</x:v>
      </x:c>
    </x:row>
    <x:row r="486" ht="22" customHeight="1">
      <x:c r="A486" s="643" t="str">
        <x:v>进取</x:v>
      </x:c>
      <x:c r="B486" s="648" t="n">
        <x:f>'114_降本系数'!B28</x:f>
        <x:v>0.15</x:v>
      </x:c>
      <x:c r="C486" s="643" t="str">
        <x:v>L1B</x:v>
      </x:c>
      <x:c r="D486" s="648" t="n">
        <x:f>'130_联合算法'!C18</x:f>
        <x:v>0.1</x:v>
      </x:c>
      <x:c r="E486" s="647" t="n">
        <x:f>'117_价格概率传导'!A9</x:f>
        <x:v>239900</x:v>
      </x:c>
      <x:c r="F486" s="648" t="n">
        <x:f>'117_价格概率传导'!E9</x:f>
        <x:v>0.32</x:v>
      </x:c>
      <x:c r="G486" s="648" t="n">
        <x:f>SUM('117_价格概率传导'!$E$6:$E$8)</x:f>
        <x:v>0.25</x:v>
      </x:c>
      <x:c r="H486" s="648" t="n">
        <x:f>SUM('117_价格概率传导'!$E$6:$E$9)</x:f>
        <x:v>0.5700000000000001</x:v>
      </x:c>
      <x:c r="I486" s="647" t="n">
        <x:f>'117_价格概率传导'!A21</x:f>
        <x:v>259900</x:v>
      </x:c>
      <x:c r="J486" s="648" t="n">
        <x:f>'117_价格概率传导'!E21</x:f>
        <x:v>0.2</x:v>
      </x:c>
      <x:c r="K486" s="648" t="n">
        <x:f>SUM('117_价格概率传导'!$E$16:$E$20)</x:f>
        <x:v>0.8</x:v>
      </x:c>
      <x:c r="L486" s="648" t="n">
        <x:f>SUM('117_价格概率传导'!$E$16:$E$21)</x:f>
        <x:v>1</x:v>
      </x:c>
      <x:c r="M486" s="648" t="n">
        <x:f>MAX(0,MIN(H486,L486)-MAX(G486,K486))</x:f>
        <x:v>0</x:v>
      </x:c>
      <x:c r="N486" s="648" t="n">
        <x:f>B486*D486*M486</x:f>
        <x:v>0</x:v>
      </x:c>
      <x:c r="O486" s="647" t="n">
        <x:f>MIN(289900,I486+10000)</x:f>
        <x:v>269900</x:v>
      </x:c>
      <x:c r="P486" s="647" t="n">
        <x:f>O486-30000</x:f>
        <x:v>239900</x:v>
      </x:c>
      <x:c r="Q486" s="647" t="str">
        <x:f>""</x:f>
      </x:c>
      <x:c r="R486" s="647" t="n">
        <x:f>O486-E486</x:f>
        <x:v>30000</x:v>
      </x:c>
      <x:c r="S486" s="647" t="n">
        <x:f>IF(P486&gt;0,P486-E486,"")</x:f>
        <x:v>0</x:v>
      </x:c>
      <x:c r="T486" s="647" t="str">
        <x:f>IF(Q486&gt;0,Q486-E486,"")</x:f>
      </x:c>
      <x:c r="U486" s="648" t="n">
        <x:f>IF(R486&lt;30000,N486,0)</x:f>
        <x:v>0</x:v>
      </x:c>
      <x:c r="V486" s="648" t="n">
        <x:f>IF(P486&gt;0,N486,0)</x:f>
        <x:v>0</x:v>
      </x:c>
      <x:c r="W486" s="648" t="n">
        <x:f>IF(AND(P486&gt;0,S486&lt;0),N486,0)</x:f>
        <x:v>0</x:v>
      </x:c>
      <x:c r="X486" s="648" t="n">
        <x:f>IF(AND(P486&gt;0,S486=0),N486,0)</x:f>
        <x:v>0</x:v>
      </x:c>
      <x:c r="Y486" s="648" t="n">
        <x:f>IF(Q486&gt;0,N486,0)</x:f>
        <x:v>0</x:v>
      </x:c>
      <x:c r="Z486" s="647" t="n">
        <x:f>IF(P486&gt;0,N486*S486,0)</x:f>
        <x:v>0</x:v>
      </x:c>
      <x:c r="AA486" s="647" t="n">
        <x:f>IF(Q486&gt;0,N486*T486,0)</x:f>
        <x:v>0</x:v>
      </x:c>
      <x:c r="AB486" s="647" t="n">
        <x:f>N486*R486</x:f>
        <x:v>0</x:v>
      </x:c>
      <x:c r="AC486" s="647" t="n">
        <x:f>IF(N486&gt;0,R486,999999)</x:f>
        <x:v>999999</x:v>
      </x:c>
      <x:c r="AD486" s="647" t="n">
        <x:f>IF(AND(N486&gt;0,P486&gt;0),S486,999999)</x:f>
        <x:v>999999</x:v>
      </x:c>
      <x:c r="AE486" s="647" t="n">
        <x:f>IF(AND(N486&gt;0,Q486&gt;0),T486,999999)</x:f>
        <x:v>999999</x:v>
      </x:c>
      <x:c r="AF486" s="648" t="n">
        <x:f>B486*D486*F486*J486</x:f>
        <x:v>0.0009599999999999999</x:v>
      </x:c>
      <x:c r="AG486" s="648" t="n">
        <x:f>IF(P486&gt;0,AF486,0)</x:f>
        <x:v>0.0009599999999999999</x:v>
      </x:c>
      <x:c r="AH486" s="648" t="n">
        <x:f>IF(AND(P486&gt;0,S486&lt;0),AF486,0)</x:f>
        <x:v>0</x:v>
      </x:c>
      <x:c r="AI486" s="648" t="n">
        <x:f>IF(AND(P486&gt;0,S486=0),AF486,0)</x:f>
        <x:v>0.0009599999999999999</x:v>
      </x:c>
      <x:c r="AJ486" s="648" t="n">
        <x:f>IF(R486&lt;30000,AF486,0)</x:f>
        <x:v>0</x:v>
      </x:c>
      <x:c r="AK486" s="647" t="n">
        <x:f>IF(P486&gt;0,AF486*S486,0)</x:f>
        <x:v>0</x:v>
      </x:c>
    </x:row>
    <x:row r="487" ht="22" customHeight="1">
      <x:c r="A487" s="19" t="str">
        <x:v>进取</x:v>
      </x:c>
      <x:c r="B487" s="23" t="n">
        <x:f>'114_降本系数'!B28</x:f>
        <x:v>0.15</x:v>
      </x:c>
      <x:c r="C487" s="19" t="str">
        <x:v>L1B</x:v>
      </x:c>
      <x:c r="D487" s="23" t="n">
        <x:f>'130_联合算法'!C18</x:f>
        <x:v>0.1</x:v>
      </x:c>
      <x:c r="E487" s="460" t="n">
        <x:f>'117_价格概率传导'!A10</x:f>
        <x:v>229900</x:v>
      </x:c>
      <x:c r="F487" s="23" t="n">
        <x:f>'117_价格概率传导'!E10</x:f>
        <x:v>0.28</x:v>
      </x:c>
      <x:c r="G487" s="23" t="n">
        <x:f>SUM('117_价格概率传导'!$E$6:$E$9)</x:f>
        <x:v>0.5700000000000001</x:v>
      </x:c>
      <x:c r="H487" s="23" t="n">
        <x:f>SUM('117_价格概率传导'!$E$6:$E$10)</x:f>
        <x:v>0.8500000000000001</x:v>
      </x:c>
      <x:c r="I487" s="460" t="n">
        <x:f>'117_价格概率传导'!A16</x:f>
        <x:v>299900</x:v>
      </x:c>
      <x:c r="J487" s="23" t="n">
        <x:f>'117_价格概率传导'!E16</x:f>
        <x:v>0.01</x:v>
      </x:c>
      <x:c r="K487" s="23" t="n">
        <x:f>0</x:f>
        <x:v>0</x:v>
      </x:c>
      <x:c r="L487" s="23" t="n">
        <x:f>SUM('117_价格概率传导'!$E$16:$E$16)</x:f>
        <x:v>0.01</x:v>
      </x:c>
      <x:c r="M487" s="23" t="n">
        <x:f>MAX(0,MIN(H487,L487)-MAX(G487,K487))</x:f>
        <x:v>0</x:v>
      </x:c>
      <x:c r="N487" s="23" t="n">
        <x:f>B487*D487*M487</x:f>
        <x:v>0</x:v>
      </x:c>
      <x:c r="O487" s="460" t="n">
        <x:f>MIN(289900,I487+10000)</x:f>
        <x:v>289900</x:v>
      </x:c>
      <x:c r="P487" s="460" t="n">
        <x:f>O487-30000</x:f>
        <x:v>259900</x:v>
      </x:c>
      <x:c r="Q487" s="460" t="str">
        <x:f>""</x:f>
      </x:c>
      <x:c r="R487" s="460" t="n">
        <x:f>O487-E487</x:f>
        <x:v>60000</x:v>
      </x:c>
      <x:c r="S487" s="460" t="n">
        <x:f>IF(P487&gt;0,P487-E487,"")</x:f>
        <x:v>30000</x:v>
      </x:c>
      <x:c r="T487" s="460" t="str">
        <x:f>IF(Q487&gt;0,Q487-E487,"")</x:f>
      </x:c>
      <x:c r="U487" s="23" t="n">
        <x:f>IF(R487&lt;30000,N487,0)</x:f>
        <x:v>0</x:v>
      </x:c>
      <x:c r="V487" s="23" t="n">
        <x:f>IF(P487&gt;0,N487,0)</x:f>
        <x:v>0</x:v>
      </x:c>
      <x:c r="W487" s="23" t="n">
        <x:f>IF(AND(P487&gt;0,S487&lt;0),N487,0)</x:f>
        <x:v>0</x:v>
      </x:c>
      <x:c r="X487" s="23" t="n">
        <x:f>IF(AND(P487&gt;0,S487=0),N487,0)</x:f>
        <x:v>0</x:v>
      </x:c>
      <x:c r="Y487" s="23" t="n">
        <x:f>IF(Q487&gt;0,N487,0)</x:f>
        <x:v>0</x:v>
      </x:c>
      <x:c r="Z487" s="460" t="n">
        <x:f>IF(P487&gt;0,N487*S487,0)</x:f>
        <x:v>0</x:v>
      </x:c>
      <x:c r="AA487" s="460" t="n">
        <x:f>IF(Q487&gt;0,N487*T487,0)</x:f>
        <x:v>0</x:v>
      </x:c>
      <x:c r="AB487" s="460" t="n">
        <x:f>N487*R487</x:f>
        <x:v>0</x:v>
      </x:c>
      <x:c r="AC487" s="460" t="n">
        <x:f>IF(N487&gt;0,R487,999999)</x:f>
        <x:v>999999</x:v>
      </x:c>
      <x:c r="AD487" s="460" t="n">
        <x:f>IF(AND(N487&gt;0,P487&gt;0),S487,999999)</x:f>
        <x:v>999999</x:v>
      </x:c>
      <x:c r="AE487" s="460" t="n">
        <x:f>IF(AND(N487&gt;0,Q487&gt;0),T487,999999)</x:f>
        <x:v>999999</x:v>
      </x:c>
      <x:c r="AF487" s="23" t="n">
        <x:f>B487*D487*F487*J487</x:f>
        <x:v>0.000042000000000000004</x:v>
      </x:c>
      <x:c r="AG487" s="23" t="n">
        <x:f>IF(P487&gt;0,AF487,0)</x:f>
        <x:v>0.000042000000000000004</x:v>
      </x:c>
      <x:c r="AH487" s="23" t="n">
        <x:f>IF(AND(P487&gt;0,S487&lt;0),AF487,0)</x:f>
        <x:v>0</x:v>
      </x:c>
      <x:c r="AI487" s="23" t="n">
        <x:f>IF(AND(P487&gt;0,S487=0),AF487,0)</x:f>
        <x:v>0</x:v>
      </x:c>
      <x:c r="AJ487" s="23" t="n">
        <x:f>IF(R487&lt;30000,AF487,0)</x:f>
        <x:v>0</x:v>
      </x:c>
      <x:c r="AK487" s="460" t="n">
        <x:f>IF(P487&gt;0,AF487*S487,0)</x:f>
        <x:v>1.2600000000000002</x:v>
      </x:c>
    </x:row>
    <x:row r="488" ht="22" customHeight="1">
      <x:c r="A488" s="643" t="str">
        <x:v>进取</x:v>
      </x:c>
      <x:c r="B488" s="648" t="n">
        <x:f>'114_降本系数'!B28</x:f>
        <x:v>0.15</x:v>
      </x:c>
      <x:c r="C488" s="643" t="str">
        <x:v>L1B</x:v>
      </x:c>
      <x:c r="D488" s="648" t="n">
        <x:f>'130_联合算法'!C18</x:f>
        <x:v>0.1</x:v>
      </x:c>
      <x:c r="E488" s="647" t="n">
        <x:f>'117_价格概率传导'!A10</x:f>
        <x:v>229900</x:v>
      </x:c>
      <x:c r="F488" s="648" t="n">
        <x:f>'117_价格概率传导'!E10</x:f>
        <x:v>0.28</x:v>
      </x:c>
      <x:c r="G488" s="648" t="n">
        <x:f>SUM('117_价格概率传导'!$E$6:$E$9)</x:f>
        <x:v>0.5700000000000001</x:v>
      </x:c>
      <x:c r="H488" s="648" t="n">
        <x:f>SUM('117_价格概率传导'!$E$6:$E$10)</x:f>
        <x:v>0.8500000000000001</x:v>
      </x:c>
      <x:c r="I488" s="647" t="n">
        <x:f>'117_价格概率传导'!A17</x:f>
        <x:v>293900</x:v>
      </x:c>
      <x:c r="J488" s="648" t="n">
        <x:f>'117_价格概率传导'!E17</x:f>
        <x:v>0.01</x:v>
      </x:c>
      <x:c r="K488" s="648" t="n">
        <x:f>SUM('117_价格概率传导'!$E$16:$E$16)</x:f>
        <x:v>0.01</x:v>
      </x:c>
      <x:c r="L488" s="648" t="n">
        <x:f>SUM('117_价格概率传导'!$E$16:$E$17)</x:f>
        <x:v>0.02</x:v>
      </x:c>
      <x:c r="M488" s="648" t="n">
        <x:f>MAX(0,MIN(H488,L488)-MAX(G488,K488))</x:f>
        <x:v>0</x:v>
      </x:c>
      <x:c r="N488" s="648" t="n">
        <x:f>B488*D488*M488</x:f>
        <x:v>0</x:v>
      </x:c>
      <x:c r="O488" s="647" t="n">
        <x:f>MIN(289900,I488+10000)</x:f>
        <x:v>289900</x:v>
      </x:c>
      <x:c r="P488" s="647" t="n">
        <x:f>O488-30000</x:f>
        <x:v>259900</x:v>
      </x:c>
      <x:c r="Q488" s="647" t="str">
        <x:f>""</x:f>
      </x:c>
      <x:c r="R488" s="647" t="n">
        <x:f>O488-E488</x:f>
        <x:v>60000</x:v>
      </x:c>
      <x:c r="S488" s="647" t="n">
        <x:f>IF(P488&gt;0,P488-E488,"")</x:f>
        <x:v>30000</x:v>
      </x:c>
      <x:c r="T488" s="647" t="str">
        <x:f>IF(Q488&gt;0,Q488-E488,"")</x:f>
      </x:c>
      <x:c r="U488" s="648" t="n">
        <x:f>IF(R488&lt;30000,N488,0)</x:f>
        <x:v>0</x:v>
      </x:c>
      <x:c r="V488" s="648" t="n">
        <x:f>IF(P488&gt;0,N488,0)</x:f>
        <x:v>0</x:v>
      </x:c>
      <x:c r="W488" s="648" t="n">
        <x:f>IF(AND(P488&gt;0,S488&lt;0),N488,0)</x:f>
        <x:v>0</x:v>
      </x:c>
      <x:c r="X488" s="648" t="n">
        <x:f>IF(AND(P488&gt;0,S488=0),N488,0)</x:f>
        <x:v>0</x:v>
      </x:c>
      <x:c r="Y488" s="648" t="n">
        <x:f>IF(Q488&gt;0,N488,0)</x:f>
        <x:v>0</x:v>
      </x:c>
      <x:c r="Z488" s="647" t="n">
        <x:f>IF(P488&gt;0,N488*S488,0)</x:f>
        <x:v>0</x:v>
      </x:c>
      <x:c r="AA488" s="647" t="n">
        <x:f>IF(Q488&gt;0,N488*T488,0)</x:f>
        <x:v>0</x:v>
      </x:c>
      <x:c r="AB488" s="647" t="n">
        <x:f>N488*R488</x:f>
        <x:v>0</x:v>
      </x:c>
      <x:c r="AC488" s="647" t="n">
        <x:f>IF(N488&gt;0,R488,999999)</x:f>
        <x:v>999999</x:v>
      </x:c>
      <x:c r="AD488" s="647" t="n">
        <x:f>IF(AND(N488&gt;0,P488&gt;0),S488,999999)</x:f>
        <x:v>999999</x:v>
      </x:c>
      <x:c r="AE488" s="647" t="n">
        <x:f>IF(AND(N488&gt;0,Q488&gt;0),T488,999999)</x:f>
        <x:v>999999</x:v>
      </x:c>
      <x:c r="AF488" s="648" t="n">
        <x:f>B488*D488*F488*J488</x:f>
        <x:v>0.000042000000000000004</x:v>
      </x:c>
      <x:c r="AG488" s="648" t="n">
        <x:f>IF(P488&gt;0,AF488,0)</x:f>
        <x:v>0.000042000000000000004</x:v>
      </x:c>
      <x:c r="AH488" s="648" t="n">
        <x:f>IF(AND(P488&gt;0,S488&lt;0),AF488,0)</x:f>
        <x:v>0</x:v>
      </x:c>
      <x:c r="AI488" s="648" t="n">
        <x:f>IF(AND(P488&gt;0,S488=0),AF488,0)</x:f>
        <x:v>0</x:v>
      </x:c>
      <x:c r="AJ488" s="648" t="n">
        <x:f>IF(R488&lt;30000,AF488,0)</x:f>
        <x:v>0</x:v>
      </x:c>
      <x:c r="AK488" s="647" t="n">
        <x:f>IF(P488&gt;0,AF488*S488,0)</x:f>
        <x:v>1.2600000000000002</x:v>
      </x:c>
    </x:row>
    <x:row r="489" ht="22" customHeight="1">
      <x:c r="A489" s="19" t="str">
        <x:v>进取</x:v>
      </x:c>
      <x:c r="B489" s="23" t="n">
        <x:f>'114_降本系数'!B28</x:f>
        <x:v>0.15</x:v>
      </x:c>
      <x:c r="C489" s="19" t="str">
        <x:v>L1B</x:v>
      </x:c>
      <x:c r="D489" s="23" t="n">
        <x:f>'130_联合算法'!C18</x:f>
        <x:v>0.1</x:v>
      </x:c>
      <x:c r="E489" s="460" t="n">
        <x:f>'117_价格概率传导'!A10</x:f>
        <x:v>229900</x:v>
      </x:c>
      <x:c r="F489" s="23" t="n">
        <x:f>'117_价格概率传导'!E10</x:f>
        <x:v>0.28</x:v>
      </x:c>
      <x:c r="G489" s="23" t="n">
        <x:f>SUM('117_价格概率传导'!$E$6:$E$9)</x:f>
        <x:v>0.5700000000000001</x:v>
      </x:c>
      <x:c r="H489" s="23" t="n">
        <x:f>SUM('117_价格概率传导'!$E$6:$E$10)</x:f>
        <x:v>0.8500000000000001</x:v>
      </x:c>
      <x:c r="I489" s="460" t="n">
        <x:f>'117_价格概率传导'!A18</x:f>
        <x:v>289900</x:v>
      </x:c>
      <x:c r="J489" s="23" t="n">
        <x:f>'117_价格概率传导'!E18</x:f>
        <x:v>0.1</x:v>
      </x:c>
      <x:c r="K489" s="23" t="n">
        <x:f>SUM('117_价格概率传导'!$E$16:$E$17)</x:f>
        <x:v>0.02</x:v>
      </x:c>
      <x:c r="L489" s="23" t="n">
        <x:f>SUM('117_价格概率传导'!$E$16:$E$18)</x:f>
        <x:v>0.12000000000000001</x:v>
      </x:c>
      <x:c r="M489" s="23" t="n">
        <x:f>MAX(0,MIN(H489,L489)-MAX(G489,K489))</x:f>
        <x:v>0</x:v>
      </x:c>
      <x:c r="N489" s="23" t="n">
        <x:f>B489*D489*M489</x:f>
        <x:v>0</x:v>
      </x:c>
      <x:c r="O489" s="460" t="n">
        <x:f>MIN(289900,I489+10000)</x:f>
        <x:v>289900</x:v>
      </x:c>
      <x:c r="P489" s="460" t="n">
        <x:f>O489-30000</x:f>
        <x:v>259900</x:v>
      </x:c>
      <x:c r="Q489" s="460" t="str">
        <x:f>""</x:f>
      </x:c>
      <x:c r="R489" s="460" t="n">
        <x:f>O489-E489</x:f>
        <x:v>60000</x:v>
      </x:c>
      <x:c r="S489" s="460" t="n">
        <x:f>IF(P489&gt;0,P489-E489,"")</x:f>
        <x:v>30000</x:v>
      </x:c>
      <x:c r="T489" s="460" t="str">
        <x:f>IF(Q489&gt;0,Q489-E489,"")</x:f>
      </x:c>
      <x:c r="U489" s="23" t="n">
        <x:f>IF(R489&lt;30000,N489,0)</x:f>
        <x:v>0</x:v>
      </x:c>
      <x:c r="V489" s="23" t="n">
        <x:f>IF(P489&gt;0,N489,0)</x:f>
        <x:v>0</x:v>
      </x:c>
      <x:c r="W489" s="23" t="n">
        <x:f>IF(AND(P489&gt;0,S489&lt;0),N489,0)</x:f>
        <x:v>0</x:v>
      </x:c>
      <x:c r="X489" s="23" t="n">
        <x:f>IF(AND(P489&gt;0,S489=0),N489,0)</x:f>
        <x:v>0</x:v>
      </x:c>
      <x:c r="Y489" s="23" t="n">
        <x:f>IF(Q489&gt;0,N489,0)</x:f>
        <x:v>0</x:v>
      </x:c>
      <x:c r="Z489" s="460" t="n">
        <x:f>IF(P489&gt;0,N489*S489,0)</x:f>
        <x:v>0</x:v>
      </x:c>
      <x:c r="AA489" s="460" t="n">
        <x:f>IF(Q489&gt;0,N489*T489,0)</x:f>
        <x:v>0</x:v>
      </x:c>
      <x:c r="AB489" s="460" t="n">
        <x:f>N489*R489</x:f>
        <x:v>0</x:v>
      </x:c>
      <x:c r="AC489" s="460" t="n">
        <x:f>IF(N489&gt;0,R489,999999)</x:f>
        <x:v>999999</x:v>
      </x:c>
      <x:c r="AD489" s="460" t="n">
        <x:f>IF(AND(N489&gt;0,P489&gt;0),S489,999999)</x:f>
        <x:v>999999</x:v>
      </x:c>
      <x:c r="AE489" s="460" t="n">
        <x:f>IF(AND(N489&gt;0,Q489&gt;0),T489,999999)</x:f>
        <x:v>999999</x:v>
      </x:c>
      <x:c r="AF489" s="23" t="n">
        <x:f>B489*D489*F489*J489</x:f>
        <x:v>0.00042000000000000007</x:v>
      </x:c>
      <x:c r="AG489" s="23" t="n">
        <x:f>IF(P489&gt;0,AF489,0)</x:f>
        <x:v>0.00042000000000000007</x:v>
      </x:c>
      <x:c r="AH489" s="23" t="n">
        <x:f>IF(AND(P489&gt;0,S489&lt;0),AF489,0)</x:f>
        <x:v>0</x:v>
      </x:c>
      <x:c r="AI489" s="23" t="n">
        <x:f>IF(AND(P489&gt;0,S489=0),AF489,0)</x:f>
        <x:v>0</x:v>
      </x:c>
      <x:c r="AJ489" s="23" t="n">
        <x:f>IF(R489&lt;30000,AF489,0)</x:f>
        <x:v>0</x:v>
      </x:c>
      <x:c r="AK489" s="460" t="n">
        <x:f>IF(P489&gt;0,AF489*S489,0)</x:f>
        <x:v>12.600000000000001</x:v>
      </x:c>
    </x:row>
    <x:row r="490" ht="22" customHeight="1">
      <x:c r="A490" s="643" t="str">
        <x:v>进取</x:v>
      </x:c>
      <x:c r="B490" s="648" t="n">
        <x:f>'114_降本系数'!B28</x:f>
        <x:v>0.15</x:v>
      </x:c>
      <x:c r="C490" s="643" t="str">
        <x:v>L1B</x:v>
      </x:c>
      <x:c r="D490" s="648" t="n">
        <x:f>'130_联合算法'!C18</x:f>
        <x:v>0.1</x:v>
      </x:c>
      <x:c r="E490" s="647" t="n">
        <x:f>'117_价格概率传导'!A10</x:f>
        <x:v>229900</x:v>
      </x:c>
      <x:c r="F490" s="648" t="n">
        <x:f>'117_价格概率传导'!E10</x:f>
        <x:v>0.28</x:v>
      </x:c>
      <x:c r="G490" s="648" t="n">
        <x:f>SUM('117_价格概率传导'!$E$6:$E$9)</x:f>
        <x:v>0.5700000000000001</x:v>
      </x:c>
      <x:c r="H490" s="648" t="n">
        <x:f>SUM('117_价格概率传导'!$E$6:$E$10)</x:f>
        <x:v>0.8500000000000001</x:v>
      </x:c>
      <x:c r="I490" s="647" t="n">
        <x:f>'117_价格概率传导'!A19</x:f>
        <x:v>279900</x:v>
      </x:c>
      <x:c r="J490" s="648" t="n">
        <x:f>'117_价格概率传导'!E19</x:f>
        <x:v>0.3</x:v>
      </x:c>
      <x:c r="K490" s="648" t="n">
        <x:f>SUM('117_价格概率传导'!$E$16:$E$18)</x:f>
        <x:v>0.12000000000000001</x:v>
      </x:c>
      <x:c r="L490" s="648" t="n">
        <x:f>SUM('117_价格概率传导'!$E$16:$E$19)</x:f>
        <x:v>0.42</x:v>
      </x:c>
      <x:c r="M490" s="648" t="n">
        <x:f>MAX(0,MIN(H490,L490)-MAX(G490,K490))</x:f>
        <x:v>0</x:v>
      </x:c>
      <x:c r="N490" s="648" t="n">
        <x:f>B490*D490*M490</x:f>
        <x:v>0</x:v>
      </x:c>
      <x:c r="O490" s="647" t="n">
        <x:f>MIN(289900,I490+10000)</x:f>
        <x:v>289900</x:v>
      </x:c>
      <x:c r="P490" s="647" t="n">
        <x:f>O490-30000</x:f>
        <x:v>259900</x:v>
      </x:c>
      <x:c r="Q490" s="647" t="str">
        <x:f>""</x:f>
      </x:c>
      <x:c r="R490" s="647" t="n">
        <x:f>O490-E490</x:f>
        <x:v>60000</x:v>
      </x:c>
      <x:c r="S490" s="647" t="n">
        <x:f>IF(P490&gt;0,P490-E490,"")</x:f>
        <x:v>30000</x:v>
      </x:c>
      <x:c r="T490" s="647" t="str">
        <x:f>IF(Q490&gt;0,Q490-E490,"")</x:f>
      </x:c>
      <x:c r="U490" s="648" t="n">
        <x:f>IF(R490&lt;30000,N490,0)</x:f>
        <x:v>0</x:v>
      </x:c>
      <x:c r="V490" s="648" t="n">
        <x:f>IF(P490&gt;0,N490,0)</x:f>
        <x:v>0</x:v>
      </x:c>
      <x:c r="W490" s="648" t="n">
        <x:f>IF(AND(P490&gt;0,S490&lt;0),N490,0)</x:f>
        <x:v>0</x:v>
      </x:c>
      <x:c r="X490" s="648" t="n">
        <x:f>IF(AND(P490&gt;0,S490=0),N490,0)</x:f>
        <x:v>0</x:v>
      </x:c>
      <x:c r="Y490" s="648" t="n">
        <x:f>IF(Q490&gt;0,N490,0)</x:f>
        <x:v>0</x:v>
      </x:c>
      <x:c r="Z490" s="647" t="n">
        <x:f>IF(P490&gt;0,N490*S490,0)</x:f>
        <x:v>0</x:v>
      </x:c>
      <x:c r="AA490" s="647" t="n">
        <x:f>IF(Q490&gt;0,N490*T490,0)</x:f>
        <x:v>0</x:v>
      </x:c>
      <x:c r="AB490" s="647" t="n">
        <x:f>N490*R490</x:f>
        <x:v>0</x:v>
      </x:c>
      <x:c r="AC490" s="647" t="n">
        <x:f>IF(N490&gt;0,R490,999999)</x:f>
        <x:v>999999</x:v>
      </x:c>
      <x:c r="AD490" s="647" t="n">
        <x:f>IF(AND(N490&gt;0,P490&gt;0),S490,999999)</x:f>
        <x:v>999999</x:v>
      </x:c>
      <x:c r="AE490" s="647" t="n">
        <x:f>IF(AND(N490&gt;0,Q490&gt;0),T490,999999)</x:f>
        <x:v>999999</x:v>
      </x:c>
      <x:c r="AF490" s="648" t="n">
        <x:f>B490*D490*F490*J490</x:f>
        <x:v>0.00126</x:v>
      </x:c>
      <x:c r="AG490" s="648" t="n">
        <x:f>IF(P490&gt;0,AF490,0)</x:f>
        <x:v>0.00126</x:v>
      </x:c>
      <x:c r="AH490" s="648" t="n">
        <x:f>IF(AND(P490&gt;0,S490&lt;0),AF490,0)</x:f>
        <x:v>0</x:v>
      </x:c>
      <x:c r="AI490" s="648" t="n">
        <x:f>IF(AND(P490&gt;0,S490=0),AF490,0)</x:f>
        <x:v>0</x:v>
      </x:c>
      <x:c r="AJ490" s="648" t="n">
        <x:f>IF(R490&lt;30000,AF490,0)</x:f>
        <x:v>0</x:v>
      </x:c>
      <x:c r="AK490" s="647" t="n">
        <x:f>IF(P490&gt;0,AF490*S490,0)</x:f>
        <x:v>37.800000000000004</x:v>
      </x:c>
    </x:row>
    <x:row r="491" ht="22" customHeight="1">
      <x:c r="A491" s="19" t="str">
        <x:v>进取</x:v>
      </x:c>
      <x:c r="B491" s="23" t="n">
        <x:f>'114_降本系数'!B28</x:f>
        <x:v>0.15</x:v>
      </x:c>
      <x:c r="C491" s="19" t="str">
        <x:v>L1B</x:v>
      </x:c>
      <x:c r="D491" s="23" t="n">
        <x:f>'130_联合算法'!C18</x:f>
        <x:v>0.1</x:v>
      </x:c>
      <x:c r="E491" s="460" t="n">
        <x:f>'117_价格概率传导'!A10</x:f>
        <x:v>229900</x:v>
      </x:c>
      <x:c r="F491" s="23" t="n">
        <x:f>'117_价格概率传导'!E10</x:f>
        <x:v>0.28</x:v>
      </x:c>
      <x:c r="G491" s="23" t="n">
        <x:f>SUM('117_价格概率传导'!$E$6:$E$9)</x:f>
        <x:v>0.5700000000000001</x:v>
      </x:c>
      <x:c r="H491" s="23" t="n">
        <x:f>SUM('117_价格概率传导'!$E$6:$E$10)</x:f>
        <x:v>0.8500000000000001</x:v>
      </x:c>
      <x:c r="I491" s="460" t="n">
        <x:f>'117_价格概率传导'!A20</x:f>
        <x:v>269900</x:v>
      </x:c>
      <x:c r="J491" s="23" t="n">
        <x:f>'117_价格概率传导'!E20</x:f>
        <x:v>0.38</x:v>
      </x:c>
      <x:c r="K491" s="23" t="n">
        <x:f>SUM('117_价格概率传导'!$E$16:$E$19)</x:f>
        <x:v>0.42</x:v>
      </x:c>
      <x:c r="L491" s="23" t="n">
        <x:f>SUM('117_价格概率传导'!$E$16:$E$20)</x:f>
        <x:v>0.8</x:v>
      </x:c>
      <x:c r="M491" s="23" t="n">
        <x:f>MAX(0,MIN(H491,L491)-MAX(G491,K491))</x:f>
        <x:v>0.22999999999999998</x:v>
      </x:c>
      <x:c r="N491" s="23" t="n">
        <x:f>B491*D491*M491</x:f>
        <x:v>0.0034499999999999995</x:v>
      </x:c>
      <x:c r="O491" s="460" t="n">
        <x:f>MIN(289900,I491+10000)</x:f>
        <x:v>279900</x:v>
      </x:c>
      <x:c r="P491" s="460" t="n">
        <x:f>O491-30000</x:f>
        <x:v>249900</x:v>
      </x:c>
      <x:c r="Q491" s="460" t="str">
        <x:f>""</x:f>
      </x:c>
      <x:c r="R491" s="460" t="n">
        <x:f>O491-E491</x:f>
        <x:v>50000</x:v>
      </x:c>
      <x:c r="S491" s="460" t="n">
        <x:f>IF(P491&gt;0,P491-E491,"")</x:f>
        <x:v>20000</x:v>
      </x:c>
      <x:c r="T491" s="460" t="str">
        <x:f>IF(Q491&gt;0,Q491-E491,"")</x:f>
      </x:c>
      <x:c r="U491" s="23" t="n">
        <x:f>IF(R491&lt;30000,N491,0)</x:f>
        <x:v>0</x:v>
      </x:c>
      <x:c r="V491" s="23" t="n">
        <x:f>IF(P491&gt;0,N491,0)</x:f>
        <x:v>0.0034499999999999995</x:v>
      </x:c>
      <x:c r="W491" s="23" t="n">
        <x:f>IF(AND(P491&gt;0,S491&lt;0),N491,0)</x:f>
        <x:v>0</x:v>
      </x:c>
      <x:c r="X491" s="23" t="n">
        <x:f>IF(AND(P491&gt;0,S491=0),N491,0)</x:f>
        <x:v>0</x:v>
      </x:c>
      <x:c r="Y491" s="23" t="n">
        <x:f>IF(Q491&gt;0,N491,0)</x:f>
        <x:v>0</x:v>
      </x:c>
      <x:c r="Z491" s="460" t="n">
        <x:f>IF(P491&gt;0,N491*S491,0)</x:f>
        <x:v>68.99999999999999</x:v>
      </x:c>
      <x:c r="AA491" s="460" t="n">
        <x:f>IF(Q491&gt;0,N491*T491,0)</x:f>
        <x:v>0</x:v>
      </x:c>
      <x:c r="AB491" s="460" t="n">
        <x:f>N491*R491</x:f>
        <x:v>172.49999999999997</x:v>
      </x:c>
      <x:c r="AC491" s="460" t="n">
        <x:f>IF(N491&gt;0,R491,999999)</x:f>
        <x:v>50000</x:v>
      </x:c>
      <x:c r="AD491" s="460" t="n">
        <x:f>IF(AND(N491&gt;0,P491&gt;0),S491,999999)</x:f>
        <x:v>20000</x:v>
      </x:c>
      <x:c r="AE491" s="460" t="n">
        <x:f>IF(AND(N491&gt;0,Q491&gt;0),T491,999999)</x:f>
        <x:v>999999</x:v>
      </x:c>
      <x:c r="AF491" s="23" t="n">
        <x:f>B491*D491*F491*J491</x:f>
        <x:v>0.0015960000000000002</x:v>
      </x:c>
      <x:c r="AG491" s="23" t="n">
        <x:f>IF(P491&gt;0,AF491,0)</x:f>
        <x:v>0.0015960000000000002</x:v>
      </x:c>
      <x:c r="AH491" s="23" t="n">
        <x:f>IF(AND(P491&gt;0,S491&lt;0),AF491,0)</x:f>
        <x:v>0</x:v>
      </x:c>
      <x:c r="AI491" s="23" t="n">
        <x:f>IF(AND(P491&gt;0,S491=0),AF491,0)</x:f>
        <x:v>0</x:v>
      </x:c>
      <x:c r="AJ491" s="23" t="n">
        <x:f>IF(R491&lt;30000,AF491,0)</x:f>
        <x:v>0</x:v>
      </x:c>
      <x:c r="AK491" s="460" t="n">
        <x:f>IF(P491&gt;0,AF491*S491,0)</x:f>
        <x:v>31.920000000000005</x:v>
      </x:c>
    </x:row>
    <x:row r="492" ht="22" customHeight="1">
      <x:c r="A492" s="643" t="str">
        <x:v>进取</x:v>
      </x:c>
      <x:c r="B492" s="648" t="n">
        <x:f>'114_降本系数'!B28</x:f>
        <x:v>0.15</x:v>
      </x:c>
      <x:c r="C492" s="643" t="str">
        <x:v>L1B</x:v>
      </x:c>
      <x:c r="D492" s="648" t="n">
        <x:f>'130_联合算法'!C18</x:f>
        <x:v>0.1</x:v>
      </x:c>
      <x:c r="E492" s="647" t="n">
        <x:f>'117_价格概率传导'!A10</x:f>
        <x:v>229900</x:v>
      </x:c>
      <x:c r="F492" s="648" t="n">
        <x:f>'117_价格概率传导'!E10</x:f>
        <x:v>0.28</x:v>
      </x:c>
      <x:c r="G492" s="648" t="n">
        <x:f>SUM('117_价格概率传导'!$E$6:$E$9)</x:f>
        <x:v>0.5700000000000001</x:v>
      </x:c>
      <x:c r="H492" s="648" t="n">
        <x:f>SUM('117_价格概率传导'!$E$6:$E$10)</x:f>
        <x:v>0.8500000000000001</x:v>
      </x:c>
      <x:c r="I492" s="647" t="n">
        <x:f>'117_价格概率传导'!A21</x:f>
        <x:v>259900</x:v>
      </x:c>
      <x:c r="J492" s="648" t="n">
        <x:f>'117_价格概率传导'!E21</x:f>
        <x:v>0.2</x:v>
      </x:c>
      <x:c r="K492" s="648" t="n">
        <x:f>SUM('117_价格概率传导'!$E$16:$E$20)</x:f>
        <x:v>0.8</x:v>
      </x:c>
      <x:c r="L492" s="648" t="n">
        <x:f>SUM('117_价格概率传导'!$E$16:$E$21)</x:f>
        <x:v>1</x:v>
      </x:c>
      <x:c r="M492" s="648" t="n">
        <x:f>MAX(0,MIN(H492,L492)-MAX(G492,K492))</x:f>
        <x:v>0.050000000000000044</x:v>
      </x:c>
      <x:c r="N492" s="648" t="n">
        <x:f>B492*D492*M492</x:f>
        <x:v>0.0007500000000000007</x:v>
      </x:c>
      <x:c r="O492" s="647" t="n">
        <x:f>MIN(289900,I492+10000)</x:f>
        <x:v>269900</x:v>
      </x:c>
      <x:c r="P492" s="647" t="n">
        <x:f>O492-30000</x:f>
        <x:v>239900</x:v>
      </x:c>
      <x:c r="Q492" s="647" t="str">
        <x:f>""</x:f>
      </x:c>
      <x:c r="R492" s="647" t="n">
        <x:f>O492-E492</x:f>
        <x:v>40000</x:v>
      </x:c>
      <x:c r="S492" s="647" t="n">
        <x:f>IF(P492&gt;0,P492-E492,"")</x:f>
        <x:v>10000</x:v>
      </x:c>
      <x:c r="T492" s="647" t="str">
        <x:f>IF(Q492&gt;0,Q492-E492,"")</x:f>
      </x:c>
      <x:c r="U492" s="648" t="n">
        <x:f>IF(R492&lt;30000,N492,0)</x:f>
        <x:v>0</x:v>
      </x:c>
      <x:c r="V492" s="648" t="n">
        <x:f>IF(P492&gt;0,N492,0)</x:f>
        <x:v>0.0007500000000000007</x:v>
      </x:c>
      <x:c r="W492" s="648" t="n">
        <x:f>IF(AND(P492&gt;0,S492&lt;0),N492,0)</x:f>
        <x:v>0</x:v>
      </x:c>
      <x:c r="X492" s="648" t="n">
        <x:f>IF(AND(P492&gt;0,S492=0),N492,0)</x:f>
        <x:v>0</x:v>
      </x:c>
      <x:c r="Y492" s="648" t="n">
        <x:f>IF(Q492&gt;0,N492,0)</x:f>
        <x:v>0</x:v>
      </x:c>
      <x:c r="Z492" s="647" t="n">
        <x:f>IF(P492&gt;0,N492*S492,0)</x:f>
        <x:v>7.500000000000007</x:v>
      </x:c>
      <x:c r="AA492" s="647" t="n">
        <x:f>IF(Q492&gt;0,N492*T492,0)</x:f>
        <x:v>0</x:v>
      </x:c>
      <x:c r="AB492" s="647" t="n">
        <x:f>N492*R492</x:f>
        <x:v>30.00000000000003</x:v>
      </x:c>
      <x:c r="AC492" s="647" t="n">
        <x:f>IF(N492&gt;0,R492,999999)</x:f>
        <x:v>40000</x:v>
      </x:c>
      <x:c r="AD492" s="647" t="n">
        <x:f>IF(AND(N492&gt;0,P492&gt;0),S492,999999)</x:f>
        <x:v>10000</x:v>
      </x:c>
      <x:c r="AE492" s="647" t="n">
        <x:f>IF(AND(N492&gt;0,Q492&gt;0),T492,999999)</x:f>
        <x:v>999999</x:v>
      </x:c>
      <x:c r="AF492" s="648" t="n">
        <x:f>B492*D492*F492*J492</x:f>
        <x:v>0.0008400000000000001</x:v>
      </x:c>
      <x:c r="AG492" s="648" t="n">
        <x:f>IF(P492&gt;0,AF492,0)</x:f>
        <x:v>0.0008400000000000001</x:v>
      </x:c>
      <x:c r="AH492" s="648" t="n">
        <x:f>IF(AND(P492&gt;0,S492&lt;0),AF492,0)</x:f>
        <x:v>0</x:v>
      </x:c>
      <x:c r="AI492" s="648" t="n">
        <x:f>IF(AND(P492&gt;0,S492=0),AF492,0)</x:f>
        <x:v>0</x:v>
      </x:c>
      <x:c r="AJ492" s="648" t="n">
        <x:f>IF(R492&lt;30000,AF492,0)</x:f>
        <x:v>0</x:v>
      </x:c>
      <x:c r="AK492" s="647" t="n">
        <x:f>IF(P492&gt;0,AF492*S492,0)</x:f>
        <x:v>8.400000000000002</x:v>
      </x:c>
    </x:row>
    <x:row r="493" ht="22" customHeight="1">
      <x:c r="A493" s="19" t="str">
        <x:v>进取</x:v>
      </x:c>
      <x:c r="B493" s="23" t="n">
        <x:f>'114_降本系数'!B28</x:f>
        <x:v>0.15</x:v>
      </x:c>
      <x:c r="C493" s="19" t="str">
        <x:v>L1B</x:v>
      </x:c>
      <x:c r="D493" s="23" t="n">
        <x:f>'130_联合算法'!C18</x:f>
        <x:v>0.1</x:v>
      </x:c>
      <x:c r="E493" s="460" t="n">
        <x:f>'117_价格概率传导'!A11</x:f>
        <x:v>219900</x:v>
      </x:c>
      <x:c r="F493" s="23" t="n">
        <x:f>'117_价格概率传导'!E11</x:f>
        <x:v>0.15</x:v>
      </x:c>
      <x:c r="G493" s="23" t="n">
        <x:f>SUM('117_价格概率传导'!$E$6:$E$10)</x:f>
        <x:v>0.8500000000000001</x:v>
      </x:c>
      <x:c r="H493" s="23" t="n">
        <x:f>SUM('117_价格概率传导'!$E$6:$E$11)</x:f>
        <x:v>1</x:v>
      </x:c>
      <x:c r="I493" s="460" t="n">
        <x:f>'117_价格概率传导'!A16</x:f>
        <x:v>299900</x:v>
      </x:c>
      <x:c r="J493" s="23" t="n">
        <x:f>'117_价格概率传导'!E16</x:f>
        <x:v>0.01</x:v>
      </x:c>
      <x:c r="K493" s="23" t="n">
        <x:f>0</x:f>
        <x:v>0</x:v>
      </x:c>
      <x:c r="L493" s="23" t="n">
        <x:f>SUM('117_价格概率传导'!$E$16:$E$16)</x:f>
        <x:v>0.01</x:v>
      </x:c>
      <x:c r="M493" s="23" t="n">
        <x:f>MAX(0,MIN(H493,L493)-MAX(G493,K493))</x:f>
        <x:v>0</x:v>
      </x:c>
      <x:c r="N493" s="23" t="n">
        <x:f>B493*D493*M493</x:f>
        <x:v>0</x:v>
      </x:c>
      <x:c r="O493" s="460" t="n">
        <x:f>MIN(289900,I493+10000)</x:f>
        <x:v>289900</x:v>
      </x:c>
      <x:c r="P493" s="460" t="n">
        <x:f>O493-30000</x:f>
        <x:v>259900</x:v>
      </x:c>
      <x:c r="Q493" s="460" t="str">
        <x:f>""</x:f>
      </x:c>
      <x:c r="R493" s="460" t="n">
        <x:f>O493-E493</x:f>
        <x:v>70000</x:v>
      </x:c>
      <x:c r="S493" s="460" t="n">
        <x:f>IF(P493&gt;0,P493-E493,"")</x:f>
        <x:v>40000</x:v>
      </x:c>
      <x:c r="T493" s="460" t="str">
        <x:f>IF(Q493&gt;0,Q493-E493,"")</x:f>
      </x:c>
      <x:c r="U493" s="23" t="n">
        <x:f>IF(R493&lt;30000,N493,0)</x:f>
        <x:v>0</x:v>
      </x:c>
      <x:c r="V493" s="23" t="n">
        <x:f>IF(P493&gt;0,N493,0)</x:f>
        <x:v>0</x:v>
      </x:c>
      <x:c r="W493" s="23" t="n">
        <x:f>IF(AND(P493&gt;0,S493&lt;0),N493,0)</x:f>
        <x:v>0</x:v>
      </x:c>
      <x:c r="X493" s="23" t="n">
        <x:f>IF(AND(P493&gt;0,S493=0),N493,0)</x:f>
        <x:v>0</x:v>
      </x:c>
      <x:c r="Y493" s="23" t="n">
        <x:f>IF(Q493&gt;0,N493,0)</x:f>
        <x:v>0</x:v>
      </x:c>
      <x:c r="Z493" s="460" t="n">
        <x:f>IF(P493&gt;0,N493*S493,0)</x:f>
        <x:v>0</x:v>
      </x:c>
      <x:c r="AA493" s="460" t="n">
        <x:f>IF(Q493&gt;0,N493*T493,0)</x:f>
        <x:v>0</x:v>
      </x:c>
      <x:c r="AB493" s="460" t="n">
        <x:f>N493*R493</x:f>
        <x:v>0</x:v>
      </x:c>
      <x:c r="AC493" s="460" t="n">
        <x:f>IF(N493&gt;0,R493,999999)</x:f>
        <x:v>999999</x:v>
      </x:c>
      <x:c r="AD493" s="460" t="n">
        <x:f>IF(AND(N493&gt;0,P493&gt;0),S493,999999)</x:f>
        <x:v>999999</x:v>
      </x:c>
      <x:c r="AE493" s="460" t="n">
        <x:f>IF(AND(N493&gt;0,Q493&gt;0),T493,999999)</x:f>
        <x:v>999999</x:v>
      </x:c>
      <x:c r="AF493" s="23" t="n">
        <x:f>B493*D493*F493*J493</x:f>
        <x:v>0.000022499999999999998</x:v>
      </x:c>
      <x:c r="AG493" s="23" t="n">
        <x:f>IF(P493&gt;0,AF493,0)</x:f>
        <x:v>0.000022499999999999998</x:v>
      </x:c>
      <x:c r="AH493" s="23" t="n">
        <x:f>IF(AND(P493&gt;0,S493&lt;0),AF493,0)</x:f>
        <x:v>0</x:v>
      </x:c>
      <x:c r="AI493" s="23" t="n">
        <x:f>IF(AND(P493&gt;0,S493=0),AF493,0)</x:f>
        <x:v>0</x:v>
      </x:c>
      <x:c r="AJ493" s="23" t="n">
        <x:f>IF(R493&lt;30000,AF493,0)</x:f>
        <x:v>0</x:v>
      </x:c>
      <x:c r="AK493" s="460" t="n">
        <x:f>IF(P493&gt;0,AF493*S493,0)</x:f>
        <x:v>0.8999999999999999</x:v>
      </x:c>
    </x:row>
    <x:row r="494" ht="22" customHeight="1">
      <x:c r="A494" s="643" t="str">
        <x:v>进取</x:v>
      </x:c>
      <x:c r="B494" s="648" t="n">
        <x:f>'114_降本系数'!B28</x:f>
        <x:v>0.15</x:v>
      </x:c>
      <x:c r="C494" s="643" t="str">
        <x:v>L1B</x:v>
      </x:c>
      <x:c r="D494" s="648" t="n">
        <x:f>'130_联合算法'!C18</x:f>
        <x:v>0.1</x:v>
      </x:c>
      <x:c r="E494" s="647" t="n">
        <x:f>'117_价格概率传导'!A11</x:f>
        <x:v>219900</x:v>
      </x:c>
      <x:c r="F494" s="648" t="n">
        <x:f>'117_价格概率传导'!E11</x:f>
        <x:v>0.15</x:v>
      </x:c>
      <x:c r="G494" s="648" t="n">
        <x:f>SUM('117_价格概率传导'!$E$6:$E$10)</x:f>
        <x:v>0.8500000000000001</x:v>
      </x:c>
      <x:c r="H494" s="648" t="n">
        <x:f>SUM('117_价格概率传导'!$E$6:$E$11)</x:f>
        <x:v>1</x:v>
      </x:c>
      <x:c r="I494" s="647" t="n">
        <x:f>'117_价格概率传导'!A17</x:f>
        <x:v>293900</x:v>
      </x:c>
      <x:c r="J494" s="648" t="n">
        <x:f>'117_价格概率传导'!E17</x:f>
        <x:v>0.01</x:v>
      </x:c>
      <x:c r="K494" s="648" t="n">
        <x:f>SUM('117_价格概率传导'!$E$16:$E$16)</x:f>
        <x:v>0.01</x:v>
      </x:c>
      <x:c r="L494" s="648" t="n">
        <x:f>SUM('117_价格概率传导'!$E$16:$E$17)</x:f>
        <x:v>0.02</x:v>
      </x:c>
      <x:c r="M494" s="648" t="n">
        <x:f>MAX(0,MIN(H494,L494)-MAX(G494,K494))</x:f>
        <x:v>0</x:v>
      </x:c>
      <x:c r="N494" s="648" t="n">
        <x:f>B494*D494*M494</x:f>
        <x:v>0</x:v>
      </x:c>
      <x:c r="O494" s="647" t="n">
        <x:f>MIN(289900,I494+10000)</x:f>
        <x:v>289900</x:v>
      </x:c>
      <x:c r="P494" s="647" t="n">
        <x:f>O494-30000</x:f>
        <x:v>259900</x:v>
      </x:c>
      <x:c r="Q494" s="647" t="str">
        <x:f>""</x:f>
      </x:c>
      <x:c r="R494" s="647" t="n">
        <x:f>O494-E494</x:f>
        <x:v>70000</x:v>
      </x:c>
      <x:c r="S494" s="647" t="n">
        <x:f>IF(P494&gt;0,P494-E494,"")</x:f>
        <x:v>40000</x:v>
      </x:c>
      <x:c r="T494" s="647" t="str">
        <x:f>IF(Q494&gt;0,Q494-E494,"")</x:f>
      </x:c>
      <x:c r="U494" s="648" t="n">
        <x:f>IF(R494&lt;30000,N494,0)</x:f>
        <x:v>0</x:v>
      </x:c>
      <x:c r="V494" s="648" t="n">
        <x:f>IF(P494&gt;0,N494,0)</x:f>
        <x:v>0</x:v>
      </x:c>
      <x:c r="W494" s="648" t="n">
        <x:f>IF(AND(P494&gt;0,S494&lt;0),N494,0)</x:f>
        <x:v>0</x:v>
      </x:c>
      <x:c r="X494" s="648" t="n">
        <x:f>IF(AND(P494&gt;0,S494=0),N494,0)</x:f>
        <x:v>0</x:v>
      </x:c>
      <x:c r="Y494" s="648" t="n">
        <x:f>IF(Q494&gt;0,N494,0)</x:f>
        <x:v>0</x:v>
      </x:c>
      <x:c r="Z494" s="647" t="n">
        <x:f>IF(P494&gt;0,N494*S494,0)</x:f>
        <x:v>0</x:v>
      </x:c>
      <x:c r="AA494" s="647" t="n">
        <x:f>IF(Q494&gt;0,N494*T494,0)</x:f>
        <x:v>0</x:v>
      </x:c>
      <x:c r="AB494" s="647" t="n">
        <x:f>N494*R494</x:f>
        <x:v>0</x:v>
      </x:c>
      <x:c r="AC494" s="647" t="n">
        <x:f>IF(N494&gt;0,R494,999999)</x:f>
        <x:v>999999</x:v>
      </x:c>
      <x:c r="AD494" s="647" t="n">
        <x:f>IF(AND(N494&gt;0,P494&gt;0),S494,999999)</x:f>
        <x:v>999999</x:v>
      </x:c>
      <x:c r="AE494" s="647" t="n">
        <x:f>IF(AND(N494&gt;0,Q494&gt;0),T494,999999)</x:f>
        <x:v>999999</x:v>
      </x:c>
      <x:c r="AF494" s="648" t="n">
        <x:f>B494*D494*F494*J494</x:f>
        <x:v>0.000022499999999999998</x:v>
      </x:c>
      <x:c r="AG494" s="648" t="n">
        <x:f>IF(P494&gt;0,AF494,0)</x:f>
        <x:v>0.000022499999999999998</x:v>
      </x:c>
      <x:c r="AH494" s="648" t="n">
        <x:f>IF(AND(P494&gt;0,S494&lt;0),AF494,0)</x:f>
        <x:v>0</x:v>
      </x:c>
      <x:c r="AI494" s="648" t="n">
        <x:f>IF(AND(P494&gt;0,S494=0),AF494,0)</x:f>
        <x:v>0</x:v>
      </x:c>
      <x:c r="AJ494" s="648" t="n">
        <x:f>IF(R494&lt;30000,AF494,0)</x:f>
        <x:v>0</x:v>
      </x:c>
      <x:c r="AK494" s="647" t="n">
        <x:f>IF(P494&gt;0,AF494*S494,0)</x:f>
        <x:v>0.8999999999999999</x:v>
      </x:c>
    </x:row>
    <x:row r="495" ht="22" customHeight="1">
      <x:c r="A495" s="19" t="str">
        <x:v>进取</x:v>
      </x:c>
      <x:c r="B495" s="23" t="n">
        <x:f>'114_降本系数'!B28</x:f>
        <x:v>0.15</x:v>
      </x:c>
      <x:c r="C495" s="19" t="str">
        <x:v>L1B</x:v>
      </x:c>
      <x:c r="D495" s="23" t="n">
        <x:f>'130_联合算法'!C18</x:f>
        <x:v>0.1</x:v>
      </x:c>
      <x:c r="E495" s="460" t="n">
        <x:f>'117_价格概率传导'!A11</x:f>
        <x:v>219900</x:v>
      </x:c>
      <x:c r="F495" s="23" t="n">
        <x:f>'117_价格概率传导'!E11</x:f>
        <x:v>0.15</x:v>
      </x:c>
      <x:c r="G495" s="23" t="n">
        <x:f>SUM('117_价格概率传导'!$E$6:$E$10)</x:f>
        <x:v>0.8500000000000001</x:v>
      </x:c>
      <x:c r="H495" s="23" t="n">
        <x:f>SUM('117_价格概率传导'!$E$6:$E$11)</x:f>
        <x:v>1</x:v>
      </x:c>
      <x:c r="I495" s="460" t="n">
        <x:f>'117_价格概率传导'!A18</x:f>
        <x:v>289900</x:v>
      </x:c>
      <x:c r="J495" s="23" t="n">
        <x:f>'117_价格概率传导'!E18</x:f>
        <x:v>0.1</x:v>
      </x:c>
      <x:c r="K495" s="23" t="n">
        <x:f>SUM('117_价格概率传导'!$E$16:$E$17)</x:f>
        <x:v>0.02</x:v>
      </x:c>
      <x:c r="L495" s="23" t="n">
        <x:f>SUM('117_价格概率传导'!$E$16:$E$18)</x:f>
        <x:v>0.12000000000000001</x:v>
      </x:c>
      <x:c r="M495" s="23" t="n">
        <x:f>MAX(0,MIN(H495,L495)-MAX(G495,K495))</x:f>
        <x:v>0</x:v>
      </x:c>
      <x:c r="N495" s="23" t="n">
        <x:f>B495*D495*M495</x:f>
        <x:v>0</x:v>
      </x:c>
      <x:c r="O495" s="460" t="n">
        <x:f>MIN(289900,I495+10000)</x:f>
        <x:v>289900</x:v>
      </x:c>
      <x:c r="P495" s="460" t="n">
        <x:f>O495-30000</x:f>
        <x:v>259900</x:v>
      </x:c>
      <x:c r="Q495" s="460" t="str">
        <x:f>""</x:f>
      </x:c>
      <x:c r="R495" s="460" t="n">
        <x:f>O495-E495</x:f>
        <x:v>70000</x:v>
      </x:c>
      <x:c r="S495" s="460" t="n">
        <x:f>IF(P495&gt;0,P495-E495,"")</x:f>
        <x:v>40000</x:v>
      </x:c>
      <x:c r="T495" s="460" t="str">
        <x:f>IF(Q495&gt;0,Q495-E495,"")</x:f>
      </x:c>
      <x:c r="U495" s="23" t="n">
        <x:f>IF(R495&lt;30000,N495,0)</x:f>
        <x:v>0</x:v>
      </x:c>
      <x:c r="V495" s="23" t="n">
        <x:f>IF(P495&gt;0,N495,0)</x:f>
        <x:v>0</x:v>
      </x:c>
      <x:c r="W495" s="23" t="n">
        <x:f>IF(AND(P495&gt;0,S495&lt;0),N495,0)</x:f>
        <x:v>0</x:v>
      </x:c>
      <x:c r="X495" s="23" t="n">
        <x:f>IF(AND(P495&gt;0,S495=0),N495,0)</x:f>
        <x:v>0</x:v>
      </x:c>
      <x:c r="Y495" s="23" t="n">
        <x:f>IF(Q495&gt;0,N495,0)</x:f>
        <x:v>0</x:v>
      </x:c>
      <x:c r="Z495" s="460" t="n">
        <x:f>IF(P495&gt;0,N495*S495,0)</x:f>
        <x:v>0</x:v>
      </x:c>
      <x:c r="AA495" s="460" t="n">
        <x:f>IF(Q495&gt;0,N495*T495,0)</x:f>
        <x:v>0</x:v>
      </x:c>
      <x:c r="AB495" s="460" t="n">
        <x:f>N495*R495</x:f>
        <x:v>0</x:v>
      </x:c>
      <x:c r="AC495" s="460" t="n">
        <x:f>IF(N495&gt;0,R495,999999)</x:f>
        <x:v>999999</x:v>
      </x:c>
      <x:c r="AD495" s="460" t="n">
        <x:f>IF(AND(N495&gt;0,P495&gt;0),S495,999999)</x:f>
        <x:v>999999</x:v>
      </x:c>
      <x:c r="AE495" s="460" t="n">
        <x:f>IF(AND(N495&gt;0,Q495&gt;0),T495,999999)</x:f>
        <x:v>999999</x:v>
      </x:c>
      <x:c r="AF495" s="23" t="n">
        <x:f>B495*D495*F495*J495</x:f>
        <x:v>0.000225</x:v>
      </x:c>
      <x:c r="AG495" s="23" t="n">
        <x:f>IF(P495&gt;0,AF495,0)</x:f>
        <x:v>0.000225</x:v>
      </x:c>
      <x:c r="AH495" s="23" t="n">
        <x:f>IF(AND(P495&gt;0,S495&lt;0),AF495,0)</x:f>
        <x:v>0</x:v>
      </x:c>
      <x:c r="AI495" s="23" t="n">
        <x:f>IF(AND(P495&gt;0,S495=0),AF495,0)</x:f>
        <x:v>0</x:v>
      </x:c>
      <x:c r="AJ495" s="23" t="n">
        <x:f>IF(R495&lt;30000,AF495,0)</x:f>
        <x:v>0</x:v>
      </x:c>
      <x:c r="AK495" s="460" t="n">
        <x:f>IF(P495&gt;0,AF495*S495,0)</x:f>
        <x:v>9</x:v>
      </x:c>
    </x:row>
    <x:row r="496" ht="22" customHeight="1">
      <x:c r="A496" s="643" t="str">
        <x:v>进取</x:v>
      </x:c>
      <x:c r="B496" s="648" t="n">
        <x:f>'114_降本系数'!B28</x:f>
        <x:v>0.15</x:v>
      </x:c>
      <x:c r="C496" s="643" t="str">
        <x:v>L1B</x:v>
      </x:c>
      <x:c r="D496" s="648" t="n">
        <x:f>'130_联合算法'!C18</x:f>
        <x:v>0.1</x:v>
      </x:c>
      <x:c r="E496" s="647" t="n">
        <x:f>'117_价格概率传导'!A11</x:f>
        <x:v>219900</x:v>
      </x:c>
      <x:c r="F496" s="648" t="n">
        <x:f>'117_价格概率传导'!E11</x:f>
        <x:v>0.15</x:v>
      </x:c>
      <x:c r="G496" s="648" t="n">
        <x:f>SUM('117_价格概率传导'!$E$6:$E$10)</x:f>
        <x:v>0.8500000000000001</x:v>
      </x:c>
      <x:c r="H496" s="648" t="n">
        <x:f>SUM('117_价格概率传导'!$E$6:$E$11)</x:f>
        <x:v>1</x:v>
      </x:c>
      <x:c r="I496" s="647" t="n">
        <x:f>'117_价格概率传导'!A19</x:f>
        <x:v>279900</x:v>
      </x:c>
      <x:c r="J496" s="648" t="n">
        <x:f>'117_价格概率传导'!E19</x:f>
        <x:v>0.3</x:v>
      </x:c>
      <x:c r="K496" s="648" t="n">
        <x:f>SUM('117_价格概率传导'!$E$16:$E$18)</x:f>
        <x:v>0.12000000000000001</x:v>
      </x:c>
      <x:c r="L496" s="648" t="n">
        <x:f>SUM('117_价格概率传导'!$E$16:$E$19)</x:f>
        <x:v>0.42</x:v>
      </x:c>
      <x:c r="M496" s="648" t="n">
        <x:f>MAX(0,MIN(H496,L496)-MAX(G496,K496))</x:f>
        <x:v>0</x:v>
      </x:c>
      <x:c r="N496" s="648" t="n">
        <x:f>B496*D496*M496</x:f>
        <x:v>0</x:v>
      </x:c>
      <x:c r="O496" s="647" t="n">
        <x:f>MIN(289900,I496+10000)</x:f>
        <x:v>289900</x:v>
      </x:c>
      <x:c r="P496" s="647" t="n">
        <x:f>O496-30000</x:f>
        <x:v>259900</x:v>
      </x:c>
      <x:c r="Q496" s="647" t="str">
        <x:f>""</x:f>
      </x:c>
      <x:c r="R496" s="647" t="n">
        <x:f>O496-E496</x:f>
        <x:v>70000</x:v>
      </x:c>
      <x:c r="S496" s="647" t="n">
        <x:f>IF(P496&gt;0,P496-E496,"")</x:f>
        <x:v>40000</x:v>
      </x:c>
      <x:c r="T496" s="647" t="str">
        <x:f>IF(Q496&gt;0,Q496-E496,"")</x:f>
      </x:c>
      <x:c r="U496" s="648" t="n">
        <x:f>IF(R496&lt;30000,N496,0)</x:f>
        <x:v>0</x:v>
      </x:c>
      <x:c r="V496" s="648" t="n">
        <x:f>IF(P496&gt;0,N496,0)</x:f>
        <x:v>0</x:v>
      </x:c>
      <x:c r="W496" s="648" t="n">
        <x:f>IF(AND(P496&gt;0,S496&lt;0),N496,0)</x:f>
        <x:v>0</x:v>
      </x:c>
      <x:c r="X496" s="648" t="n">
        <x:f>IF(AND(P496&gt;0,S496=0),N496,0)</x:f>
        <x:v>0</x:v>
      </x:c>
      <x:c r="Y496" s="648" t="n">
        <x:f>IF(Q496&gt;0,N496,0)</x:f>
        <x:v>0</x:v>
      </x:c>
      <x:c r="Z496" s="647" t="n">
        <x:f>IF(P496&gt;0,N496*S496,0)</x:f>
        <x:v>0</x:v>
      </x:c>
      <x:c r="AA496" s="647" t="n">
        <x:f>IF(Q496&gt;0,N496*T496,0)</x:f>
        <x:v>0</x:v>
      </x:c>
      <x:c r="AB496" s="647" t="n">
        <x:f>N496*R496</x:f>
        <x:v>0</x:v>
      </x:c>
      <x:c r="AC496" s="647" t="n">
        <x:f>IF(N496&gt;0,R496,999999)</x:f>
        <x:v>999999</x:v>
      </x:c>
      <x:c r="AD496" s="647" t="n">
        <x:f>IF(AND(N496&gt;0,P496&gt;0),S496,999999)</x:f>
        <x:v>999999</x:v>
      </x:c>
      <x:c r="AE496" s="647" t="n">
        <x:f>IF(AND(N496&gt;0,Q496&gt;0),T496,999999)</x:f>
        <x:v>999999</x:v>
      </x:c>
      <x:c r="AF496" s="648" t="n">
        <x:f>B496*D496*F496*J496</x:f>
        <x:v>0.0006749999999999999</x:v>
      </x:c>
      <x:c r="AG496" s="648" t="n">
        <x:f>IF(P496&gt;0,AF496,0)</x:f>
        <x:v>0.0006749999999999999</x:v>
      </x:c>
      <x:c r="AH496" s="648" t="n">
        <x:f>IF(AND(P496&gt;0,S496&lt;0),AF496,0)</x:f>
        <x:v>0</x:v>
      </x:c>
      <x:c r="AI496" s="648" t="n">
        <x:f>IF(AND(P496&gt;0,S496=0),AF496,0)</x:f>
        <x:v>0</x:v>
      </x:c>
      <x:c r="AJ496" s="648" t="n">
        <x:f>IF(R496&lt;30000,AF496,0)</x:f>
        <x:v>0</x:v>
      </x:c>
      <x:c r="AK496" s="647" t="n">
        <x:f>IF(P496&gt;0,AF496*S496,0)</x:f>
        <x:v>26.999999999999996</x:v>
      </x:c>
    </x:row>
    <x:row r="497" ht="22" customHeight="1">
      <x:c r="A497" s="19" t="str">
        <x:v>进取</x:v>
      </x:c>
      <x:c r="B497" s="23" t="n">
        <x:f>'114_降本系数'!B28</x:f>
        <x:v>0.15</x:v>
      </x:c>
      <x:c r="C497" s="19" t="str">
        <x:v>L1B</x:v>
      </x:c>
      <x:c r="D497" s="23" t="n">
        <x:f>'130_联合算法'!C18</x:f>
        <x:v>0.1</x:v>
      </x:c>
      <x:c r="E497" s="460" t="n">
        <x:f>'117_价格概率传导'!A11</x:f>
        <x:v>219900</x:v>
      </x:c>
      <x:c r="F497" s="23" t="n">
        <x:f>'117_价格概率传导'!E11</x:f>
        <x:v>0.15</x:v>
      </x:c>
      <x:c r="G497" s="23" t="n">
        <x:f>SUM('117_价格概率传导'!$E$6:$E$10)</x:f>
        <x:v>0.8500000000000001</x:v>
      </x:c>
      <x:c r="H497" s="23" t="n">
        <x:f>SUM('117_价格概率传导'!$E$6:$E$11)</x:f>
        <x:v>1</x:v>
      </x:c>
      <x:c r="I497" s="460" t="n">
        <x:f>'117_价格概率传导'!A20</x:f>
        <x:v>269900</x:v>
      </x:c>
      <x:c r="J497" s="23" t="n">
        <x:f>'117_价格概率传导'!E20</x:f>
        <x:v>0.38</x:v>
      </x:c>
      <x:c r="K497" s="23" t="n">
        <x:f>SUM('117_价格概率传导'!$E$16:$E$19)</x:f>
        <x:v>0.42</x:v>
      </x:c>
      <x:c r="L497" s="23" t="n">
        <x:f>SUM('117_价格概率传导'!$E$16:$E$20)</x:f>
        <x:v>0.8</x:v>
      </x:c>
      <x:c r="M497" s="23" t="n">
        <x:f>MAX(0,MIN(H497,L497)-MAX(G497,K497))</x:f>
        <x:v>0</x:v>
      </x:c>
      <x:c r="N497" s="23" t="n">
        <x:f>B497*D497*M497</x:f>
        <x:v>0</x:v>
      </x:c>
      <x:c r="O497" s="460" t="n">
        <x:f>MIN(289900,I497+10000)</x:f>
        <x:v>279900</x:v>
      </x:c>
      <x:c r="P497" s="460" t="n">
        <x:f>O497-30000</x:f>
        <x:v>249900</x:v>
      </x:c>
      <x:c r="Q497" s="460" t="str">
        <x:f>""</x:f>
      </x:c>
      <x:c r="R497" s="460" t="n">
        <x:f>O497-E497</x:f>
        <x:v>60000</x:v>
      </x:c>
      <x:c r="S497" s="460" t="n">
        <x:f>IF(P497&gt;0,P497-E497,"")</x:f>
        <x:v>30000</x:v>
      </x:c>
      <x:c r="T497" s="460" t="str">
        <x:f>IF(Q497&gt;0,Q497-E497,"")</x:f>
      </x:c>
      <x:c r="U497" s="23" t="n">
        <x:f>IF(R497&lt;30000,N497,0)</x:f>
        <x:v>0</x:v>
      </x:c>
      <x:c r="V497" s="23" t="n">
        <x:f>IF(P497&gt;0,N497,0)</x:f>
        <x:v>0</x:v>
      </x:c>
      <x:c r="W497" s="23" t="n">
        <x:f>IF(AND(P497&gt;0,S497&lt;0),N497,0)</x:f>
        <x:v>0</x:v>
      </x:c>
      <x:c r="X497" s="23" t="n">
        <x:f>IF(AND(P497&gt;0,S497=0),N497,0)</x:f>
        <x:v>0</x:v>
      </x:c>
      <x:c r="Y497" s="23" t="n">
        <x:f>IF(Q497&gt;0,N497,0)</x:f>
        <x:v>0</x:v>
      </x:c>
      <x:c r="Z497" s="460" t="n">
        <x:f>IF(P497&gt;0,N497*S497,0)</x:f>
        <x:v>0</x:v>
      </x:c>
      <x:c r="AA497" s="460" t="n">
        <x:f>IF(Q497&gt;0,N497*T497,0)</x:f>
        <x:v>0</x:v>
      </x:c>
      <x:c r="AB497" s="460" t="n">
        <x:f>N497*R497</x:f>
        <x:v>0</x:v>
      </x:c>
      <x:c r="AC497" s="460" t="n">
        <x:f>IF(N497&gt;0,R497,999999)</x:f>
        <x:v>999999</x:v>
      </x:c>
      <x:c r="AD497" s="460" t="n">
        <x:f>IF(AND(N497&gt;0,P497&gt;0),S497,999999)</x:f>
        <x:v>999999</x:v>
      </x:c>
      <x:c r="AE497" s="460" t="n">
        <x:f>IF(AND(N497&gt;0,Q497&gt;0),T497,999999)</x:f>
        <x:v>999999</x:v>
      </x:c>
      <x:c r="AF497" s="23" t="n">
        <x:f>B497*D497*F497*J497</x:f>
        <x:v>0.000855</x:v>
      </x:c>
      <x:c r="AG497" s="23" t="n">
        <x:f>IF(P497&gt;0,AF497,0)</x:f>
        <x:v>0.000855</x:v>
      </x:c>
      <x:c r="AH497" s="23" t="n">
        <x:f>IF(AND(P497&gt;0,S497&lt;0),AF497,0)</x:f>
        <x:v>0</x:v>
      </x:c>
      <x:c r="AI497" s="23" t="n">
        <x:f>IF(AND(P497&gt;0,S497=0),AF497,0)</x:f>
        <x:v>0</x:v>
      </x:c>
      <x:c r="AJ497" s="23" t="n">
        <x:f>IF(R497&lt;30000,AF497,0)</x:f>
        <x:v>0</x:v>
      </x:c>
      <x:c r="AK497" s="460" t="n">
        <x:f>IF(P497&gt;0,AF497*S497,0)</x:f>
        <x:v>25.65</x:v>
      </x:c>
    </x:row>
    <x:row r="498" ht="22" customHeight="1">
      <x:c r="A498" s="643" t="str">
        <x:v>进取</x:v>
      </x:c>
      <x:c r="B498" s="648" t="n">
        <x:f>'114_降本系数'!B28</x:f>
        <x:v>0.15</x:v>
      </x:c>
      <x:c r="C498" s="643" t="str">
        <x:v>L1B</x:v>
      </x:c>
      <x:c r="D498" s="648" t="n">
        <x:f>'130_联合算法'!C18</x:f>
        <x:v>0.1</x:v>
      </x:c>
      <x:c r="E498" s="647" t="n">
        <x:f>'117_价格概率传导'!A11</x:f>
        <x:v>219900</x:v>
      </x:c>
      <x:c r="F498" s="648" t="n">
        <x:f>'117_价格概率传导'!E11</x:f>
        <x:v>0.15</x:v>
      </x:c>
      <x:c r="G498" s="648" t="n">
        <x:f>SUM('117_价格概率传导'!$E$6:$E$10)</x:f>
        <x:v>0.8500000000000001</x:v>
      </x:c>
      <x:c r="H498" s="648" t="n">
        <x:f>SUM('117_价格概率传导'!$E$6:$E$11)</x:f>
        <x:v>1</x:v>
      </x:c>
      <x:c r="I498" s="647" t="n">
        <x:f>'117_价格概率传导'!A21</x:f>
        <x:v>259900</x:v>
      </x:c>
      <x:c r="J498" s="648" t="n">
        <x:f>'117_价格概率传导'!E21</x:f>
        <x:v>0.2</x:v>
      </x:c>
      <x:c r="K498" s="648" t="n">
        <x:f>SUM('117_价格概率传导'!$E$16:$E$20)</x:f>
        <x:v>0.8</x:v>
      </x:c>
      <x:c r="L498" s="648" t="n">
        <x:f>SUM('117_价格概率传导'!$E$16:$E$21)</x:f>
        <x:v>1</x:v>
      </x:c>
      <x:c r="M498" s="648" t="n">
        <x:f>MAX(0,MIN(H498,L498)-MAX(G498,K498))</x:f>
        <x:v>0.1499999999999999</x:v>
      </x:c>
      <x:c r="N498" s="648" t="n">
        <x:f>B498*D498*M498</x:f>
        <x:v>0.0022499999999999985</x:v>
      </x:c>
      <x:c r="O498" s="647" t="n">
        <x:f>MIN(289900,I498+10000)</x:f>
        <x:v>269900</x:v>
      </x:c>
      <x:c r="P498" s="647" t="n">
        <x:f>O498-30000</x:f>
        <x:v>239900</x:v>
      </x:c>
      <x:c r="Q498" s="647" t="str">
        <x:f>""</x:f>
      </x:c>
      <x:c r="R498" s="647" t="n">
        <x:f>O498-E498</x:f>
        <x:v>50000</x:v>
      </x:c>
      <x:c r="S498" s="647" t="n">
        <x:f>IF(P498&gt;0,P498-E498,"")</x:f>
        <x:v>20000</x:v>
      </x:c>
      <x:c r="T498" s="647" t="str">
        <x:f>IF(Q498&gt;0,Q498-E498,"")</x:f>
      </x:c>
      <x:c r="U498" s="648" t="n">
        <x:f>IF(R498&lt;30000,N498,0)</x:f>
        <x:v>0</x:v>
      </x:c>
      <x:c r="V498" s="648" t="n">
        <x:f>IF(P498&gt;0,N498,0)</x:f>
        <x:v>0.0022499999999999985</x:v>
      </x:c>
      <x:c r="W498" s="648" t="n">
        <x:f>IF(AND(P498&gt;0,S498&lt;0),N498,0)</x:f>
        <x:v>0</x:v>
      </x:c>
      <x:c r="X498" s="648" t="n">
        <x:f>IF(AND(P498&gt;0,S498=0),N498,0)</x:f>
        <x:v>0</x:v>
      </x:c>
      <x:c r="Y498" s="648" t="n">
        <x:f>IF(Q498&gt;0,N498,0)</x:f>
        <x:v>0</x:v>
      </x:c>
      <x:c r="Z498" s="647" t="n">
        <x:f>IF(P498&gt;0,N498*S498,0)</x:f>
        <x:v>44.99999999999997</x:v>
      </x:c>
      <x:c r="AA498" s="647" t="n">
        <x:f>IF(Q498&gt;0,N498*T498,0)</x:f>
        <x:v>0</x:v>
      </x:c>
      <x:c r="AB498" s="647" t="n">
        <x:f>N498*R498</x:f>
        <x:v>112.49999999999993</x:v>
      </x:c>
      <x:c r="AC498" s="647" t="n">
        <x:f>IF(N498&gt;0,R498,999999)</x:f>
        <x:v>50000</x:v>
      </x:c>
      <x:c r="AD498" s="647" t="n">
        <x:f>IF(AND(N498&gt;0,P498&gt;0),S498,999999)</x:f>
        <x:v>20000</x:v>
      </x:c>
      <x:c r="AE498" s="647" t="n">
        <x:f>IF(AND(N498&gt;0,Q498&gt;0),T498,999999)</x:f>
        <x:v>999999</x:v>
      </x:c>
      <x:c r="AF498" s="648" t="n">
        <x:f>B498*D498*F498*J498</x:f>
        <x:v>0.00045</x:v>
      </x:c>
      <x:c r="AG498" s="648" t="n">
        <x:f>IF(P498&gt;0,AF498,0)</x:f>
        <x:v>0.00045</x:v>
      </x:c>
      <x:c r="AH498" s="648" t="n">
        <x:f>IF(AND(P498&gt;0,S498&lt;0),AF498,0)</x:f>
        <x:v>0</x:v>
      </x:c>
      <x:c r="AI498" s="648" t="n">
        <x:f>IF(AND(P498&gt;0,S498=0),AF498,0)</x:f>
        <x:v>0</x:v>
      </x:c>
      <x:c r="AJ498" s="648" t="n">
        <x:f>IF(R498&lt;30000,AF498,0)</x:f>
        <x:v>0</x:v>
      </x:c>
      <x:c r="AK498" s="647" t="n">
        <x:f>IF(P498&gt;0,AF498*S498,0)</x:f>
        <x:v>9</x:v>
      </x:c>
    </x:row>
    <x:row r="499" ht="22" customHeight="1">
      <x:c r="A499" s="19" t="str">
        <x:v>进取</x:v>
      </x:c>
      <x:c r="B499" s="23" t="n">
        <x:f>'114_降本系数'!B28</x:f>
        <x:v>0.15</x:v>
      </x:c>
      <x:c r="C499" s="19" t="str">
        <x:v>L2</x:v>
      </x:c>
      <x:c r="D499" s="23" t="n">
        <x:f>'130_联合算法'!C19</x:f>
        <x:v>0.05</x:v>
      </x:c>
      <x:c r="E499" s="460" t="n">
        <x:f>'117_价格概率传导'!A6</x:f>
        <x:v>259900</x:v>
      </x:c>
      <x:c r="F499" s="23" t="n">
        <x:f>'117_价格概率传导'!E6</x:f>
        <x:v>0.01</x:v>
      </x:c>
      <x:c r="G499" s="23" t="n">
        <x:f>0</x:f>
        <x:v>0</x:v>
      </x:c>
      <x:c r="H499" s="23" t="n">
        <x:f>SUM('117_价格概率传导'!$E$6:$E$6)</x:f>
        <x:v>0.01</x:v>
      </x:c>
      <x:c r="I499" s="460" t="n">
        <x:f>'117_价格概率传导'!A16</x:f>
        <x:v>299900</x:v>
      </x:c>
      <x:c r="J499" s="23" t="n">
        <x:f>'117_价格概率传导'!E16</x:f>
        <x:v>0.01</x:v>
      </x:c>
      <x:c r="K499" s="23" t="n">
        <x:f>0</x:f>
        <x:v>0</x:v>
      </x:c>
      <x:c r="L499" s="23" t="n">
        <x:f>SUM('117_价格概率传导'!$E$16:$E$16)</x:f>
        <x:v>0.01</x:v>
      </x:c>
      <x:c r="M499" s="23" t="n">
        <x:f>MAX(0,MIN(H499,L499)-MAX(G499,K499))</x:f>
        <x:v>0.01</x:v>
      </x:c>
      <x:c r="N499" s="23" t="n">
        <x:f>B499*D499*M499</x:f>
        <x:v>0.000075</x:v>
      </x:c>
      <x:c r="O499" s="460" t="n">
        <x:f>MIN(299900,I499+20000)</x:f>
        <x:v>299900</x:v>
      </x:c>
      <x:c r="P499" s="460" t="str">
        <x:f>""</x:f>
      </x:c>
      <x:c r="Q499" s="460" t="n">
        <x:f>O499-20000</x:f>
        <x:v>279900</x:v>
      </x:c>
      <x:c r="R499" s="460" t="n">
        <x:f>O499-E499</x:f>
        <x:v>40000</x:v>
      </x:c>
      <x:c r="S499" s="460" t="str">
        <x:f>IF(P499&gt;0,P499-E499,"")</x:f>
      </x:c>
      <x:c r="T499" s="460" t="n">
        <x:f>IF(Q499&gt;0,Q499-E499,"")</x:f>
        <x:v>20000</x:v>
      </x:c>
      <x:c r="U499" s="23" t="n">
        <x:f>IF(R499&lt;30000,N499,0)</x:f>
        <x:v>0</x:v>
      </x:c>
      <x:c r="V499" s="23" t="n">
        <x:f>IF(P499&gt;0,N499,0)</x:f>
        <x:v>0</x:v>
      </x:c>
      <x:c r="W499" s="23" t="n">
        <x:f>IF(AND(P499&gt;0,S499&lt;0),N499,0)</x:f>
        <x:v>0</x:v>
      </x:c>
      <x:c r="X499" s="23" t="n">
        <x:f>IF(AND(P499&gt;0,S499=0),N499,0)</x:f>
        <x:v>0</x:v>
      </x:c>
      <x:c r="Y499" s="23" t="n">
        <x:f>IF(Q499&gt;0,N499,0)</x:f>
        <x:v>0.000075</x:v>
      </x:c>
      <x:c r="Z499" s="460" t="n">
        <x:f>IF(P499&gt;0,N499*S499,0)</x:f>
        <x:v>0</x:v>
      </x:c>
      <x:c r="AA499" s="460" t="n">
        <x:f>IF(Q499&gt;0,N499*T499,0)</x:f>
        <x:v>1.4999999999999998</x:v>
      </x:c>
      <x:c r="AB499" s="460" t="n">
        <x:f>N499*R499</x:f>
        <x:v>2.9999999999999996</x:v>
      </x:c>
      <x:c r="AC499" s="460" t="n">
        <x:f>IF(N499&gt;0,R499,999999)</x:f>
        <x:v>40000</x:v>
      </x:c>
      <x:c r="AD499" s="460" t="n">
        <x:f>IF(AND(N499&gt;0,P499&gt;0),S499,999999)</x:f>
        <x:v>999999</x:v>
      </x:c>
      <x:c r="AE499" s="460" t="n">
        <x:f>IF(AND(N499&gt;0,Q499&gt;0),T499,999999)</x:f>
        <x:v>20000</x:v>
      </x:c>
      <x:c r="AF499" s="23" t="n">
        <x:f>B499*D499*F499*J499</x:f>
        <x:v>7.499999999999999e-7</x:v>
      </x:c>
      <x:c r="AG499" s="23" t="n">
        <x:f>IF(P499&gt;0,AF499,0)</x:f>
        <x:v>0</x:v>
      </x:c>
      <x:c r="AH499" s="23" t="n">
        <x:f>IF(AND(P499&gt;0,S499&lt;0),AF499,0)</x:f>
        <x:v>0</x:v>
      </x:c>
      <x:c r="AI499" s="23" t="n">
        <x:f>IF(AND(P499&gt;0,S499=0),AF499,0)</x:f>
        <x:v>0</x:v>
      </x:c>
      <x:c r="AJ499" s="23" t="n">
        <x:f>IF(R499&lt;30000,AF499,0)</x:f>
        <x:v>0</x:v>
      </x:c>
      <x:c r="AK499" s="460" t="n">
        <x:f>IF(P499&gt;0,AF499*S499,0)</x:f>
        <x:v>0</x:v>
      </x:c>
    </x:row>
    <x:row r="500" ht="22" customHeight="1">
      <x:c r="A500" s="643" t="str">
        <x:v>进取</x:v>
      </x:c>
      <x:c r="B500" s="648" t="n">
        <x:f>'114_降本系数'!B28</x:f>
        <x:v>0.15</x:v>
      </x:c>
      <x:c r="C500" s="643" t="str">
        <x:v>L2</x:v>
      </x:c>
      <x:c r="D500" s="648" t="n">
        <x:f>'130_联合算法'!C19</x:f>
        <x:v>0.05</x:v>
      </x:c>
      <x:c r="E500" s="647" t="n">
        <x:f>'117_价格概率传导'!A6</x:f>
        <x:v>259900</x:v>
      </x:c>
      <x:c r="F500" s="648" t="n">
        <x:f>'117_价格概率传导'!E6</x:f>
        <x:v>0.01</x:v>
      </x:c>
      <x:c r="G500" s="648" t="n">
        <x:f>0</x:f>
        <x:v>0</x:v>
      </x:c>
      <x:c r="H500" s="648" t="n">
        <x:f>SUM('117_价格概率传导'!$E$6:$E$6)</x:f>
        <x:v>0.01</x:v>
      </x:c>
      <x:c r="I500" s="647" t="n">
        <x:f>'117_价格概率传导'!A17</x:f>
        <x:v>293900</x:v>
      </x:c>
      <x:c r="J500" s="648" t="n">
        <x:f>'117_价格概率传导'!E17</x:f>
        <x:v>0.01</x:v>
      </x:c>
      <x:c r="K500" s="648" t="n">
        <x:f>SUM('117_价格概率传导'!$E$16:$E$16)</x:f>
        <x:v>0.01</x:v>
      </x:c>
      <x:c r="L500" s="648" t="n">
        <x:f>SUM('117_价格概率传导'!$E$16:$E$17)</x:f>
        <x:v>0.02</x:v>
      </x:c>
      <x:c r="M500" s="648" t="n">
        <x:f>MAX(0,MIN(H500,L500)-MAX(G500,K500))</x:f>
        <x:v>0</x:v>
      </x:c>
      <x:c r="N500" s="648" t="n">
        <x:f>B500*D500*M500</x:f>
        <x:v>0</x:v>
      </x:c>
      <x:c r="O500" s="647" t="n">
        <x:f>MIN(299900,I500+20000)</x:f>
        <x:v>299900</x:v>
      </x:c>
      <x:c r="P500" s="647" t="str">
        <x:f>""</x:f>
      </x:c>
      <x:c r="Q500" s="647" t="n">
        <x:f>O500-20000</x:f>
        <x:v>279900</x:v>
      </x:c>
      <x:c r="R500" s="647" t="n">
        <x:f>O500-E500</x:f>
        <x:v>40000</x:v>
      </x:c>
      <x:c r="S500" s="647" t="str">
        <x:f>IF(P500&gt;0,P500-E500,"")</x:f>
      </x:c>
      <x:c r="T500" s="647" t="n">
        <x:f>IF(Q500&gt;0,Q500-E500,"")</x:f>
        <x:v>20000</x:v>
      </x:c>
      <x:c r="U500" s="648" t="n">
        <x:f>IF(R500&lt;30000,N500,0)</x:f>
        <x:v>0</x:v>
      </x:c>
      <x:c r="V500" s="648" t="n">
        <x:f>IF(P500&gt;0,N500,0)</x:f>
        <x:v>0</x:v>
      </x:c>
      <x:c r="W500" s="648" t="n">
        <x:f>IF(AND(P500&gt;0,S500&lt;0),N500,0)</x:f>
        <x:v>0</x:v>
      </x:c>
      <x:c r="X500" s="648" t="n">
        <x:f>IF(AND(P500&gt;0,S500=0),N500,0)</x:f>
        <x:v>0</x:v>
      </x:c>
      <x:c r="Y500" s="648" t="n">
        <x:f>IF(Q500&gt;0,N500,0)</x:f>
        <x:v>0</x:v>
      </x:c>
      <x:c r="Z500" s="647" t="n">
        <x:f>IF(P500&gt;0,N500*S500,0)</x:f>
        <x:v>0</x:v>
      </x:c>
      <x:c r="AA500" s="647" t="n">
        <x:f>IF(Q500&gt;0,N500*T500,0)</x:f>
        <x:v>0</x:v>
      </x:c>
      <x:c r="AB500" s="647" t="n">
        <x:f>N500*R500</x:f>
        <x:v>0</x:v>
      </x:c>
      <x:c r="AC500" s="647" t="n">
        <x:f>IF(N500&gt;0,R500,999999)</x:f>
        <x:v>999999</x:v>
      </x:c>
      <x:c r="AD500" s="647" t="n">
        <x:f>IF(AND(N500&gt;0,P500&gt;0),S500,999999)</x:f>
        <x:v>999999</x:v>
      </x:c>
      <x:c r="AE500" s="647" t="n">
        <x:f>IF(AND(N500&gt;0,Q500&gt;0),T500,999999)</x:f>
        <x:v>999999</x:v>
      </x:c>
      <x:c r="AF500" s="648" t="n">
        <x:f>B500*D500*F500*J500</x:f>
        <x:v>7.499999999999999e-7</x:v>
      </x:c>
      <x:c r="AG500" s="648" t="n">
        <x:f>IF(P500&gt;0,AF500,0)</x:f>
        <x:v>0</x:v>
      </x:c>
      <x:c r="AH500" s="648" t="n">
        <x:f>IF(AND(P500&gt;0,S500&lt;0),AF500,0)</x:f>
        <x:v>0</x:v>
      </x:c>
      <x:c r="AI500" s="648" t="n">
        <x:f>IF(AND(P500&gt;0,S500=0),AF500,0)</x:f>
        <x:v>0</x:v>
      </x:c>
      <x:c r="AJ500" s="648" t="n">
        <x:f>IF(R500&lt;30000,AF500,0)</x:f>
        <x:v>0</x:v>
      </x:c>
      <x:c r="AK500" s="647" t="n">
        <x:f>IF(P500&gt;0,AF500*S500,0)</x:f>
        <x:v>0</x:v>
      </x:c>
    </x:row>
    <x:row r="501" ht="22" customHeight="1">
      <x:c r="A501" s="19" t="str">
        <x:v>进取</x:v>
      </x:c>
      <x:c r="B501" s="23" t="n">
        <x:f>'114_降本系数'!B28</x:f>
        <x:v>0.15</x:v>
      </x:c>
      <x:c r="C501" s="19" t="str">
        <x:v>L2</x:v>
      </x:c>
      <x:c r="D501" s="23" t="n">
        <x:f>'130_联合算法'!C19</x:f>
        <x:v>0.05</x:v>
      </x:c>
      <x:c r="E501" s="460" t="n">
        <x:f>'117_价格概率传导'!A6</x:f>
        <x:v>259900</x:v>
      </x:c>
      <x:c r="F501" s="23" t="n">
        <x:f>'117_价格概率传导'!E6</x:f>
        <x:v>0.01</x:v>
      </x:c>
      <x:c r="G501" s="23" t="n">
        <x:f>0</x:f>
        <x:v>0</x:v>
      </x:c>
      <x:c r="H501" s="23" t="n">
        <x:f>SUM('117_价格概率传导'!$E$6:$E$6)</x:f>
        <x:v>0.01</x:v>
      </x:c>
      <x:c r="I501" s="460" t="n">
        <x:f>'117_价格概率传导'!A18</x:f>
        <x:v>289900</x:v>
      </x:c>
      <x:c r="J501" s="23" t="n">
        <x:f>'117_价格概率传导'!E18</x:f>
        <x:v>0.1</x:v>
      </x:c>
      <x:c r="K501" s="23" t="n">
        <x:f>SUM('117_价格概率传导'!$E$16:$E$17)</x:f>
        <x:v>0.02</x:v>
      </x:c>
      <x:c r="L501" s="23" t="n">
        <x:f>SUM('117_价格概率传导'!$E$16:$E$18)</x:f>
        <x:v>0.12000000000000001</x:v>
      </x:c>
      <x:c r="M501" s="23" t="n">
        <x:f>MAX(0,MIN(H501,L501)-MAX(G501,K501))</x:f>
        <x:v>0</x:v>
      </x:c>
      <x:c r="N501" s="23" t="n">
        <x:f>B501*D501*M501</x:f>
        <x:v>0</x:v>
      </x:c>
      <x:c r="O501" s="460" t="n">
        <x:f>MIN(299900,I501+20000)</x:f>
        <x:v>299900</x:v>
      </x:c>
      <x:c r="P501" s="460" t="str">
        <x:f>""</x:f>
      </x:c>
      <x:c r="Q501" s="460" t="n">
        <x:f>O501-20000</x:f>
        <x:v>279900</x:v>
      </x:c>
      <x:c r="R501" s="460" t="n">
        <x:f>O501-E501</x:f>
        <x:v>40000</x:v>
      </x:c>
      <x:c r="S501" s="460" t="str">
        <x:f>IF(P501&gt;0,P501-E501,"")</x:f>
      </x:c>
      <x:c r="T501" s="460" t="n">
        <x:f>IF(Q501&gt;0,Q501-E501,"")</x:f>
        <x:v>20000</x:v>
      </x:c>
      <x:c r="U501" s="23" t="n">
        <x:f>IF(R501&lt;30000,N501,0)</x:f>
        <x:v>0</x:v>
      </x:c>
      <x:c r="V501" s="23" t="n">
        <x:f>IF(P501&gt;0,N501,0)</x:f>
        <x:v>0</x:v>
      </x:c>
      <x:c r="W501" s="23" t="n">
        <x:f>IF(AND(P501&gt;0,S501&lt;0),N501,0)</x:f>
        <x:v>0</x:v>
      </x:c>
      <x:c r="X501" s="23" t="n">
        <x:f>IF(AND(P501&gt;0,S501=0),N501,0)</x:f>
        <x:v>0</x:v>
      </x:c>
      <x:c r="Y501" s="23" t="n">
        <x:f>IF(Q501&gt;0,N501,0)</x:f>
        <x:v>0</x:v>
      </x:c>
      <x:c r="Z501" s="460" t="n">
        <x:f>IF(P501&gt;0,N501*S501,0)</x:f>
        <x:v>0</x:v>
      </x:c>
      <x:c r="AA501" s="460" t="n">
        <x:f>IF(Q501&gt;0,N501*T501,0)</x:f>
        <x:v>0</x:v>
      </x:c>
      <x:c r="AB501" s="460" t="n">
        <x:f>N501*R501</x:f>
        <x:v>0</x:v>
      </x:c>
      <x:c r="AC501" s="460" t="n">
        <x:f>IF(N501&gt;0,R501,999999)</x:f>
        <x:v>999999</x:v>
      </x:c>
      <x:c r="AD501" s="460" t="n">
        <x:f>IF(AND(N501&gt;0,P501&gt;0),S501,999999)</x:f>
        <x:v>999999</x:v>
      </x:c>
      <x:c r="AE501" s="460" t="n">
        <x:f>IF(AND(N501&gt;0,Q501&gt;0),T501,999999)</x:f>
        <x:v>999999</x:v>
      </x:c>
      <x:c r="AF501" s="23" t="n">
        <x:f>B501*D501*F501*J501</x:f>
        <x:v>0.000007499999999999999</x:v>
      </x:c>
      <x:c r="AG501" s="23" t="n">
        <x:f>IF(P501&gt;0,AF501,0)</x:f>
        <x:v>0</x:v>
      </x:c>
      <x:c r="AH501" s="23" t="n">
        <x:f>IF(AND(P501&gt;0,S501&lt;0),AF501,0)</x:f>
        <x:v>0</x:v>
      </x:c>
      <x:c r="AI501" s="23" t="n">
        <x:f>IF(AND(P501&gt;0,S501=0),AF501,0)</x:f>
        <x:v>0</x:v>
      </x:c>
      <x:c r="AJ501" s="23" t="n">
        <x:f>IF(R501&lt;30000,AF501,0)</x:f>
        <x:v>0</x:v>
      </x:c>
      <x:c r="AK501" s="460" t="n">
        <x:f>IF(P501&gt;0,AF501*S501,0)</x:f>
        <x:v>0</x:v>
      </x:c>
    </x:row>
    <x:row r="502" ht="22" customHeight="1">
      <x:c r="A502" s="643" t="str">
        <x:v>进取</x:v>
      </x:c>
      <x:c r="B502" s="648" t="n">
        <x:f>'114_降本系数'!B28</x:f>
        <x:v>0.15</x:v>
      </x:c>
      <x:c r="C502" s="643" t="str">
        <x:v>L2</x:v>
      </x:c>
      <x:c r="D502" s="648" t="n">
        <x:f>'130_联合算法'!C19</x:f>
        <x:v>0.05</x:v>
      </x:c>
      <x:c r="E502" s="647" t="n">
        <x:f>'117_价格概率传导'!A6</x:f>
        <x:v>259900</x:v>
      </x:c>
      <x:c r="F502" s="648" t="n">
        <x:f>'117_价格概率传导'!E6</x:f>
        <x:v>0.01</x:v>
      </x:c>
      <x:c r="G502" s="648" t="n">
        <x:f>0</x:f>
        <x:v>0</x:v>
      </x:c>
      <x:c r="H502" s="648" t="n">
        <x:f>SUM('117_价格概率传导'!$E$6:$E$6)</x:f>
        <x:v>0.01</x:v>
      </x:c>
      <x:c r="I502" s="647" t="n">
        <x:f>'117_价格概率传导'!A19</x:f>
        <x:v>279900</x:v>
      </x:c>
      <x:c r="J502" s="648" t="n">
        <x:f>'117_价格概率传导'!E19</x:f>
        <x:v>0.3</x:v>
      </x:c>
      <x:c r="K502" s="648" t="n">
        <x:f>SUM('117_价格概率传导'!$E$16:$E$18)</x:f>
        <x:v>0.12000000000000001</x:v>
      </x:c>
      <x:c r="L502" s="648" t="n">
        <x:f>SUM('117_价格概率传导'!$E$16:$E$19)</x:f>
        <x:v>0.42</x:v>
      </x:c>
      <x:c r="M502" s="648" t="n">
        <x:f>MAX(0,MIN(H502,L502)-MAX(G502,K502))</x:f>
        <x:v>0</x:v>
      </x:c>
      <x:c r="N502" s="648" t="n">
        <x:f>B502*D502*M502</x:f>
        <x:v>0</x:v>
      </x:c>
      <x:c r="O502" s="647" t="n">
        <x:f>MIN(299900,I502+20000)</x:f>
        <x:v>299900</x:v>
      </x:c>
      <x:c r="P502" s="647" t="str">
        <x:f>""</x:f>
      </x:c>
      <x:c r="Q502" s="647" t="n">
        <x:f>O502-20000</x:f>
        <x:v>279900</x:v>
      </x:c>
      <x:c r="R502" s="647" t="n">
        <x:f>O502-E502</x:f>
        <x:v>40000</x:v>
      </x:c>
      <x:c r="S502" s="647" t="str">
        <x:f>IF(P502&gt;0,P502-E502,"")</x:f>
      </x:c>
      <x:c r="T502" s="647" t="n">
        <x:f>IF(Q502&gt;0,Q502-E502,"")</x:f>
        <x:v>20000</x:v>
      </x:c>
      <x:c r="U502" s="648" t="n">
        <x:f>IF(R502&lt;30000,N502,0)</x:f>
        <x:v>0</x:v>
      </x:c>
      <x:c r="V502" s="648" t="n">
        <x:f>IF(P502&gt;0,N502,0)</x:f>
        <x:v>0</x:v>
      </x:c>
      <x:c r="W502" s="648" t="n">
        <x:f>IF(AND(P502&gt;0,S502&lt;0),N502,0)</x:f>
        <x:v>0</x:v>
      </x:c>
      <x:c r="X502" s="648" t="n">
        <x:f>IF(AND(P502&gt;0,S502=0),N502,0)</x:f>
        <x:v>0</x:v>
      </x:c>
      <x:c r="Y502" s="648" t="n">
        <x:f>IF(Q502&gt;0,N502,0)</x:f>
        <x:v>0</x:v>
      </x:c>
      <x:c r="Z502" s="647" t="n">
        <x:f>IF(P502&gt;0,N502*S502,0)</x:f>
        <x:v>0</x:v>
      </x:c>
      <x:c r="AA502" s="647" t="n">
        <x:f>IF(Q502&gt;0,N502*T502,0)</x:f>
        <x:v>0</x:v>
      </x:c>
      <x:c r="AB502" s="647" t="n">
        <x:f>N502*R502</x:f>
        <x:v>0</x:v>
      </x:c>
      <x:c r="AC502" s="647" t="n">
        <x:f>IF(N502&gt;0,R502,999999)</x:f>
        <x:v>999999</x:v>
      </x:c>
      <x:c r="AD502" s="647" t="n">
        <x:f>IF(AND(N502&gt;0,P502&gt;0),S502,999999)</x:f>
        <x:v>999999</x:v>
      </x:c>
      <x:c r="AE502" s="647" t="n">
        <x:f>IF(AND(N502&gt;0,Q502&gt;0),T502,999999)</x:f>
        <x:v>999999</x:v>
      </x:c>
      <x:c r="AF502" s="648" t="n">
        <x:f>B502*D502*F502*J502</x:f>
        <x:v>0.000022499999999999998</x:v>
      </x:c>
      <x:c r="AG502" s="648" t="n">
        <x:f>IF(P502&gt;0,AF502,0)</x:f>
        <x:v>0</x:v>
      </x:c>
      <x:c r="AH502" s="648" t="n">
        <x:f>IF(AND(P502&gt;0,S502&lt;0),AF502,0)</x:f>
        <x:v>0</x:v>
      </x:c>
      <x:c r="AI502" s="648" t="n">
        <x:f>IF(AND(P502&gt;0,S502=0),AF502,0)</x:f>
        <x:v>0</x:v>
      </x:c>
      <x:c r="AJ502" s="648" t="n">
        <x:f>IF(R502&lt;30000,AF502,0)</x:f>
        <x:v>0</x:v>
      </x:c>
      <x:c r="AK502" s="647" t="n">
        <x:f>IF(P502&gt;0,AF502*S502,0)</x:f>
        <x:v>0</x:v>
      </x:c>
    </x:row>
    <x:row r="503" ht="22" customHeight="1">
      <x:c r="A503" s="19" t="str">
        <x:v>进取</x:v>
      </x:c>
      <x:c r="B503" s="23" t="n">
        <x:f>'114_降本系数'!B28</x:f>
        <x:v>0.15</x:v>
      </x:c>
      <x:c r="C503" s="19" t="str">
        <x:v>L2</x:v>
      </x:c>
      <x:c r="D503" s="23" t="n">
        <x:f>'130_联合算法'!C19</x:f>
        <x:v>0.05</x:v>
      </x:c>
      <x:c r="E503" s="460" t="n">
        <x:f>'117_价格概率传导'!A6</x:f>
        <x:v>259900</x:v>
      </x:c>
      <x:c r="F503" s="23" t="n">
        <x:f>'117_价格概率传导'!E6</x:f>
        <x:v>0.01</x:v>
      </x:c>
      <x:c r="G503" s="23" t="n">
        <x:f>0</x:f>
        <x:v>0</x:v>
      </x:c>
      <x:c r="H503" s="23" t="n">
        <x:f>SUM('117_价格概率传导'!$E$6:$E$6)</x:f>
        <x:v>0.01</x:v>
      </x:c>
      <x:c r="I503" s="460" t="n">
        <x:f>'117_价格概率传导'!A20</x:f>
        <x:v>269900</x:v>
      </x:c>
      <x:c r="J503" s="23" t="n">
        <x:f>'117_价格概率传导'!E20</x:f>
        <x:v>0.38</x:v>
      </x:c>
      <x:c r="K503" s="23" t="n">
        <x:f>SUM('117_价格概率传导'!$E$16:$E$19)</x:f>
        <x:v>0.42</x:v>
      </x:c>
      <x:c r="L503" s="23" t="n">
        <x:f>SUM('117_价格概率传导'!$E$16:$E$20)</x:f>
        <x:v>0.8</x:v>
      </x:c>
      <x:c r="M503" s="23" t="n">
        <x:f>MAX(0,MIN(H503,L503)-MAX(G503,K503))</x:f>
        <x:v>0</x:v>
      </x:c>
      <x:c r="N503" s="23" t="n">
        <x:f>B503*D503*M503</x:f>
        <x:v>0</x:v>
      </x:c>
      <x:c r="O503" s="460" t="n">
        <x:f>MIN(299900,I503+20000)</x:f>
        <x:v>289900</x:v>
      </x:c>
      <x:c r="P503" s="460" t="str">
        <x:f>""</x:f>
      </x:c>
      <x:c r="Q503" s="460" t="n">
        <x:f>O503-20000</x:f>
        <x:v>269900</x:v>
      </x:c>
      <x:c r="R503" s="460" t="n">
        <x:f>O503-E503</x:f>
        <x:v>30000</x:v>
      </x:c>
      <x:c r="S503" s="460" t="str">
        <x:f>IF(P503&gt;0,P503-E503,"")</x:f>
      </x:c>
      <x:c r="T503" s="460" t="n">
        <x:f>IF(Q503&gt;0,Q503-E503,"")</x:f>
        <x:v>10000</x:v>
      </x:c>
      <x:c r="U503" s="23" t="n">
        <x:f>IF(R503&lt;30000,N503,0)</x:f>
        <x:v>0</x:v>
      </x:c>
      <x:c r="V503" s="23" t="n">
        <x:f>IF(P503&gt;0,N503,0)</x:f>
        <x:v>0</x:v>
      </x:c>
      <x:c r="W503" s="23" t="n">
        <x:f>IF(AND(P503&gt;0,S503&lt;0),N503,0)</x:f>
        <x:v>0</x:v>
      </x:c>
      <x:c r="X503" s="23" t="n">
        <x:f>IF(AND(P503&gt;0,S503=0),N503,0)</x:f>
        <x:v>0</x:v>
      </x:c>
      <x:c r="Y503" s="23" t="n">
        <x:f>IF(Q503&gt;0,N503,0)</x:f>
        <x:v>0</x:v>
      </x:c>
      <x:c r="Z503" s="460" t="n">
        <x:f>IF(P503&gt;0,N503*S503,0)</x:f>
        <x:v>0</x:v>
      </x:c>
      <x:c r="AA503" s="460" t="n">
        <x:f>IF(Q503&gt;0,N503*T503,0)</x:f>
        <x:v>0</x:v>
      </x:c>
      <x:c r="AB503" s="460" t="n">
        <x:f>N503*R503</x:f>
        <x:v>0</x:v>
      </x:c>
      <x:c r="AC503" s="460" t="n">
        <x:f>IF(N503&gt;0,R503,999999)</x:f>
        <x:v>999999</x:v>
      </x:c>
      <x:c r="AD503" s="460" t="n">
        <x:f>IF(AND(N503&gt;0,P503&gt;0),S503,999999)</x:f>
        <x:v>999999</x:v>
      </x:c>
      <x:c r="AE503" s="460" t="n">
        <x:f>IF(AND(N503&gt;0,Q503&gt;0),T503,999999)</x:f>
        <x:v>999999</x:v>
      </x:c>
      <x:c r="AF503" s="23" t="n">
        <x:f>B503*D503*F503*J503</x:f>
        <x:v>0.000028499999999999998</x:v>
      </x:c>
      <x:c r="AG503" s="23" t="n">
        <x:f>IF(P503&gt;0,AF503,0)</x:f>
        <x:v>0</x:v>
      </x:c>
      <x:c r="AH503" s="23" t="n">
        <x:f>IF(AND(P503&gt;0,S503&lt;0),AF503,0)</x:f>
        <x:v>0</x:v>
      </x:c>
      <x:c r="AI503" s="23" t="n">
        <x:f>IF(AND(P503&gt;0,S503=0),AF503,0)</x:f>
        <x:v>0</x:v>
      </x:c>
      <x:c r="AJ503" s="23" t="n">
        <x:f>IF(R503&lt;30000,AF503,0)</x:f>
        <x:v>0</x:v>
      </x:c>
      <x:c r="AK503" s="460" t="n">
        <x:f>IF(P503&gt;0,AF503*S503,0)</x:f>
        <x:v>0</x:v>
      </x:c>
    </x:row>
    <x:row r="504" ht="22" customHeight="1">
      <x:c r="A504" s="643" t="str">
        <x:v>进取</x:v>
      </x:c>
      <x:c r="B504" s="648" t="n">
        <x:f>'114_降本系数'!B28</x:f>
        <x:v>0.15</x:v>
      </x:c>
      <x:c r="C504" s="643" t="str">
        <x:v>L2</x:v>
      </x:c>
      <x:c r="D504" s="648" t="n">
        <x:f>'130_联合算法'!C19</x:f>
        <x:v>0.05</x:v>
      </x:c>
      <x:c r="E504" s="647" t="n">
        <x:f>'117_价格概率传导'!A6</x:f>
        <x:v>259900</x:v>
      </x:c>
      <x:c r="F504" s="648" t="n">
        <x:f>'117_价格概率传导'!E6</x:f>
        <x:v>0.01</x:v>
      </x:c>
      <x:c r="G504" s="648" t="n">
        <x:f>0</x:f>
        <x:v>0</x:v>
      </x:c>
      <x:c r="H504" s="648" t="n">
        <x:f>SUM('117_价格概率传导'!$E$6:$E$6)</x:f>
        <x:v>0.01</x:v>
      </x:c>
      <x:c r="I504" s="647" t="n">
        <x:f>'117_价格概率传导'!A21</x:f>
        <x:v>259900</x:v>
      </x:c>
      <x:c r="J504" s="648" t="n">
        <x:f>'117_价格概率传导'!E21</x:f>
        <x:v>0.2</x:v>
      </x:c>
      <x:c r="K504" s="648" t="n">
        <x:f>SUM('117_价格概率传导'!$E$16:$E$20)</x:f>
        <x:v>0.8</x:v>
      </x:c>
      <x:c r="L504" s="648" t="n">
        <x:f>SUM('117_价格概率传导'!$E$16:$E$21)</x:f>
        <x:v>1</x:v>
      </x:c>
      <x:c r="M504" s="648" t="n">
        <x:f>MAX(0,MIN(H504,L504)-MAX(G504,K504))</x:f>
        <x:v>0</x:v>
      </x:c>
      <x:c r="N504" s="648" t="n">
        <x:f>B504*D504*M504</x:f>
        <x:v>0</x:v>
      </x:c>
      <x:c r="O504" s="647" t="n">
        <x:f>MIN(299900,I504+20000)</x:f>
        <x:v>279900</x:v>
      </x:c>
      <x:c r="P504" s="647" t="str">
        <x:f>""</x:f>
      </x:c>
      <x:c r="Q504" s="647" t="n">
        <x:f>O504-20000</x:f>
        <x:v>259900</x:v>
      </x:c>
      <x:c r="R504" s="647" t="n">
        <x:f>O504-E504</x:f>
        <x:v>20000</x:v>
      </x:c>
      <x:c r="S504" s="647" t="str">
        <x:f>IF(P504&gt;0,P504-E504,"")</x:f>
      </x:c>
      <x:c r="T504" s="647" t="n">
        <x:f>IF(Q504&gt;0,Q504-E504,"")</x:f>
        <x:v>0</x:v>
      </x:c>
      <x:c r="U504" s="648" t="n">
        <x:f>IF(R504&lt;30000,N504,0)</x:f>
        <x:v>0</x:v>
      </x:c>
      <x:c r="V504" s="648" t="n">
        <x:f>IF(P504&gt;0,N504,0)</x:f>
        <x:v>0</x:v>
      </x:c>
      <x:c r="W504" s="648" t="n">
        <x:f>IF(AND(P504&gt;0,S504&lt;0),N504,0)</x:f>
        <x:v>0</x:v>
      </x:c>
      <x:c r="X504" s="648" t="n">
        <x:f>IF(AND(P504&gt;0,S504=0),N504,0)</x:f>
        <x:v>0</x:v>
      </x:c>
      <x:c r="Y504" s="648" t="n">
        <x:f>IF(Q504&gt;0,N504,0)</x:f>
        <x:v>0</x:v>
      </x:c>
      <x:c r="Z504" s="647" t="n">
        <x:f>IF(P504&gt;0,N504*S504,0)</x:f>
        <x:v>0</x:v>
      </x:c>
      <x:c r="AA504" s="647" t="n">
        <x:f>IF(Q504&gt;0,N504*T504,0)</x:f>
        <x:v>0</x:v>
      </x:c>
      <x:c r="AB504" s="647" t="n">
        <x:f>N504*R504</x:f>
        <x:v>0</x:v>
      </x:c>
      <x:c r="AC504" s="647" t="n">
        <x:f>IF(N504&gt;0,R504,999999)</x:f>
        <x:v>999999</x:v>
      </x:c>
      <x:c r="AD504" s="647" t="n">
        <x:f>IF(AND(N504&gt;0,P504&gt;0),S504,999999)</x:f>
        <x:v>999999</x:v>
      </x:c>
      <x:c r="AE504" s="647" t="n">
        <x:f>IF(AND(N504&gt;0,Q504&gt;0),T504,999999)</x:f>
        <x:v>999999</x:v>
      </x:c>
      <x:c r="AF504" s="648" t="n">
        <x:f>B504*D504*F504*J504</x:f>
        <x:v>0.000014999999999999999</x:v>
      </x:c>
      <x:c r="AG504" s="648" t="n">
        <x:f>IF(P504&gt;0,AF504,0)</x:f>
        <x:v>0</x:v>
      </x:c>
      <x:c r="AH504" s="648" t="n">
        <x:f>IF(AND(P504&gt;0,S504&lt;0),AF504,0)</x:f>
        <x:v>0</x:v>
      </x:c>
      <x:c r="AI504" s="648" t="n">
        <x:f>IF(AND(P504&gt;0,S504=0),AF504,0)</x:f>
        <x:v>0</x:v>
      </x:c>
      <x:c r="AJ504" s="648" t="n">
        <x:f>IF(R504&lt;30000,AF504,0)</x:f>
        <x:v>0.000014999999999999999</x:v>
      </x:c>
      <x:c r="AK504" s="647" t="n">
        <x:f>IF(P504&gt;0,AF504*S504,0)</x:f>
        <x:v>0</x:v>
      </x:c>
    </x:row>
    <x:row r="505" ht="22" customHeight="1">
      <x:c r="A505" s="19" t="str">
        <x:v>进取</x:v>
      </x:c>
      <x:c r="B505" s="23" t="n">
        <x:f>'114_降本系数'!B28</x:f>
        <x:v>0.15</x:v>
      </x:c>
      <x:c r="C505" s="19" t="str">
        <x:v>L2</x:v>
      </x:c>
      <x:c r="D505" s="23" t="n">
        <x:f>'130_联合算法'!C19</x:f>
        <x:v>0.05</x:v>
      </x:c>
      <x:c r="E505" s="460" t="n">
        <x:f>'117_价格概率传导'!A7</x:f>
        <x:v>253900</x:v>
      </x:c>
      <x:c r="F505" s="23" t="n">
        <x:f>'117_价格概率传导'!E7</x:f>
        <x:v>0.02</x:v>
      </x:c>
      <x:c r="G505" s="23" t="n">
        <x:f>SUM('117_价格概率传导'!$E$6:$E$6)</x:f>
        <x:v>0.01</x:v>
      </x:c>
      <x:c r="H505" s="23" t="n">
        <x:f>SUM('117_价格概率传导'!$E$6:$E$7)</x:f>
        <x:v>0.03</x:v>
      </x:c>
      <x:c r="I505" s="460" t="n">
        <x:f>'117_价格概率传导'!A16</x:f>
        <x:v>299900</x:v>
      </x:c>
      <x:c r="J505" s="23" t="n">
        <x:f>'117_价格概率传导'!E16</x:f>
        <x:v>0.01</x:v>
      </x:c>
      <x:c r="K505" s="23" t="n">
        <x:f>0</x:f>
        <x:v>0</x:v>
      </x:c>
      <x:c r="L505" s="23" t="n">
        <x:f>SUM('117_价格概率传导'!$E$16:$E$16)</x:f>
        <x:v>0.01</x:v>
      </x:c>
      <x:c r="M505" s="23" t="n">
        <x:f>MAX(0,MIN(H505,L505)-MAX(G505,K505))</x:f>
        <x:v>0</x:v>
      </x:c>
      <x:c r="N505" s="23" t="n">
        <x:f>B505*D505*M505</x:f>
        <x:v>0</x:v>
      </x:c>
      <x:c r="O505" s="460" t="n">
        <x:f>MIN(299900,I505+20000)</x:f>
        <x:v>299900</x:v>
      </x:c>
      <x:c r="P505" s="460" t="str">
        <x:f>""</x:f>
      </x:c>
      <x:c r="Q505" s="460" t="n">
        <x:f>O505-20000</x:f>
        <x:v>279900</x:v>
      </x:c>
      <x:c r="R505" s="460" t="n">
        <x:f>O505-E505</x:f>
        <x:v>46000</x:v>
      </x:c>
      <x:c r="S505" s="460" t="str">
        <x:f>IF(P505&gt;0,P505-E505,"")</x:f>
      </x:c>
      <x:c r="T505" s="460" t="n">
        <x:f>IF(Q505&gt;0,Q505-E505,"")</x:f>
        <x:v>26000</x:v>
      </x:c>
      <x:c r="U505" s="23" t="n">
        <x:f>IF(R505&lt;30000,N505,0)</x:f>
        <x:v>0</x:v>
      </x:c>
      <x:c r="V505" s="23" t="n">
        <x:f>IF(P505&gt;0,N505,0)</x:f>
        <x:v>0</x:v>
      </x:c>
      <x:c r="W505" s="23" t="n">
        <x:f>IF(AND(P505&gt;0,S505&lt;0),N505,0)</x:f>
        <x:v>0</x:v>
      </x:c>
      <x:c r="X505" s="23" t="n">
        <x:f>IF(AND(P505&gt;0,S505=0),N505,0)</x:f>
        <x:v>0</x:v>
      </x:c>
      <x:c r="Y505" s="23" t="n">
        <x:f>IF(Q505&gt;0,N505,0)</x:f>
        <x:v>0</x:v>
      </x:c>
      <x:c r="Z505" s="460" t="n">
        <x:f>IF(P505&gt;0,N505*S505,0)</x:f>
        <x:v>0</x:v>
      </x:c>
      <x:c r="AA505" s="460" t="n">
        <x:f>IF(Q505&gt;0,N505*T505,0)</x:f>
        <x:v>0</x:v>
      </x:c>
      <x:c r="AB505" s="460" t="n">
        <x:f>N505*R505</x:f>
        <x:v>0</x:v>
      </x:c>
      <x:c r="AC505" s="460" t="n">
        <x:f>IF(N505&gt;0,R505,999999)</x:f>
        <x:v>999999</x:v>
      </x:c>
      <x:c r="AD505" s="460" t="n">
        <x:f>IF(AND(N505&gt;0,P505&gt;0),S505,999999)</x:f>
        <x:v>999999</x:v>
      </x:c>
      <x:c r="AE505" s="460" t="n">
        <x:f>IF(AND(N505&gt;0,Q505&gt;0),T505,999999)</x:f>
        <x:v>999999</x:v>
      </x:c>
      <x:c r="AF505" s="23" t="n">
        <x:f>B505*D505*F505*J505</x:f>
        <x:v>0.0000014999999999999998</x:v>
      </x:c>
      <x:c r="AG505" s="23" t="n">
        <x:f>IF(P505&gt;0,AF505,0)</x:f>
        <x:v>0</x:v>
      </x:c>
      <x:c r="AH505" s="23" t="n">
        <x:f>IF(AND(P505&gt;0,S505&lt;0),AF505,0)</x:f>
        <x:v>0</x:v>
      </x:c>
      <x:c r="AI505" s="23" t="n">
        <x:f>IF(AND(P505&gt;0,S505=0),AF505,0)</x:f>
        <x:v>0</x:v>
      </x:c>
      <x:c r="AJ505" s="23" t="n">
        <x:f>IF(R505&lt;30000,AF505,0)</x:f>
        <x:v>0</x:v>
      </x:c>
      <x:c r="AK505" s="460" t="n">
        <x:f>IF(P505&gt;0,AF505*S505,0)</x:f>
        <x:v>0</x:v>
      </x:c>
    </x:row>
    <x:row r="506" ht="22" customHeight="1">
      <x:c r="A506" s="643" t="str">
        <x:v>进取</x:v>
      </x:c>
      <x:c r="B506" s="648" t="n">
        <x:f>'114_降本系数'!B28</x:f>
        <x:v>0.15</x:v>
      </x:c>
      <x:c r="C506" s="643" t="str">
        <x:v>L2</x:v>
      </x:c>
      <x:c r="D506" s="648" t="n">
        <x:f>'130_联合算法'!C19</x:f>
        <x:v>0.05</x:v>
      </x:c>
      <x:c r="E506" s="647" t="n">
        <x:f>'117_价格概率传导'!A7</x:f>
        <x:v>253900</x:v>
      </x:c>
      <x:c r="F506" s="648" t="n">
        <x:f>'117_价格概率传导'!E7</x:f>
        <x:v>0.02</x:v>
      </x:c>
      <x:c r="G506" s="648" t="n">
        <x:f>SUM('117_价格概率传导'!$E$6:$E$6)</x:f>
        <x:v>0.01</x:v>
      </x:c>
      <x:c r="H506" s="648" t="n">
        <x:f>SUM('117_价格概率传导'!$E$6:$E$7)</x:f>
        <x:v>0.03</x:v>
      </x:c>
      <x:c r="I506" s="647" t="n">
        <x:f>'117_价格概率传导'!A17</x:f>
        <x:v>293900</x:v>
      </x:c>
      <x:c r="J506" s="648" t="n">
        <x:f>'117_价格概率传导'!E17</x:f>
        <x:v>0.01</x:v>
      </x:c>
      <x:c r="K506" s="648" t="n">
        <x:f>SUM('117_价格概率传导'!$E$16:$E$16)</x:f>
        <x:v>0.01</x:v>
      </x:c>
      <x:c r="L506" s="648" t="n">
        <x:f>SUM('117_价格概率传导'!$E$16:$E$17)</x:f>
        <x:v>0.02</x:v>
      </x:c>
      <x:c r="M506" s="648" t="n">
        <x:f>MAX(0,MIN(H506,L506)-MAX(G506,K506))</x:f>
        <x:v>0.01</x:v>
      </x:c>
      <x:c r="N506" s="648" t="n">
        <x:f>B506*D506*M506</x:f>
        <x:v>0.000075</x:v>
      </x:c>
      <x:c r="O506" s="647" t="n">
        <x:f>MIN(299900,I506+20000)</x:f>
        <x:v>299900</x:v>
      </x:c>
      <x:c r="P506" s="647" t="str">
        <x:f>""</x:f>
      </x:c>
      <x:c r="Q506" s="647" t="n">
        <x:f>O506-20000</x:f>
        <x:v>279900</x:v>
      </x:c>
      <x:c r="R506" s="647" t="n">
        <x:f>O506-E506</x:f>
        <x:v>46000</x:v>
      </x:c>
      <x:c r="S506" s="647" t="str">
        <x:f>IF(P506&gt;0,P506-E506,"")</x:f>
      </x:c>
      <x:c r="T506" s="647" t="n">
        <x:f>IF(Q506&gt;0,Q506-E506,"")</x:f>
        <x:v>26000</x:v>
      </x:c>
      <x:c r="U506" s="648" t="n">
        <x:f>IF(R506&lt;30000,N506,0)</x:f>
        <x:v>0</x:v>
      </x:c>
      <x:c r="V506" s="648" t="n">
        <x:f>IF(P506&gt;0,N506,0)</x:f>
        <x:v>0</x:v>
      </x:c>
      <x:c r="W506" s="648" t="n">
        <x:f>IF(AND(P506&gt;0,S506&lt;0),N506,0)</x:f>
        <x:v>0</x:v>
      </x:c>
      <x:c r="X506" s="648" t="n">
        <x:f>IF(AND(P506&gt;0,S506=0),N506,0)</x:f>
        <x:v>0</x:v>
      </x:c>
      <x:c r="Y506" s="648" t="n">
        <x:f>IF(Q506&gt;0,N506,0)</x:f>
        <x:v>0.000075</x:v>
      </x:c>
      <x:c r="Z506" s="647" t="n">
        <x:f>IF(P506&gt;0,N506*S506,0)</x:f>
        <x:v>0</x:v>
      </x:c>
      <x:c r="AA506" s="647" t="n">
        <x:f>IF(Q506&gt;0,N506*T506,0)</x:f>
        <x:v>1.9499999999999997</x:v>
      </x:c>
      <x:c r="AB506" s="647" t="n">
        <x:f>N506*R506</x:f>
        <x:v>3.4499999999999997</x:v>
      </x:c>
      <x:c r="AC506" s="647" t="n">
        <x:f>IF(N506&gt;0,R506,999999)</x:f>
        <x:v>46000</x:v>
      </x:c>
      <x:c r="AD506" s="647" t="n">
        <x:f>IF(AND(N506&gt;0,P506&gt;0),S506,999999)</x:f>
        <x:v>999999</x:v>
      </x:c>
      <x:c r="AE506" s="647" t="n">
        <x:f>IF(AND(N506&gt;0,Q506&gt;0),T506,999999)</x:f>
        <x:v>26000</x:v>
      </x:c>
      <x:c r="AF506" s="648" t="n">
        <x:f>B506*D506*F506*J506</x:f>
        <x:v>0.0000014999999999999998</x:v>
      </x:c>
      <x:c r="AG506" s="648" t="n">
        <x:f>IF(P506&gt;0,AF506,0)</x:f>
        <x:v>0</x:v>
      </x:c>
      <x:c r="AH506" s="648" t="n">
        <x:f>IF(AND(P506&gt;0,S506&lt;0),AF506,0)</x:f>
        <x:v>0</x:v>
      </x:c>
      <x:c r="AI506" s="648" t="n">
        <x:f>IF(AND(P506&gt;0,S506=0),AF506,0)</x:f>
        <x:v>0</x:v>
      </x:c>
      <x:c r="AJ506" s="648" t="n">
        <x:f>IF(R506&lt;30000,AF506,0)</x:f>
        <x:v>0</x:v>
      </x:c>
      <x:c r="AK506" s="647" t="n">
        <x:f>IF(P506&gt;0,AF506*S506,0)</x:f>
        <x:v>0</x:v>
      </x:c>
    </x:row>
    <x:row r="507" ht="22" customHeight="1">
      <x:c r="A507" s="19" t="str">
        <x:v>进取</x:v>
      </x:c>
      <x:c r="B507" s="23" t="n">
        <x:f>'114_降本系数'!B28</x:f>
        <x:v>0.15</x:v>
      </x:c>
      <x:c r="C507" s="19" t="str">
        <x:v>L2</x:v>
      </x:c>
      <x:c r="D507" s="23" t="n">
        <x:f>'130_联合算法'!C19</x:f>
        <x:v>0.05</x:v>
      </x:c>
      <x:c r="E507" s="460" t="n">
        <x:f>'117_价格概率传导'!A7</x:f>
        <x:v>253900</x:v>
      </x:c>
      <x:c r="F507" s="23" t="n">
        <x:f>'117_价格概率传导'!E7</x:f>
        <x:v>0.02</x:v>
      </x:c>
      <x:c r="G507" s="23" t="n">
        <x:f>SUM('117_价格概率传导'!$E$6:$E$6)</x:f>
        <x:v>0.01</x:v>
      </x:c>
      <x:c r="H507" s="23" t="n">
        <x:f>SUM('117_价格概率传导'!$E$6:$E$7)</x:f>
        <x:v>0.03</x:v>
      </x:c>
      <x:c r="I507" s="460" t="n">
        <x:f>'117_价格概率传导'!A18</x:f>
        <x:v>289900</x:v>
      </x:c>
      <x:c r="J507" s="23" t="n">
        <x:f>'117_价格概率传导'!E18</x:f>
        <x:v>0.1</x:v>
      </x:c>
      <x:c r="K507" s="23" t="n">
        <x:f>SUM('117_价格概率传导'!$E$16:$E$17)</x:f>
        <x:v>0.02</x:v>
      </x:c>
      <x:c r="L507" s="23" t="n">
        <x:f>SUM('117_价格概率传导'!$E$16:$E$18)</x:f>
        <x:v>0.12000000000000001</x:v>
      </x:c>
      <x:c r="M507" s="23" t="n">
        <x:f>MAX(0,MIN(H507,L507)-MAX(G507,K507))</x:f>
        <x:v>0.009999999999999998</x:v>
      </x:c>
      <x:c r="N507" s="23" t="n">
        <x:f>B507*D507*M507</x:f>
        <x:v>0.00007499999999999998</x:v>
      </x:c>
      <x:c r="O507" s="460" t="n">
        <x:f>MIN(299900,I507+20000)</x:f>
        <x:v>299900</x:v>
      </x:c>
      <x:c r="P507" s="460" t="str">
        <x:f>""</x:f>
      </x:c>
      <x:c r="Q507" s="460" t="n">
        <x:f>O507-20000</x:f>
        <x:v>279900</x:v>
      </x:c>
      <x:c r="R507" s="460" t="n">
        <x:f>O507-E507</x:f>
        <x:v>46000</x:v>
      </x:c>
      <x:c r="S507" s="460" t="str">
        <x:f>IF(P507&gt;0,P507-E507,"")</x:f>
      </x:c>
      <x:c r="T507" s="460" t="n">
        <x:f>IF(Q507&gt;0,Q507-E507,"")</x:f>
        <x:v>26000</x:v>
      </x:c>
      <x:c r="U507" s="23" t="n">
        <x:f>IF(R507&lt;30000,N507,0)</x:f>
        <x:v>0</x:v>
      </x:c>
      <x:c r="V507" s="23" t="n">
        <x:f>IF(P507&gt;0,N507,0)</x:f>
        <x:v>0</x:v>
      </x:c>
      <x:c r="W507" s="23" t="n">
        <x:f>IF(AND(P507&gt;0,S507&lt;0),N507,0)</x:f>
        <x:v>0</x:v>
      </x:c>
      <x:c r="X507" s="23" t="n">
        <x:f>IF(AND(P507&gt;0,S507=0),N507,0)</x:f>
        <x:v>0</x:v>
      </x:c>
      <x:c r="Y507" s="23" t="n">
        <x:f>IF(Q507&gt;0,N507,0)</x:f>
        <x:v>0.00007499999999999998</x:v>
      </x:c>
      <x:c r="Z507" s="460" t="n">
        <x:f>IF(P507&gt;0,N507*S507,0)</x:f>
        <x:v>0</x:v>
      </x:c>
      <x:c r="AA507" s="460" t="n">
        <x:f>IF(Q507&gt;0,N507*T507,0)</x:f>
        <x:v>1.9499999999999995</x:v>
      </x:c>
      <x:c r="AB507" s="460" t="n">
        <x:f>N507*R507</x:f>
        <x:v>3.4499999999999993</x:v>
      </x:c>
      <x:c r="AC507" s="460" t="n">
        <x:f>IF(N507&gt;0,R507,999999)</x:f>
        <x:v>46000</x:v>
      </x:c>
      <x:c r="AD507" s="460" t="n">
        <x:f>IF(AND(N507&gt;0,P507&gt;0),S507,999999)</x:f>
        <x:v>999999</x:v>
      </x:c>
      <x:c r="AE507" s="460" t="n">
        <x:f>IF(AND(N507&gt;0,Q507&gt;0),T507,999999)</x:f>
        <x:v>26000</x:v>
      </x:c>
      <x:c r="AF507" s="23" t="n">
        <x:f>B507*D507*F507*J507</x:f>
        <x:v>0.000014999999999999999</x:v>
      </x:c>
      <x:c r="AG507" s="23" t="n">
        <x:f>IF(P507&gt;0,AF507,0)</x:f>
        <x:v>0</x:v>
      </x:c>
      <x:c r="AH507" s="23" t="n">
        <x:f>IF(AND(P507&gt;0,S507&lt;0),AF507,0)</x:f>
        <x:v>0</x:v>
      </x:c>
      <x:c r="AI507" s="23" t="n">
        <x:f>IF(AND(P507&gt;0,S507=0),AF507,0)</x:f>
        <x:v>0</x:v>
      </x:c>
      <x:c r="AJ507" s="23" t="n">
        <x:f>IF(R507&lt;30000,AF507,0)</x:f>
        <x:v>0</x:v>
      </x:c>
      <x:c r="AK507" s="460" t="n">
        <x:f>IF(P507&gt;0,AF507*S507,0)</x:f>
        <x:v>0</x:v>
      </x:c>
    </x:row>
    <x:row r="508" ht="22" customHeight="1">
      <x:c r="A508" s="643" t="str">
        <x:v>进取</x:v>
      </x:c>
      <x:c r="B508" s="648" t="n">
        <x:f>'114_降本系数'!B28</x:f>
        <x:v>0.15</x:v>
      </x:c>
      <x:c r="C508" s="643" t="str">
        <x:v>L2</x:v>
      </x:c>
      <x:c r="D508" s="648" t="n">
        <x:f>'130_联合算法'!C19</x:f>
        <x:v>0.05</x:v>
      </x:c>
      <x:c r="E508" s="647" t="n">
        <x:f>'117_价格概率传导'!A7</x:f>
        <x:v>253900</x:v>
      </x:c>
      <x:c r="F508" s="648" t="n">
        <x:f>'117_价格概率传导'!E7</x:f>
        <x:v>0.02</x:v>
      </x:c>
      <x:c r="G508" s="648" t="n">
        <x:f>SUM('117_价格概率传导'!$E$6:$E$6)</x:f>
        <x:v>0.01</x:v>
      </x:c>
      <x:c r="H508" s="648" t="n">
        <x:f>SUM('117_价格概率传导'!$E$6:$E$7)</x:f>
        <x:v>0.03</x:v>
      </x:c>
      <x:c r="I508" s="647" t="n">
        <x:f>'117_价格概率传导'!A19</x:f>
        <x:v>279900</x:v>
      </x:c>
      <x:c r="J508" s="648" t="n">
        <x:f>'117_价格概率传导'!E19</x:f>
        <x:v>0.3</x:v>
      </x:c>
      <x:c r="K508" s="648" t="n">
        <x:f>SUM('117_价格概率传导'!$E$16:$E$18)</x:f>
        <x:v>0.12000000000000001</x:v>
      </x:c>
      <x:c r="L508" s="648" t="n">
        <x:f>SUM('117_价格概率传导'!$E$16:$E$19)</x:f>
        <x:v>0.42</x:v>
      </x:c>
      <x:c r="M508" s="648" t="n">
        <x:f>MAX(0,MIN(H508,L508)-MAX(G508,K508))</x:f>
        <x:v>0</x:v>
      </x:c>
      <x:c r="N508" s="648" t="n">
        <x:f>B508*D508*M508</x:f>
        <x:v>0</x:v>
      </x:c>
      <x:c r="O508" s="647" t="n">
        <x:f>MIN(299900,I508+20000)</x:f>
        <x:v>299900</x:v>
      </x:c>
      <x:c r="P508" s="647" t="str">
        <x:f>""</x:f>
      </x:c>
      <x:c r="Q508" s="647" t="n">
        <x:f>O508-20000</x:f>
        <x:v>279900</x:v>
      </x:c>
      <x:c r="R508" s="647" t="n">
        <x:f>O508-E508</x:f>
        <x:v>46000</x:v>
      </x:c>
      <x:c r="S508" s="647" t="str">
        <x:f>IF(P508&gt;0,P508-E508,"")</x:f>
      </x:c>
      <x:c r="T508" s="647" t="n">
        <x:f>IF(Q508&gt;0,Q508-E508,"")</x:f>
        <x:v>26000</x:v>
      </x:c>
      <x:c r="U508" s="648" t="n">
        <x:f>IF(R508&lt;30000,N508,0)</x:f>
        <x:v>0</x:v>
      </x:c>
      <x:c r="V508" s="648" t="n">
        <x:f>IF(P508&gt;0,N508,0)</x:f>
        <x:v>0</x:v>
      </x:c>
      <x:c r="W508" s="648" t="n">
        <x:f>IF(AND(P508&gt;0,S508&lt;0),N508,0)</x:f>
        <x:v>0</x:v>
      </x:c>
      <x:c r="X508" s="648" t="n">
        <x:f>IF(AND(P508&gt;0,S508=0),N508,0)</x:f>
        <x:v>0</x:v>
      </x:c>
      <x:c r="Y508" s="648" t="n">
        <x:f>IF(Q508&gt;0,N508,0)</x:f>
        <x:v>0</x:v>
      </x:c>
      <x:c r="Z508" s="647" t="n">
        <x:f>IF(P508&gt;0,N508*S508,0)</x:f>
        <x:v>0</x:v>
      </x:c>
      <x:c r="AA508" s="647" t="n">
        <x:f>IF(Q508&gt;0,N508*T508,0)</x:f>
        <x:v>0</x:v>
      </x:c>
      <x:c r="AB508" s="647" t="n">
        <x:f>N508*R508</x:f>
        <x:v>0</x:v>
      </x:c>
      <x:c r="AC508" s="647" t="n">
        <x:f>IF(N508&gt;0,R508,999999)</x:f>
        <x:v>999999</x:v>
      </x:c>
      <x:c r="AD508" s="647" t="n">
        <x:f>IF(AND(N508&gt;0,P508&gt;0),S508,999999)</x:f>
        <x:v>999999</x:v>
      </x:c>
      <x:c r="AE508" s="647" t="n">
        <x:f>IF(AND(N508&gt;0,Q508&gt;0),T508,999999)</x:f>
        <x:v>999999</x:v>
      </x:c>
      <x:c r="AF508" s="648" t="n">
        <x:f>B508*D508*F508*J508</x:f>
        <x:v>0.000044999999999999996</x:v>
      </x:c>
      <x:c r="AG508" s="648" t="n">
        <x:f>IF(P508&gt;0,AF508,0)</x:f>
        <x:v>0</x:v>
      </x:c>
      <x:c r="AH508" s="648" t="n">
        <x:f>IF(AND(P508&gt;0,S508&lt;0),AF508,0)</x:f>
        <x:v>0</x:v>
      </x:c>
      <x:c r="AI508" s="648" t="n">
        <x:f>IF(AND(P508&gt;0,S508=0),AF508,0)</x:f>
        <x:v>0</x:v>
      </x:c>
      <x:c r="AJ508" s="648" t="n">
        <x:f>IF(R508&lt;30000,AF508,0)</x:f>
        <x:v>0</x:v>
      </x:c>
      <x:c r="AK508" s="647" t="n">
        <x:f>IF(P508&gt;0,AF508*S508,0)</x:f>
        <x:v>0</x:v>
      </x:c>
    </x:row>
    <x:row r="509" ht="22" customHeight="1">
      <x:c r="A509" s="19" t="str">
        <x:v>进取</x:v>
      </x:c>
      <x:c r="B509" s="23" t="n">
        <x:f>'114_降本系数'!B28</x:f>
        <x:v>0.15</x:v>
      </x:c>
      <x:c r="C509" s="19" t="str">
        <x:v>L2</x:v>
      </x:c>
      <x:c r="D509" s="23" t="n">
        <x:f>'130_联合算法'!C19</x:f>
        <x:v>0.05</x:v>
      </x:c>
      <x:c r="E509" s="460" t="n">
        <x:f>'117_价格概率传导'!A7</x:f>
        <x:v>253900</x:v>
      </x:c>
      <x:c r="F509" s="23" t="n">
        <x:f>'117_价格概率传导'!E7</x:f>
        <x:v>0.02</x:v>
      </x:c>
      <x:c r="G509" s="23" t="n">
        <x:f>SUM('117_价格概率传导'!$E$6:$E$6)</x:f>
        <x:v>0.01</x:v>
      </x:c>
      <x:c r="H509" s="23" t="n">
        <x:f>SUM('117_价格概率传导'!$E$6:$E$7)</x:f>
        <x:v>0.03</x:v>
      </x:c>
      <x:c r="I509" s="460" t="n">
        <x:f>'117_价格概率传导'!A20</x:f>
        <x:v>269900</x:v>
      </x:c>
      <x:c r="J509" s="23" t="n">
        <x:f>'117_价格概率传导'!E20</x:f>
        <x:v>0.38</x:v>
      </x:c>
      <x:c r="K509" s="23" t="n">
        <x:f>SUM('117_价格概率传导'!$E$16:$E$19)</x:f>
        <x:v>0.42</x:v>
      </x:c>
      <x:c r="L509" s="23" t="n">
        <x:f>SUM('117_价格概率传导'!$E$16:$E$20)</x:f>
        <x:v>0.8</x:v>
      </x:c>
      <x:c r="M509" s="23" t="n">
        <x:f>MAX(0,MIN(H509,L509)-MAX(G509,K509))</x:f>
        <x:v>0</x:v>
      </x:c>
      <x:c r="N509" s="23" t="n">
        <x:f>B509*D509*M509</x:f>
        <x:v>0</x:v>
      </x:c>
      <x:c r="O509" s="460" t="n">
        <x:f>MIN(299900,I509+20000)</x:f>
        <x:v>289900</x:v>
      </x:c>
      <x:c r="P509" s="460" t="str">
        <x:f>""</x:f>
      </x:c>
      <x:c r="Q509" s="460" t="n">
        <x:f>O509-20000</x:f>
        <x:v>269900</x:v>
      </x:c>
      <x:c r="R509" s="460" t="n">
        <x:f>O509-E509</x:f>
        <x:v>36000</x:v>
      </x:c>
      <x:c r="S509" s="460" t="str">
        <x:f>IF(P509&gt;0,P509-E509,"")</x:f>
      </x:c>
      <x:c r="T509" s="460" t="n">
        <x:f>IF(Q509&gt;0,Q509-E509,"")</x:f>
        <x:v>16000</x:v>
      </x:c>
      <x:c r="U509" s="23" t="n">
        <x:f>IF(R509&lt;30000,N509,0)</x:f>
        <x:v>0</x:v>
      </x:c>
      <x:c r="V509" s="23" t="n">
        <x:f>IF(P509&gt;0,N509,0)</x:f>
        <x:v>0</x:v>
      </x:c>
      <x:c r="W509" s="23" t="n">
        <x:f>IF(AND(P509&gt;0,S509&lt;0),N509,0)</x:f>
        <x:v>0</x:v>
      </x:c>
      <x:c r="X509" s="23" t="n">
        <x:f>IF(AND(P509&gt;0,S509=0),N509,0)</x:f>
        <x:v>0</x:v>
      </x:c>
      <x:c r="Y509" s="23" t="n">
        <x:f>IF(Q509&gt;0,N509,0)</x:f>
        <x:v>0</x:v>
      </x:c>
      <x:c r="Z509" s="460" t="n">
        <x:f>IF(P509&gt;0,N509*S509,0)</x:f>
        <x:v>0</x:v>
      </x:c>
      <x:c r="AA509" s="460" t="n">
        <x:f>IF(Q509&gt;0,N509*T509,0)</x:f>
        <x:v>0</x:v>
      </x:c>
      <x:c r="AB509" s="460" t="n">
        <x:f>N509*R509</x:f>
        <x:v>0</x:v>
      </x:c>
      <x:c r="AC509" s="460" t="n">
        <x:f>IF(N509&gt;0,R509,999999)</x:f>
        <x:v>999999</x:v>
      </x:c>
      <x:c r="AD509" s="460" t="n">
        <x:f>IF(AND(N509&gt;0,P509&gt;0),S509,999999)</x:f>
        <x:v>999999</x:v>
      </x:c>
      <x:c r="AE509" s="460" t="n">
        <x:f>IF(AND(N509&gt;0,Q509&gt;0),T509,999999)</x:f>
        <x:v>999999</x:v>
      </x:c>
      <x:c r="AF509" s="23" t="n">
        <x:f>B509*D509*F509*J509</x:f>
        <x:v>0.000056999999999999996</x:v>
      </x:c>
      <x:c r="AG509" s="23" t="n">
        <x:f>IF(P509&gt;0,AF509,0)</x:f>
        <x:v>0</x:v>
      </x:c>
      <x:c r="AH509" s="23" t="n">
        <x:f>IF(AND(P509&gt;0,S509&lt;0),AF509,0)</x:f>
        <x:v>0</x:v>
      </x:c>
      <x:c r="AI509" s="23" t="n">
        <x:f>IF(AND(P509&gt;0,S509=0),AF509,0)</x:f>
        <x:v>0</x:v>
      </x:c>
      <x:c r="AJ509" s="23" t="n">
        <x:f>IF(R509&lt;30000,AF509,0)</x:f>
        <x:v>0</x:v>
      </x:c>
      <x:c r="AK509" s="460" t="n">
        <x:f>IF(P509&gt;0,AF509*S509,0)</x:f>
        <x:v>0</x:v>
      </x:c>
    </x:row>
    <x:row r="510" ht="22" customHeight="1">
      <x:c r="A510" s="643" t="str">
        <x:v>进取</x:v>
      </x:c>
      <x:c r="B510" s="648" t="n">
        <x:f>'114_降本系数'!B28</x:f>
        <x:v>0.15</x:v>
      </x:c>
      <x:c r="C510" s="643" t="str">
        <x:v>L2</x:v>
      </x:c>
      <x:c r="D510" s="648" t="n">
        <x:f>'130_联合算法'!C19</x:f>
        <x:v>0.05</x:v>
      </x:c>
      <x:c r="E510" s="647" t="n">
        <x:f>'117_价格概率传导'!A7</x:f>
        <x:v>253900</x:v>
      </x:c>
      <x:c r="F510" s="648" t="n">
        <x:f>'117_价格概率传导'!E7</x:f>
        <x:v>0.02</x:v>
      </x:c>
      <x:c r="G510" s="648" t="n">
        <x:f>SUM('117_价格概率传导'!$E$6:$E$6)</x:f>
        <x:v>0.01</x:v>
      </x:c>
      <x:c r="H510" s="648" t="n">
        <x:f>SUM('117_价格概率传导'!$E$6:$E$7)</x:f>
        <x:v>0.03</x:v>
      </x:c>
      <x:c r="I510" s="647" t="n">
        <x:f>'117_价格概率传导'!A21</x:f>
        <x:v>259900</x:v>
      </x:c>
      <x:c r="J510" s="648" t="n">
        <x:f>'117_价格概率传导'!E21</x:f>
        <x:v>0.2</x:v>
      </x:c>
      <x:c r="K510" s="648" t="n">
        <x:f>SUM('117_价格概率传导'!$E$16:$E$20)</x:f>
        <x:v>0.8</x:v>
      </x:c>
      <x:c r="L510" s="648" t="n">
        <x:f>SUM('117_价格概率传导'!$E$16:$E$21)</x:f>
        <x:v>1</x:v>
      </x:c>
      <x:c r="M510" s="648" t="n">
        <x:f>MAX(0,MIN(H510,L510)-MAX(G510,K510))</x:f>
        <x:v>0</x:v>
      </x:c>
      <x:c r="N510" s="648" t="n">
        <x:f>B510*D510*M510</x:f>
        <x:v>0</x:v>
      </x:c>
      <x:c r="O510" s="647" t="n">
        <x:f>MIN(299900,I510+20000)</x:f>
        <x:v>279900</x:v>
      </x:c>
      <x:c r="P510" s="647" t="str">
        <x:f>""</x:f>
      </x:c>
      <x:c r="Q510" s="647" t="n">
        <x:f>O510-20000</x:f>
        <x:v>259900</x:v>
      </x:c>
      <x:c r="R510" s="647" t="n">
        <x:f>O510-E510</x:f>
        <x:v>26000</x:v>
      </x:c>
      <x:c r="S510" s="647" t="str">
        <x:f>IF(P510&gt;0,P510-E510,"")</x:f>
      </x:c>
      <x:c r="T510" s="647" t="n">
        <x:f>IF(Q510&gt;0,Q510-E510,"")</x:f>
        <x:v>6000</x:v>
      </x:c>
      <x:c r="U510" s="648" t="n">
        <x:f>IF(R510&lt;30000,N510,0)</x:f>
        <x:v>0</x:v>
      </x:c>
      <x:c r="V510" s="648" t="n">
        <x:f>IF(P510&gt;0,N510,0)</x:f>
        <x:v>0</x:v>
      </x:c>
      <x:c r="W510" s="648" t="n">
        <x:f>IF(AND(P510&gt;0,S510&lt;0),N510,0)</x:f>
        <x:v>0</x:v>
      </x:c>
      <x:c r="X510" s="648" t="n">
        <x:f>IF(AND(P510&gt;0,S510=0),N510,0)</x:f>
        <x:v>0</x:v>
      </x:c>
      <x:c r="Y510" s="648" t="n">
        <x:f>IF(Q510&gt;0,N510,0)</x:f>
        <x:v>0</x:v>
      </x:c>
      <x:c r="Z510" s="647" t="n">
        <x:f>IF(P510&gt;0,N510*S510,0)</x:f>
        <x:v>0</x:v>
      </x:c>
      <x:c r="AA510" s="647" t="n">
        <x:f>IF(Q510&gt;0,N510*T510,0)</x:f>
        <x:v>0</x:v>
      </x:c>
      <x:c r="AB510" s="647" t="n">
        <x:f>N510*R510</x:f>
        <x:v>0</x:v>
      </x:c>
      <x:c r="AC510" s="647" t="n">
        <x:f>IF(N510&gt;0,R510,999999)</x:f>
        <x:v>999999</x:v>
      </x:c>
      <x:c r="AD510" s="647" t="n">
        <x:f>IF(AND(N510&gt;0,P510&gt;0),S510,999999)</x:f>
        <x:v>999999</x:v>
      </x:c>
      <x:c r="AE510" s="647" t="n">
        <x:f>IF(AND(N510&gt;0,Q510&gt;0),T510,999999)</x:f>
        <x:v>999999</x:v>
      </x:c>
      <x:c r="AF510" s="648" t="n">
        <x:f>B510*D510*F510*J510</x:f>
        <x:v>0.000029999999999999997</x:v>
      </x:c>
      <x:c r="AG510" s="648" t="n">
        <x:f>IF(P510&gt;0,AF510,0)</x:f>
        <x:v>0</x:v>
      </x:c>
      <x:c r="AH510" s="648" t="n">
        <x:f>IF(AND(P510&gt;0,S510&lt;0),AF510,0)</x:f>
        <x:v>0</x:v>
      </x:c>
      <x:c r="AI510" s="648" t="n">
        <x:f>IF(AND(P510&gt;0,S510=0),AF510,0)</x:f>
        <x:v>0</x:v>
      </x:c>
      <x:c r="AJ510" s="648" t="n">
        <x:f>IF(R510&lt;30000,AF510,0)</x:f>
        <x:v>0.000029999999999999997</x:v>
      </x:c>
      <x:c r="AK510" s="647" t="n">
        <x:f>IF(P510&gt;0,AF510*S510,0)</x:f>
        <x:v>0</x:v>
      </x:c>
    </x:row>
    <x:row r="511" ht="22" customHeight="1">
      <x:c r="A511" s="19" t="str">
        <x:v>进取</x:v>
      </x:c>
      <x:c r="B511" s="23" t="n">
        <x:f>'114_降本系数'!B28</x:f>
        <x:v>0.15</x:v>
      </x:c>
      <x:c r="C511" s="19" t="str">
        <x:v>L2</x:v>
      </x:c>
      <x:c r="D511" s="23" t="n">
        <x:f>'130_联合算法'!C19</x:f>
        <x:v>0.05</x:v>
      </x:c>
      <x:c r="E511" s="460" t="n">
        <x:f>'117_价格概率传导'!A8</x:f>
        <x:v>249900</x:v>
      </x:c>
      <x:c r="F511" s="23" t="n">
        <x:f>'117_价格概率传导'!E8</x:f>
        <x:v>0.22</x:v>
      </x:c>
      <x:c r="G511" s="23" t="n">
        <x:f>SUM('117_价格概率传导'!$E$6:$E$7)</x:f>
        <x:v>0.03</x:v>
      </x:c>
      <x:c r="H511" s="23" t="n">
        <x:f>SUM('117_价格概率传导'!$E$6:$E$8)</x:f>
        <x:v>0.25</x:v>
      </x:c>
      <x:c r="I511" s="460" t="n">
        <x:f>'117_价格概率传导'!A16</x:f>
        <x:v>299900</x:v>
      </x:c>
      <x:c r="J511" s="23" t="n">
        <x:f>'117_价格概率传导'!E16</x:f>
        <x:v>0.01</x:v>
      </x:c>
      <x:c r="K511" s="23" t="n">
        <x:f>0</x:f>
        <x:v>0</x:v>
      </x:c>
      <x:c r="L511" s="23" t="n">
        <x:f>SUM('117_价格概率传导'!$E$16:$E$16)</x:f>
        <x:v>0.01</x:v>
      </x:c>
      <x:c r="M511" s="23" t="n">
        <x:f>MAX(0,MIN(H511,L511)-MAX(G511,K511))</x:f>
        <x:v>0</x:v>
      </x:c>
      <x:c r="N511" s="23" t="n">
        <x:f>B511*D511*M511</x:f>
        <x:v>0</x:v>
      </x:c>
      <x:c r="O511" s="460" t="n">
        <x:f>MIN(299900,I511+20000)</x:f>
        <x:v>299900</x:v>
      </x:c>
      <x:c r="P511" s="460" t="str">
        <x:f>""</x:f>
      </x:c>
      <x:c r="Q511" s="460" t="n">
        <x:f>O511-20000</x:f>
        <x:v>279900</x:v>
      </x:c>
      <x:c r="R511" s="460" t="n">
        <x:f>O511-E511</x:f>
        <x:v>50000</x:v>
      </x:c>
      <x:c r="S511" s="460" t="str">
        <x:f>IF(P511&gt;0,P511-E511,"")</x:f>
      </x:c>
      <x:c r="T511" s="460" t="n">
        <x:f>IF(Q511&gt;0,Q511-E511,"")</x:f>
        <x:v>30000</x:v>
      </x:c>
      <x:c r="U511" s="23" t="n">
        <x:f>IF(R511&lt;30000,N511,0)</x:f>
        <x:v>0</x:v>
      </x:c>
      <x:c r="V511" s="23" t="n">
        <x:f>IF(P511&gt;0,N511,0)</x:f>
        <x:v>0</x:v>
      </x:c>
      <x:c r="W511" s="23" t="n">
        <x:f>IF(AND(P511&gt;0,S511&lt;0),N511,0)</x:f>
        <x:v>0</x:v>
      </x:c>
      <x:c r="X511" s="23" t="n">
        <x:f>IF(AND(P511&gt;0,S511=0),N511,0)</x:f>
        <x:v>0</x:v>
      </x:c>
      <x:c r="Y511" s="23" t="n">
        <x:f>IF(Q511&gt;0,N511,0)</x:f>
        <x:v>0</x:v>
      </x:c>
      <x:c r="Z511" s="460" t="n">
        <x:f>IF(P511&gt;0,N511*S511,0)</x:f>
        <x:v>0</x:v>
      </x:c>
      <x:c r="AA511" s="460" t="n">
        <x:f>IF(Q511&gt;0,N511*T511,0)</x:f>
        <x:v>0</x:v>
      </x:c>
      <x:c r="AB511" s="460" t="n">
        <x:f>N511*R511</x:f>
        <x:v>0</x:v>
      </x:c>
      <x:c r="AC511" s="460" t="n">
        <x:f>IF(N511&gt;0,R511,999999)</x:f>
        <x:v>999999</x:v>
      </x:c>
      <x:c r="AD511" s="460" t="n">
        <x:f>IF(AND(N511&gt;0,P511&gt;0),S511,999999)</x:f>
        <x:v>999999</x:v>
      </x:c>
      <x:c r="AE511" s="460" t="n">
        <x:f>IF(AND(N511&gt;0,Q511&gt;0),T511,999999)</x:f>
        <x:v>999999</x:v>
      </x:c>
      <x:c r="AF511" s="23" t="n">
        <x:f>B511*D511*F511*J511</x:f>
        <x:v>0.0000165</x:v>
      </x:c>
      <x:c r="AG511" s="23" t="n">
        <x:f>IF(P511&gt;0,AF511,0)</x:f>
        <x:v>0</x:v>
      </x:c>
      <x:c r="AH511" s="23" t="n">
        <x:f>IF(AND(P511&gt;0,S511&lt;0),AF511,0)</x:f>
        <x:v>0</x:v>
      </x:c>
      <x:c r="AI511" s="23" t="n">
        <x:f>IF(AND(P511&gt;0,S511=0),AF511,0)</x:f>
        <x:v>0</x:v>
      </x:c>
      <x:c r="AJ511" s="23" t="n">
        <x:f>IF(R511&lt;30000,AF511,0)</x:f>
        <x:v>0</x:v>
      </x:c>
      <x:c r="AK511" s="460" t="n">
        <x:f>IF(P511&gt;0,AF511*S511,0)</x:f>
        <x:v>0</x:v>
      </x:c>
    </x:row>
    <x:row r="512" ht="22" customHeight="1">
      <x:c r="A512" s="643" t="str">
        <x:v>进取</x:v>
      </x:c>
      <x:c r="B512" s="648" t="n">
        <x:f>'114_降本系数'!B28</x:f>
        <x:v>0.15</x:v>
      </x:c>
      <x:c r="C512" s="643" t="str">
        <x:v>L2</x:v>
      </x:c>
      <x:c r="D512" s="648" t="n">
        <x:f>'130_联合算法'!C19</x:f>
        <x:v>0.05</x:v>
      </x:c>
      <x:c r="E512" s="647" t="n">
        <x:f>'117_价格概率传导'!A8</x:f>
        <x:v>249900</x:v>
      </x:c>
      <x:c r="F512" s="648" t="n">
        <x:f>'117_价格概率传导'!E8</x:f>
        <x:v>0.22</x:v>
      </x:c>
      <x:c r="G512" s="648" t="n">
        <x:f>SUM('117_价格概率传导'!$E$6:$E$7)</x:f>
        <x:v>0.03</x:v>
      </x:c>
      <x:c r="H512" s="648" t="n">
        <x:f>SUM('117_价格概率传导'!$E$6:$E$8)</x:f>
        <x:v>0.25</x:v>
      </x:c>
      <x:c r="I512" s="647" t="n">
        <x:f>'117_价格概率传导'!A17</x:f>
        <x:v>293900</x:v>
      </x:c>
      <x:c r="J512" s="648" t="n">
        <x:f>'117_价格概率传导'!E17</x:f>
        <x:v>0.01</x:v>
      </x:c>
      <x:c r="K512" s="648" t="n">
        <x:f>SUM('117_价格概率传导'!$E$16:$E$16)</x:f>
        <x:v>0.01</x:v>
      </x:c>
      <x:c r="L512" s="648" t="n">
        <x:f>SUM('117_价格概率传导'!$E$16:$E$17)</x:f>
        <x:v>0.02</x:v>
      </x:c>
      <x:c r="M512" s="648" t="n">
        <x:f>MAX(0,MIN(H512,L512)-MAX(G512,K512))</x:f>
        <x:v>0</x:v>
      </x:c>
      <x:c r="N512" s="648" t="n">
        <x:f>B512*D512*M512</x:f>
        <x:v>0</x:v>
      </x:c>
      <x:c r="O512" s="647" t="n">
        <x:f>MIN(299900,I512+20000)</x:f>
        <x:v>299900</x:v>
      </x:c>
      <x:c r="P512" s="647" t="str">
        <x:f>""</x:f>
      </x:c>
      <x:c r="Q512" s="647" t="n">
        <x:f>O512-20000</x:f>
        <x:v>279900</x:v>
      </x:c>
      <x:c r="R512" s="647" t="n">
        <x:f>O512-E512</x:f>
        <x:v>50000</x:v>
      </x:c>
      <x:c r="S512" s="647" t="str">
        <x:f>IF(P512&gt;0,P512-E512,"")</x:f>
      </x:c>
      <x:c r="T512" s="647" t="n">
        <x:f>IF(Q512&gt;0,Q512-E512,"")</x:f>
        <x:v>30000</x:v>
      </x:c>
      <x:c r="U512" s="648" t="n">
        <x:f>IF(R512&lt;30000,N512,0)</x:f>
        <x:v>0</x:v>
      </x:c>
      <x:c r="V512" s="648" t="n">
        <x:f>IF(P512&gt;0,N512,0)</x:f>
        <x:v>0</x:v>
      </x:c>
      <x:c r="W512" s="648" t="n">
        <x:f>IF(AND(P512&gt;0,S512&lt;0),N512,0)</x:f>
        <x:v>0</x:v>
      </x:c>
      <x:c r="X512" s="648" t="n">
        <x:f>IF(AND(P512&gt;0,S512=0),N512,0)</x:f>
        <x:v>0</x:v>
      </x:c>
      <x:c r="Y512" s="648" t="n">
        <x:f>IF(Q512&gt;0,N512,0)</x:f>
        <x:v>0</x:v>
      </x:c>
      <x:c r="Z512" s="647" t="n">
        <x:f>IF(P512&gt;0,N512*S512,0)</x:f>
        <x:v>0</x:v>
      </x:c>
      <x:c r="AA512" s="647" t="n">
        <x:f>IF(Q512&gt;0,N512*T512,0)</x:f>
        <x:v>0</x:v>
      </x:c>
      <x:c r="AB512" s="647" t="n">
        <x:f>N512*R512</x:f>
        <x:v>0</x:v>
      </x:c>
      <x:c r="AC512" s="647" t="n">
        <x:f>IF(N512&gt;0,R512,999999)</x:f>
        <x:v>999999</x:v>
      </x:c>
      <x:c r="AD512" s="647" t="n">
        <x:f>IF(AND(N512&gt;0,P512&gt;0),S512,999999)</x:f>
        <x:v>999999</x:v>
      </x:c>
      <x:c r="AE512" s="647" t="n">
        <x:f>IF(AND(N512&gt;0,Q512&gt;0),T512,999999)</x:f>
        <x:v>999999</x:v>
      </x:c>
      <x:c r="AF512" s="648" t="n">
        <x:f>B512*D512*F512*J512</x:f>
        <x:v>0.0000165</x:v>
      </x:c>
      <x:c r="AG512" s="648" t="n">
        <x:f>IF(P512&gt;0,AF512,0)</x:f>
        <x:v>0</x:v>
      </x:c>
      <x:c r="AH512" s="648" t="n">
        <x:f>IF(AND(P512&gt;0,S512&lt;0),AF512,0)</x:f>
        <x:v>0</x:v>
      </x:c>
      <x:c r="AI512" s="648" t="n">
        <x:f>IF(AND(P512&gt;0,S512=0),AF512,0)</x:f>
        <x:v>0</x:v>
      </x:c>
      <x:c r="AJ512" s="648" t="n">
        <x:f>IF(R512&lt;30000,AF512,0)</x:f>
        <x:v>0</x:v>
      </x:c>
      <x:c r="AK512" s="647" t="n">
        <x:f>IF(P512&gt;0,AF512*S512,0)</x:f>
        <x:v>0</x:v>
      </x:c>
    </x:row>
    <x:row r="513" ht="22" customHeight="1">
      <x:c r="A513" s="19" t="str">
        <x:v>进取</x:v>
      </x:c>
      <x:c r="B513" s="23" t="n">
        <x:f>'114_降本系数'!B28</x:f>
        <x:v>0.15</x:v>
      </x:c>
      <x:c r="C513" s="19" t="str">
        <x:v>L2</x:v>
      </x:c>
      <x:c r="D513" s="23" t="n">
        <x:f>'130_联合算法'!C19</x:f>
        <x:v>0.05</x:v>
      </x:c>
      <x:c r="E513" s="460" t="n">
        <x:f>'117_价格概率传导'!A8</x:f>
        <x:v>249900</x:v>
      </x:c>
      <x:c r="F513" s="23" t="n">
        <x:f>'117_价格概率传导'!E8</x:f>
        <x:v>0.22</x:v>
      </x:c>
      <x:c r="G513" s="23" t="n">
        <x:f>SUM('117_价格概率传导'!$E$6:$E$7)</x:f>
        <x:v>0.03</x:v>
      </x:c>
      <x:c r="H513" s="23" t="n">
        <x:f>SUM('117_价格概率传导'!$E$6:$E$8)</x:f>
        <x:v>0.25</x:v>
      </x:c>
      <x:c r="I513" s="460" t="n">
        <x:f>'117_价格概率传导'!A18</x:f>
        <x:v>289900</x:v>
      </x:c>
      <x:c r="J513" s="23" t="n">
        <x:f>'117_价格概率传导'!E18</x:f>
        <x:v>0.1</x:v>
      </x:c>
      <x:c r="K513" s="23" t="n">
        <x:f>SUM('117_价格概率传导'!$E$16:$E$17)</x:f>
        <x:v>0.02</x:v>
      </x:c>
      <x:c r="L513" s="23" t="n">
        <x:f>SUM('117_价格概率传导'!$E$16:$E$18)</x:f>
        <x:v>0.12000000000000001</x:v>
      </x:c>
      <x:c r="M513" s="23" t="n">
        <x:f>MAX(0,MIN(H513,L513)-MAX(G513,K513))</x:f>
        <x:v>0.09000000000000001</x:v>
      </x:c>
      <x:c r="N513" s="23" t="n">
        <x:f>B513*D513*M513</x:f>
        <x:v>0.000675</x:v>
      </x:c>
      <x:c r="O513" s="460" t="n">
        <x:f>MIN(299900,I513+20000)</x:f>
        <x:v>299900</x:v>
      </x:c>
      <x:c r="P513" s="460" t="str">
        <x:f>""</x:f>
      </x:c>
      <x:c r="Q513" s="460" t="n">
        <x:f>O513-20000</x:f>
        <x:v>279900</x:v>
      </x:c>
      <x:c r="R513" s="460" t="n">
        <x:f>O513-E513</x:f>
        <x:v>50000</x:v>
      </x:c>
      <x:c r="S513" s="460" t="str">
        <x:f>IF(P513&gt;0,P513-E513,"")</x:f>
      </x:c>
      <x:c r="T513" s="460" t="n">
        <x:f>IF(Q513&gt;0,Q513-E513,"")</x:f>
        <x:v>30000</x:v>
      </x:c>
      <x:c r="U513" s="23" t="n">
        <x:f>IF(R513&lt;30000,N513,0)</x:f>
        <x:v>0</x:v>
      </x:c>
      <x:c r="V513" s="23" t="n">
        <x:f>IF(P513&gt;0,N513,0)</x:f>
        <x:v>0</x:v>
      </x:c>
      <x:c r="W513" s="23" t="n">
        <x:f>IF(AND(P513&gt;0,S513&lt;0),N513,0)</x:f>
        <x:v>0</x:v>
      </x:c>
      <x:c r="X513" s="23" t="n">
        <x:f>IF(AND(P513&gt;0,S513=0),N513,0)</x:f>
        <x:v>0</x:v>
      </x:c>
      <x:c r="Y513" s="23" t="n">
        <x:f>IF(Q513&gt;0,N513,0)</x:f>
        <x:v>0.000675</x:v>
      </x:c>
      <x:c r="Z513" s="460" t="n">
        <x:f>IF(P513&gt;0,N513*S513,0)</x:f>
        <x:v>0</x:v>
      </x:c>
      <x:c r="AA513" s="460" t="n">
        <x:f>IF(Q513&gt;0,N513*T513,0)</x:f>
        <x:v>20.25</x:v>
      </x:c>
      <x:c r="AB513" s="460" t="n">
        <x:f>N513*R513</x:f>
        <x:v>33.75</x:v>
      </x:c>
      <x:c r="AC513" s="460" t="n">
        <x:f>IF(N513&gt;0,R513,999999)</x:f>
        <x:v>50000</x:v>
      </x:c>
      <x:c r="AD513" s="460" t="n">
        <x:f>IF(AND(N513&gt;0,P513&gt;0),S513,999999)</x:f>
        <x:v>999999</x:v>
      </x:c>
      <x:c r="AE513" s="460" t="n">
        <x:f>IF(AND(N513&gt;0,Q513&gt;0),T513,999999)</x:f>
        <x:v>30000</x:v>
      </x:c>
      <x:c r="AF513" s="23" t="n">
        <x:f>B513*D513*F513*J513</x:f>
        <x:v>0.000165</x:v>
      </x:c>
      <x:c r="AG513" s="23" t="n">
        <x:f>IF(P513&gt;0,AF513,0)</x:f>
        <x:v>0</x:v>
      </x:c>
      <x:c r="AH513" s="23" t="n">
        <x:f>IF(AND(P513&gt;0,S513&lt;0),AF513,0)</x:f>
        <x:v>0</x:v>
      </x:c>
      <x:c r="AI513" s="23" t="n">
        <x:f>IF(AND(P513&gt;0,S513=0),AF513,0)</x:f>
        <x:v>0</x:v>
      </x:c>
      <x:c r="AJ513" s="23" t="n">
        <x:f>IF(R513&lt;30000,AF513,0)</x:f>
        <x:v>0</x:v>
      </x:c>
      <x:c r="AK513" s="460" t="n">
        <x:f>IF(P513&gt;0,AF513*S513,0)</x:f>
        <x:v>0</x:v>
      </x:c>
    </x:row>
    <x:row r="514" ht="22" customHeight="1">
      <x:c r="A514" s="643" t="str">
        <x:v>进取</x:v>
      </x:c>
      <x:c r="B514" s="648" t="n">
        <x:f>'114_降本系数'!B28</x:f>
        <x:v>0.15</x:v>
      </x:c>
      <x:c r="C514" s="643" t="str">
        <x:v>L2</x:v>
      </x:c>
      <x:c r="D514" s="648" t="n">
        <x:f>'130_联合算法'!C19</x:f>
        <x:v>0.05</x:v>
      </x:c>
      <x:c r="E514" s="647" t="n">
        <x:f>'117_价格概率传导'!A8</x:f>
        <x:v>249900</x:v>
      </x:c>
      <x:c r="F514" s="648" t="n">
        <x:f>'117_价格概率传导'!E8</x:f>
        <x:v>0.22</x:v>
      </x:c>
      <x:c r="G514" s="648" t="n">
        <x:f>SUM('117_价格概率传导'!$E$6:$E$7)</x:f>
        <x:v>0.03</x:v>
      </x:c>
      <x:c r="H514" s="648" t="n">
        <x:f>SUM('117_价格概率传导'!$E$6:$E$8)</x:f>
        <x:v>0.25</x:v>
      </x:c>
      <x:c r="I514" s="647" t="n">
        <x:f>'117_价格概率传导'!A19</x:f>
        <x:v>279900</x:v>
      </x:c>
      <x:c r="J514" s="648" t="n">
        <x:f>'117_价格概率传导'!E19</x:f>
        <x:v>0.3</x:v>
      </x:c>
      <x:c r="K514" s="648" t="n">
        <x:f>SUM('117_价格概率传导'!$E$16:$E$18)</x:f>
        <x:v>0.12000000000000001</x:v>
      </x:c>
      <x:c r="L514" s="648" t="n">
        <x:f>SUM('117_价格概率传导'!$E$16:$E$19)</x:f>
        <x:v>0.42</x:v>
      </x:c>
      <x:c r="M514" s="648" t="n">
        <x:f>MAX(0,MIN(H514,L514)-MAX(G514,K514))</x:f>
        <x:v>0.13</x:v>
      </x:c>
      <x:c r="N514" s="648" t="n">
        <x:f>B514*D514*M514</x:f>
        <x:v>0.000975</x:v>
      </x:c>
      <x:c r="O514" s="647" t="n">
        <x:f>MIN(299900,I514+20000)</x:f>
        <x:v>299900</x:v>
      </x:c>
      <x:c r="P514" s="647" t="str">
        <x:f>""</x:f>
      </x:c>
      <x:c r="Q514" s="647" t="n">
        <x:f>O514-20000</x:f>
        <x:v>279900</x:v>
      </x:c>
      <x:c r="R514" s="647" t="n">
        <x:f>O514-E514</x:f>
        <x:v>50000</x:v>
      </x:c>
      <x:c r="S514" s="647" t="str">
        <x:f>IF(P514&gt;0,P514-E514,"")</x:f>
      </x:c>
      <x:c r="T514" s="647" t="n">
        <x:f>IF(Q514&gt;0,Q514-E514,"")</x:f>
        <x:v>30000</x:v>
      </x:c>
      <x:c r="U514" s="648" t="n">
        <x:f>IF(R514&lt;30000,N514,0)</x:f>
        <x:v>0</x:v>
      </x:c>
      <x:c r="V514" s="648" t="n">
        <x:f>IF(P514&gt;0,N514,0)</x:f>
        <x:v>0</x:v>
      </x:c>
      <x:c r="W514" s="648" t="n">
        <x:f>IF(AND(P514&gt;0,S514&lt;0),N514,0)</x:f>
        <x:v>0</x:v>
      </x:c>
      <x:c r="X514" s="648" t="n">
        <x:f>IF(AND(P514&gt;0,S514=0),N514,0)</x:f>
        <x:v>0</x:v>
      </x:c>
      <x:c r="Y514" s="648" t="n">
        <x:f>IF(Q514&gt;0,N514,0)</x:f>
        <x:v>0.000975</x:v>
      </x:c>
      <x:c r="Z514" s="647" t="n">
        <x:f>IF(P514&gt;0,N514*S514,0)</x:f>
        <x:v>0</x:v>
      </x:c>
      <x:c r="AA514" s="647" t="n">
        <x:f>IF(Q514&gt;0,N514*T514,0)</x:f>
        <x:v>29.25</x:v>
      </x:c>
      <x:c r="AB514" s="647" t="n">
        <x:f>N514*R514</x:f>
        <x:v>48.75</x:v>
      </x:c>
      <x:c r="AC514" s="647" t="n">
        <x:f>IF(N514&gt;0,R514,999999)</x:f>
        <x:v>50000</x:v>
      </x:c>
      <x:c r="AD514" s="647" t="n">
        <x:f>IF(AND(N514&gt;0,P514&gt;0),S514,999999)</x:f>
        <x:v>999999</x:v>
      </x:c>
      <x:c r="AE514" s="647" t="n">
        <x:f>IF(AND(N514&gt;0,Q514&gt;0),T514,999999)</x:f>
        <x:v>30000</x:v>
      </x:c>
      <x:c r="AF514" s="648" t="n">
        <x:f>B514*D514*F514*J514</x:f>
        <x:v>0.000495</x:v>
      </x:c>
      <x:c r="AG514" s="648" t="n">
        <x:f>IF(P514&gt;0,AF514,0)</x:f>
        <x:v>0</x:v>
      </x:c>
      <x:c r="AH514" s="648" t="n">
        <x:f>IF(AND(P514&gt;0,S514&lt;0),AF514,0)</x:f>
        <x:v>0</x:v>
      </x:c>
      <x:c r="AI514" s="648" t="n">
        <x:f>IF(AND(P514&gt;0,S514=0),AF514,0)</x:f>
        <x:v>0</x:v>
      </x:c>
      <x:c r="AJ514" s="648" t="n">
        <x:f>IF(R514&lt;30000,AF514,0)</x:f>
        <x:v>0</x:v>
      </x:c>
      <x:c r="AK514" s="647" t="n">
        <x:f>IF(P514&gt;0,AF514*S514,0)</x:f>
        <x:v>0</x:v>
      </x:c>
    </x:row>
    <x:row r="515" ht="22" customHeight="1">
      <x:c r="A515" s="19" t="str">
        <x:v>进取</x:v>
      </x:c>
      <x:c r="B515" s="23" t="n">
        <x:f>'114_降本系数'!B28</x:f>
        <x:v>0.15</x:v>
      </x:c>
      <x:c r="C515" s="19" t="str">
        <x:v>L2</x:v>
      </x:c>
      <x:c r="D515" s="23" t="n">
        <x:f>'130_联合算法'!C19</x:f>
        <x:v>0.05</x:v>
      </x:c>
      <x:c r="E515" s="460" t="n">
        <x:f>'117_价格概率传导'!A8</x:f>
        <x:v>249900</x:v>
      </x:c>
      <x:c r="F515" s="23" t="n">
        <x:f>'117_价格概率传导'!E8</x:f>
        <x:v>0.22</x:v>
      </x:c>
      <x:c r="G515" s="23" t="n">
        <x:f>SUM('117_价格概率传导'!$E$6:$E$7)</x:f>
        <x:v>0.03</x:v>
      </x:c>
      <x:c r="H515" s="23" t="n">
        <x:f>SUM('117_价格概率传导'!$E$6:$E$8)</x:f>
        <x:v>0.25</x:v>
      </x:c>
      <x:c r="I515" s="460" t="n">
        <x:f>'117_价格概率传导'!A20</x:f>
        <x:v>269900</x:v>
      </x:c>
      <x:c r="J515" s="23" t="n">
        <x:f>'117_价格概率传导'!E20</x:f>
        <x:v>0.38</x:v>
      </x:c>
      <x:c r="K515" s="23" t="n">
        <x:f>SUM('117_价格概率传导'!$E$16:$E$19)</x:f>
        <x:v>0.42</x:v>
      </x:c>
      <x:c r="L515" s="23" t="n">
        <x:f>SUM('117_价格概率传导'!$E$16:$E$20)</x:f>
        <x:v>0.8</x:v>
      </x:c>
      <x:c r="M515" s="23" t="n">
        <x:f>MAX(0,MIN(H515,L515)-MAX(G515,K515))</x:f>
        <x:v>0</x:v>
      </x:c>
      <x:c r="N515" s="23" t="n">
        <x:f>B515*D515*M515</x:f>
        <x:v>0</x:v>
      </x:c>
      <x:c r="O515" s="460" t="n">
        <x:f>MIN(299900,I515+20000)</x:f>
        <x:v>289900</x:v>
      </x:c>
      <x:c r="P515" s="460" t="str">
        <x:f>""</x:f>
      </x:c>
      <x:c r="Q515" s="460" t="n">
        <x:f>O515-20000</x:f>
        <x:v>269900</x:v>
      </x:c>
      <x:c r="R515" s="460" t="n">
        <x:f>O515-E515</x:f>
        <x:v>40000</x:v>
      </x:c>
      <x:c r="S515" s="460" t="str">
        <x:f>IF(P515&gt;0,P515-E515,"")</x:f>
      </x:c>
      <x:c r="T515" s="460" t="n">
        <x:f>IF(Q515&gt;0,Q515-E515,"")</x:f>
        <x:v>20000</x:v>
      </x:c>
      <x:c r="U515" s="23" t="n">
        <x:f>IF(R515&lt;30000,N515,0)</x:f>
        <x:v>0</x:v>
      </x:c>
      <x:c r="V515" s="23" t="n">
        <x:f>IF(P515&gt;0,N515,0)</x:f>
        <x:v>0</x:v>
      </x:c>
      <x:c r="W515" s="23" t="n">
        <x:f>IF(AND(P515&gt;0,S515&lt;0),N515,0)</x:f>
        <x:v>0</x:v>
      </x:c>
      <x:c r="X515" s="23" t="n">
        <x:f>IF(AND(P515&gt;0,S515=0),N515,0)</x:f>
        <x:v>0</x:v>
      </x:c>
      <x:c r="Y515" s="23" t="n">
        <x:f>IF(Q515&gt;0,N515,0)</x:f>
        <x:v>0</x:v>
      </x:c>
      <x:c r="Z515" s="460" t="n">
        <x:f>IF(P515&gt;0,N515*S515,0)</x:f>
        <x:v>0</x:v>
      </x:c>
      <x:c r="AA515" s="460" t="n">
        <x:f>IF(Q515&gt;0,N515*T515,0)</x:f>
        <x:v>0</x:v>
      </x:c>
      <x:c r="AB515" s="460" t="n">
        <x:f>N515*R515</x:f>
        <x:v>0</x:v>
      </x:c>
      <x:c r="AC515" s="460" t="n">
        <x:f>IF(N515&gt;0,R515,999999)</x:f>
        <x:v>999999</x:v>
      </x:c>
      <x:c r="AD515" s="460" t="n">
        <x:f>IF(AND(N515&gt;0,P515&gt;0),S515,999999)</x:f>
        <x:v>999999</x:v>
      </x:c>
      <x:c r="AE515" s="460" t="n">
        <x:f>IF(AND(N515&gt;0,Q515&gt;0),T515,999999)</x:f>
        <x:v>999999</x:v>
      </x:c>
      <x:c r="AF515" s="23" t="n">
        <x:f>B515*D515*F515*J515</x:f>
        <x:v>0.000627</x:v>
      </x:c>
      <x:c r="AG515" s="23" t="n">
        <x:f>IF(P515&gt;0,AF515,0)</x:f>
        <x:v>0</x:v>
      </x:c>
      <x:c r="AH515" s="23" t="n">
        <x:f>IF(AND(P515&gt;0,S515&lt;0),AF515,0)</x:f>
        <x:v>0</x:v>
      </x:c>
      <x:c r="AI515" s="23" t="n">
        <x:f>IF(AND(P515&gt;0,S515=0),AF515,0)</x:f>
        <x:v>0</x:v>
      </x:c>
      <x:c r="AJ515" s="23" t="n">
        <x:f>IF(R515&lt;30000,AF515,0)</x:f>
        <x:v>0</x:v>
      </x:c>
      <x:c r="AK515" s="460" t="n">
        <x:f>IF(P515&gt;0,AF515*S515,0)</x:f>
        <x:v>0</x:v>
      </x:c>
    </x:row>
    <x:row r="516" ht="22" customHeight="1">
      <x:c r="A516" s="643" t="str">
        <x:v>进取</x:v>
      </x:c>
      <x:c r="B516" s="648" t="n">
        <x:f>'114_降本系数'!B28</x:f>
        <x:v>0.15</x:v>
      </x:c>
      <x:c r="C516" s="643" t="str">
        <x:v>L2</x:v>
      </x:c>
      <x:c r="D516" s="648" t="n">
        <x:f>'130_联合算法'!C19</x:f>
        <x:v>0.05</x:v>
      </x:c>
      <x:c r="E516" s="647" t="n">
        <x:f>'117_价格概率传导'!A8</x:f>
        <x:v>249900</x:v>
      </x:c>
      <x:c r="F516" s="648" t="n">
        <x:f>'117_价格概率传导'!E8</x:f>
        <x:v>0.22</x:v>
      </x:c>
      <x:c r="G516" s="648" t="n">
        <x:f>SUM('117_价格概率传导'!$E$6:$E$7)</x:f>
        <x:v>0.03</x:v>
      </x:c>
      <x:c r="H516" s="648" t="n">
        <x:f>SUM('117_价格概率传导'!$E$6:$E$8)</x:f>
        <x:v>0.25</x:v>
      </x:c>
      <x:c r="I516" s="647" t="n">
        <x:f>'117_价格概率传导'!A21</x:f>
        <x:v>259900</x:v>
      </x:c>
      <x:c r="J516" s="648" t="n">
        <x:f>'117_价格概率传导'!E21</x:f>
        <x:v>0.2</x:v>
      </x:c>
      <x:c r="K516" s="648" t="n">
        <x:f>SUM('117_价格概率传导'!$E$16:$E$20)</x:f>
        <x:v>0.8</x:v>
      </x:c>
      <x:c r="L516" s="648" t="n">
        <x:f>SUM('117_价格概率传导'!$E$16:$E$21)</x:f>
        <x:v>1</x:v>
      </x:c>
      <x:c r="M516" s="648" t="n">
        <x:f>MAX(0,MIN(H516,L516)-MAX(G516,K516))</x:f>
        <x:v>0</x:v>
      </x:c>
      <x:c r="N516" s="648" t="n">
        <x:f>B516*D516*M516</x:f>
        <x:v>0</x:v>
      </x:c>
      <x:c r="O516" s="647" t="n">
        <x:f>MIN(299900,I516+20000)</x:f>
        <x:v>279900</x:v>
      </x:c>
      <x:c r="P516" s="647" t="str">
        <x:f>""</x:f>
      </x:c>
      <x:c r="Q516" s="647" t="n">
        <x:f>O516-20000</x:f>
        <x:v>259900</x:v>
      </x:c>
      <x:c r="R516" s="647" t="n">
        <x:f>O516-E516</x:f>
        <x:v>30000</x:v>
      </x:c>
      <x:c r="S516" s="647" t="str">
        <x:f>IF(P516&gt;0,P516-E516,"")</x:f>
      </x:c>
      <x:c r="T516" s="647" t="n">
        <x:f>IF(Q516&gt;0,Q516-E516,"")</x:f>
        <x:v>10000</x:v>
      </x:c>
      <x:c r="U516" s="648" t="n">
        <x:f>IF(R516&lt;30000,N516,0)</x:f>
        <x:v>0</x:v>
      </x:c>
      <x:c r="V516" s="648" t="n">
        <x:f>IF(P516&gt;0,N516,0)</x:f>
        <x:v>0</x:v>
      </x:c>
      <x:c r="W516" s="648" t="n">
        <x:f>IF(AND(P516&gt;0,S516&lt;0),N516,0)</x:f>
        <x:v>0</x:v>
      </x:c>
      <x:c r="X516" s="648" t="n">
        <x:f>IF(AND(P516&gt;0,S516=0),N516,0)</x:f>
        <x:v>0</x:v>
      </x:c>
      <x:c r="Y516" s="648" t="n">
        <x:f>IF(Q516&gt;0,N516,0)</x:f>
        <x:v>0</x:v>
      </x:c>
      <x:c r="Z516" s="647" t="n">
        <x:f>IF(P516&gt;0,N516*S516,0)</x:f>
        <x:v>0</x:v>
      </x:c>
      <x:c r="AA516" s="647" t="n">
        <x:f>IF(Q516&gt;0,N516*T516,0)</x:f>
        <x:v>0</x:v>
      </x:c>
      <x:c r="AB516" s="647" t="n">
        <x:f>N516*R516</x:f>
        <x:v>0</x:v>
      </x:c>
      <x:c r="AC516" s="647" t="n">
        <x:f>IF(N516&gt;0,R516,999999)</x:f>
        <x:v>999999</x:v>
      </x:c>
      <x:c r="AD516" s="647" t="n">
        <x:f>IF(AND(N516&gt;0,P516&gt;0),S516,999999)</x:f>
        <x:v>999999</x:v>
      </x:c>
      <x:c r="AE516" s="647" t="n">
        <x:f>IF(AND(N516&gt;0,Q516&gt;0),T516,999999)</x:f>
        <x:v>999999</x:v>
      </x:c>
      <x:c r="AF516" s="648" t="n">
        <x:f>B516*D516*F516*J516</x:f>
        <x:v>0.00033</x:v>
      </x:c>
      <x:c r="AG516" s="648" t="n">
        <x:f>IF(P516&gt;0,AF516,0)</x:f>
        <x:v>0</x:v>
      </x:c>
      <x:c r="AH516" s="648" t="n">
        <x:f>IF(AND(P516&gt;0,S516&lt;0),AF516,0)</x:f>
        <x:v>0</x:v>
      </x:c>
      <x:c r="AI516" s="648" t="n">
        <x:f>IF(AND(P516&gt;0,S516=0),AF516,0)</x:f>
        <x:v>0</x:v>
      </x:c>
      <x:c r="AJ516" s="648" t="n">
        <x:f>IF(R516&lt;30000,AF516,0)</x:f>
        <x:v>0</x:v>
      </x:c>
      <x:c r="AK516" s="647" t="n">
        <x:f>IF(P516&gt;0,AF516*S516,0)</x:f>
        <x:v>0</x:v>
      </x:c>
    </x:row>
    <x:row r="517" ht="22" customHeight="1">
      <x:c r="A517" s="19" t="str">
        <x:v>进取</x:v>
      </x:c>
      <x:c r="B517" s="23" t="n">
        <x:f>'114_降本系数'!B28</x:f>
        <x:v>0.15</x:v>
      </x:c>
      <x:c r="C517" s="19" t="str">
        <x:v>L2</x:v>
      </x:c>
      <x:c r="D517" s="23" t="n">
        <x:f>'130_联合算法'!C19</x:f>
        <x:v>0.05</x:v>
      </x:c>
      <x:c r="E517" s="460" t="n">
        <x:f>'117_价格概率传导'!A9</x:f>
        <x:v>239900</x:v>
      </x:c>
      <x:c r="F517" s="23" t="n">
        <x:f>'117_价格概率传导'!E9</x:f>
        <x:v>0.32</x:v>
      </x:c>
      <x:c r="G517" s="23" t="n">
        <x:f>SUM('117_价格概率传导'!$E$6:$E$8)</x:f>
        <x:v>0.25</x:v>
      </x:c>
      <x:c r="H517" s="23" t="n">
        <x:f>SUM('117_价格概率传导'!$E$6:$E$9)</x:f>
        <x:v>0.5700000000000001</x:v>
      </x:c>
      <x:c r="I517" s="460" t="n">
        <x:f>'117_价格概率传导'!A16</x:f>
        <x:v>299900</x:v>
      </x:c>
      <x:c r="J517" s="23" t="n">
        <x:f>'117_价格概率传导'!E16</x:f>
        <x:v>0.01</x:v>
      </x:c>
      <x:c r="K517" s="23" t="n">
        <x:f>0</x:f>
        <x:v>0</x:v>
      </x:c>
      <x:c r="L517" s="23" t="n">
        <x:f>SUM('117_价格概率传导'!$E$16:$E$16)</x:f>
        <x:v>0.01</x:v>
      </x:c>
      <x:c r="M517" s="23" t="n">
        <x:f>MAX(0,MIN(H517,L517)-MAX(G517,K517))</x:f>
        <x:v>0</x:v>
      </x:c>
      <x:c r="N517" s="23" t="n">
        <x:f>B517*D517*M517</x:f>
        <x:v>0</x:v>
      </x:c>
      <x:c r="O517" s="460" t="n">
        <x:f>MIN(299900,I517+20000)</x:f>
        <x:v>299900</x:v>
      </x:c>
      <x:c r="P517" s="460" t="str">
        <x:f>""</x:f>
      </x:c>
      <x:c r="Q517" s="460" t="n">
        <x:f>O517-20000</x:f>
        <x:v>279900</x:v>
      </x:c>
      <x:c r="R517" s="460" t="n">
        <x:f>O517-E517</x:f>
        <x:v>60000</x:v>
      </x:c>
      <x:c r="S517" s="460" t="str">
        <x:f>IF(P517&gt;0,P517-E517,"")</x:f>
      </x:c>
      <x:c r="T517" s="460" t="n">
        <x:f>IF(Q517&gt;0,Q517-E517,"")</x:f>
        <x:v>40000</x:v>
      </x:c>
      <x:c r="U517" s="23" t="n">
        <x:f>IF(R517&lt;30000,N517,0)</x:f>
        <x:v>0</x:v>
      </x:c>
      <x:c r="V517" s="23" t="n">
        <x:f>IF(P517&gt;0,N517,0)</x:f>
        <x:v>0</x:v>
      </x:c>
      <x:c r="W517" s="23" t="n">
        <x:f>IF(AND(P517&gt;0,S517&lt;0),N517,0)</x:f>
        <x:v>0</x:v>
      </x:c>
      <x:c r="X517" s="23" t="n">
        <x:f>IF(AND(P517&gt;0,S517=0),N517,0)</x:f>
        <x:v>0</x:v>
      </x:c>
      <x:c r="Y517" s="23" t="n">
        <x:f>IF(Q517&gt;0,N517,0)</x:f>
        <x:v>0</x:v>
      </x:c>
      <x:c r="Z517" s="460" t="n">
        <x:f>IF(P517&gt;0,N517*S517,0)</x:f>
        <x:v>0</x:v>
      </x:c>
      <x:c r="AA517" s="460" t="n">
        <x:f>IF(Q517&gt;0,N517*T517,0)</x:f>
        <x:v>0</x:v>
      </x:c>
      <x:c r="AB517" s="460" t="n">
        <x:f>N517*R517</x:f>
        <x:v>0</x:v>
      </x:c>
      <x:c r="AC517" s="460" t="n">
        <x:f>IF(N517&gt;0,R517,999999)</x:f>
        <x:v>999999</x:v>
      </x:c>
      <x:c r="AD517" s="460" t="n">
        <x:f>IF(AND(N517&gt;0,P517&gt;0),S517,999999)</x:f>
        <x:v>999999</x:v>
      </x:c>
      <x:c r="AE517" s="460" t="n">
        <x:f>IF(AND(N517&gt;0,Q517&gt;0),T517,999999)</x:f>
        <x:v>999999</x:v>
      </x:c>
      <x:c r="AF517" s="23" t="n">
        <x:f>B517*D517*F517*J517</x:f>
        <x:v>0.000023999999999999997</x:v>
      </x:c>
      <x:c r="AG517" s="23" t="n">
        <x:f>IF(P517&gt;0,AF517,0)</x:f>
        <x:v>0</x:v>
      </x:c>
      <x:c r="AH517" s="23" t="n">
        <x:f>IF(AND(P517&gt;0,S517&lt;0),AF517,0)</x:f>
        <x:v>0</x:v>
      </x:c>
      <x:c r="AI517" s="23" t="n">
        <x:f>IF(AND(P517&gt;0,S517=0),AF517,0)</x:f>
        <x:v>0</x:v>
      </x:c>
      <x:c r="AJ517" s="23" t="n">
        <x:f>IF(R517&lt;30000,AF517,0)</x:f>
        <x:v>0</x:v>
      </x:c>
      <x:c r="AK517" s="460" t="n">
        <x:f>IF(P517&gt;0,AF517*S517,0)</x:f>
        <x:v>0</x:v>
      </x:c>
    </x:row>
    <x:row r="518" ht="22" customHeight="1">
      <x:c r="A518" s="643" t="str">
        <x:v>进取</x:v>
      </x:c>
      <x:c r="B518" s="648" t="n">
        <x:f>'114_降本系数'!B28</x:f>
        <x:v>0.15</x:v>
      </x:c>
      <x:c r="C518" s="643" t="str">
        <x:v>L2</x:v>
      </x:c>
      <x:c r="D518" s="648" t="n">
        <x:f>'130_联合算法'!C19</x:f>
        <x:v>0.05</x:v>
      </x:c>
      <x:c r="E518" s="647" t="n">
        <x:f>'117_价格概率传导'!A9</x:f>
        <x:v>239900</x:v>
      </x:c>
      <x:c r="F518" s="648" t="n">
        <x:f>'117_价格概率传导'!E9</x:f>
        <x:v>0.32</x:v>
      </x:c>
      <x:c r="G518" s="648" t="n">
        <x:f>SUM('117_价格概率传导'!$E$6:$E$8)</x:f>
        <x:v>0.25</x:v>
      </x:c>
      <x:c r="H518" s="648" t="n">
        <x:f>SUM('117_价格概率传导'!$E$6:$E$9)</x:f>
        <x:v>0.5700000000000001</x:v>
      </x:c>
      <x:c r="I518" s="647" t="n">
        <x:f>'117_价格概率传导'!A17</x:f>
        <x:v>293900</x:v>
      </x:c>
      <x:c r="J518" s="648" t="n">
        <x:f>'117_价格概率传导'!E17</x:f>
        <x:v>0.01</x:v>
      </x:c>
      <x:c r="K518" s="648" t="n">
        <x:f>SUM('117_价格概率传导'!$E$16:$E$16)</x:f>
        <x:v>0.01</x:v>
      </x:c>
      <x:c r="L518" s="648" t="n">
        <x:f>SUM('117_价格概率传导'!$E$16:$E$17)</x:f>
        <x:v>0.02</x:v>
      </x:c>
      <x:c r="M518" s="648" t="n">
        <x:f>MAX(0,MIN(H518,L518)-MAX(G518,K518))</x:f>
        <x:v>0</x:v>
      </x:c>
      <x:c r="N518" s="648" t="n">
        <x:f>B518*D518*M518</x:f>
        <x:v>0</x:v>
      </x:c>
      <x:c r="O518" s="647" t="n">
        <x:f>MIN(299900,I518+20000)</x:f>
        <x:v>299900</x:v>
      </x:c>
      <x:c r="P518" s="647" t="str">
        <x:f>""</x:f>
      </x:c>
      <x:c r="Q518" s="647" t="n">
        <x:f>O518-20000</x:f>
        <x:v>279900</x:v>
      </x:c>
      <x:c r="R518" s="647" t="n">
        <x:f>O518-E518</x:f>
        <x:v>60000</x:v>
      </x:c>
      <x:c r="S518" s="647" t="str">
        <x:f>IF(P518&gt;0,P518-E518,"")</x:f>
      </x:c>
      <x:c r="T518" s="647" t="n">
        <x:f>IF(Q518&gt;0,Q518-E518,"")</x:f>
        <x:v>40000</x:v>
      </x:c>
      <x:c r="U518" s="648" t="n">
        <x:f>IF(R518&lt;30000,N518,0)</x:f>
        <x:v>0</x:v>
      </x:c>
      <x:c r="V518" s="648" t="n">
        <x:f>IF(P518&gt;0,N518,0)</x:f>
        <x:v>0</x:v>
      </x:c>
      <x:c r="W518" s="648" t="n">
        <x:f>IF(AND(P518&gt;0,S518&lt;0),N518,0)</x:f>
        <x:v>0</x:v>
      </x:c>
      <x:c r="X518" s="648" t="n">
        <x:f>IF(AND(P518&gt;0,S518=0),N518,0)</x:f>
        <x:v>0</x:v>
      </x:c>
      <x:c r="Y518" s="648" t="n">
        <x:f>IF(Q518&gt;0,N518,0)</x:f>
        <x:v>0</x:v>
      </x:c>
      <x:c r="Z518" s="647" t="n">
        <x:f>IF(P518&gt;0,N518*S518,0)</x:f>
        <x:v>0</x:v>
      </x:c>
      <x:c r="AA518" s="647" t="n">
        <x:f>IF(Q518&gt;0,N518*T518,0)</x:f>
        <x:v>0</x:v>
      </x:c>
      <x:c r="AB518" s="647" t="n">
        <x:f>N518*R518</x:f>
        <x:v>0</x:v>
      </x:c>
      <x:c r="AC518" s="647" t="n">
        <x:f>IF(N518&gt;0,R518,999999)</x:f>
        <x:v>999999</x:v>
      </x:c>
      <x:c r="AD518" s="647" t="n">
        <x:f>IF(AND(N518&gt;0,P518&gt;0),S518,999999)</x:f>
        <x:v>999999</x:v>
      </x:c>
      <x:c r="AE518" s="647" t="n">
        <x:f>IF(AND(N518&gt;0,Q518&gt;0),T518,999999)</x:f>
        <x:v>999999</x:v>
      </x:c>
      <x:c r="AF518" s="648" t="n">
        <x:f>B518*D518*F518*J518</x:f>
        <x:v>0.000023999999999999997</x:v>
      </x:c>
      <x:c r="AG518" s="648" t="n">
        <x:f>IF(P518&gt;0,AF518,0)</x:f>
        <x:v>0</x:v>
      </x:c>
      <x:c r="AH518" s="648" t="n">
        <x:f>IF(AND(P518&gt;0,S518&lt;0),AF518,0)</x:f>
        <x:v>0</x:v>
      </x:c>
      <x:c r="AI518" s="648" t="n">
        <x:f>IF(AND(P518&gt;0,S518=0),AF518,0)</x:f>
        <x:v>0</x:v>
      </x:c>
      <x:c r="AJ518" s="648" t="n">
        <x:f>IF(R518&lt;30000,AF518,0)</x:f>
        <x:v>0</x:v>
      </x:c>
      <x:c r="AK518" s="647" t="n">
        <x:f>IF(P518&gt;0,AF518*S518,0)</x:f>
        <x:v>0</x:v>
      </x:c>
    </x:row>
    <x:row r="519" ht="22" customHeight="1">
      <x:c r="A519" s="19" t="str">
        <x:v>进取</x:v>
      </x:c>
      <x:c r="B519" s="23" t="n">
        <x:f>'114_降本系数'!B28</x:f>
        <x:v>0.15</x:v>
      </x:c>
      <x:c r="C519" s="19" t="str">
        <x:v>L2</x:v>
      </x:c>
      <x:c r="D519" s="23" t="n">
        <x:f>'130_联合算法'!C19</x:f>
        <x:v>0.05</x:v>
      </x:c>
      <x:c r="E519" s="460" t="n">
        <x:f>'117_价格概率传导'!A9</x:f>
        <x:v>239900</x:v>
      </x:c>
      <x:c r="F519" s="23" t="n">
        <x:f>'117_价格概率传导'!E9</x:f>
        <x:v>0.32</x:v>
      </x:c>
      <x:c r="G519" s="23" t="n">
        <x:f>SUM('117_价格概率传导'!$E$6:$E$8)</x:f>
        <x:v>0.25</x:v>
      </x:c>
      <x:c r="H519" s="23" t="n">
        <x:f>SUM('117_价格概率传导'!$E$6:$E$9)</x:f>
        <x:v>0.5700000000000001</x:v>
      </x:c>
      <x:c r="I519" s="460" t="n">
        <x:f>'117_价格概率传导'!A18</x:f>
        <x:v>289900</x:v>
      </x:c>
      <x:c r="J519" s="23" t="n">
        <x:f>'117_价格概率传导'!E18</x:f>
        <x:v>0.1</x:v>
      </x:c>
      <x:c r="K519" s="23" t="n">
        <x:f>SUM('117_价格概率传导'!$E$16:$E$17)</x:f>
        <x:v>0.02</x:v>
      </x:c>
      <x:c r="L519" s="23" t="n">
        <x:f>SUM('117_价格概率传导'!$E$16:$E$18)</x:f>
        <x:v>0.12000000000000001</x:v>
      </x:c>
      <x:c r="M519" s="23" t="n">
        <x:f>MAX(0,MIN(H519,L519)-MAX(G519,K519))</x:f>
        <x:v>0</x:v>
      </x:c>
      <x:c r="N519" s="23" t="n">
        <x:f>B519*D519*M519</x:f>
        <x:v>0</x:v>
      </x:c>
      <x:c r="O519" s="460" t="n">
        <x:f>MIN(299900,I519+20000)</x:f>
        <x:v>299900</x:v>
      </x:c>
      <x:c r="P519" s="460" t="str">
        <x:f>""</x:f>
      </x:c>
      <x:c r="Q519" s="460" t="n">
        <x:f>O519-20000</x:f>
        <x:v>279900</x:v>
      </x:c>
      <x:c r="R519" s="460" t="n">
        <x:f>O519-E519</x:f>
        <x:v>60000</x:v>
      </x:c>
      <x:c r="S519" s="460" t="str">
        <x:f>IF(P519&gt;0,P519-E519,"")</x:f>
      </x:c>
      <x:c r="T519" s="460" t="n">
        <x:f>IF(Q519&gt;0,Q519-E519,"")</x:f>
        <x:v>40000</x:v>
      </x:c>
      <x:c r="U519" s="23" t="n">
        <x:f>IF(R519&lt;30000,N519,0)</x:f>
        <x:v>0</x:v>
      </x:c>
      <x:c r="V519" s="23" t="n">
        <x:f>IF(P519&gt;0,N519,0)</x:f>
        <x:v>0</x:v>
      </x:c>
      <x:c r="W519" s="23" t="n">
        <x:f>IF(AND(P519&gt;0,S519&lt;0),N519,0)</x:f>
        <x:v>0</x:v>
      </x:c>
      <x:c r="X519" s="23" t="n">
        <x:f>IF(AND(P519&gt;0,S519=0),N519,0)</x:f>
        <x:v>0</x:v>
      </x:c>
      <x:c r="Y519" s="23" t="n">
        <x:f>IF(Q519&gt;0,N519,0)</x:f>
        <x:v>0</x:v>
      </x:c>
      <x:c r="Z519" s="460" t="n">
        <x:f>IF(P519&gt;0,N519*S519,0)</x:f>
        <x:v>0</x:v>
      </x:c>
      <x:c r="AA519" s="460" t="n">
        <x:f>IF(Q519&gt;0,N519*T519,0)</x:f>
        <x:v>0</x:v>
      </x:c>
      <x:c r="AB519" s="460" t="n">
        <x:f>N519*R519</x:f>
        <x:v>0</x:v>
      </x:c>
      <x:c r="AC519" s="460" t="n">
        <x:f>IF(N519&gt;0,R519,999999)</x:f>
        <x:v>999999</x:v>
      </x:c>
      <x:c r="AD519" s="460" t="n">
        <x:f>IF(AND(N519&gt;0,P519&gt;0),S519,999999)</x:f>
        <x:v>999999</x:v>
      </x:c>
      <x:c r="AE519" s="460" t="n">
        <x:f>IF(AND(N519&gt;0,Q519&gt;0),T519,999999)</x:f>
        <x:v>999999</x:v>
      </x:c>
      <x:c r="AF519" s="23" t="n">
        <x:f>B519*D519*F519*J519</x:f>
        <x:v>0.00023999999999999998</x:v>
      </x:c>
      <x:c r="AG519" s="23" t="n">
        <x:f>IF(P519&gt;0,AF519,0)</x:f>
        <x:v>0</x:v>
      </x:c>
      <x:c r="AH519" s="23" t="n">
        <x:f>IF(AND(P519&gt;0,S519&lt;0),AF519,0)</x:f>
        <x:v>0</x:v>
      </x:c>
      <x:c r="AI519" s="23" t="n">
        <x:f>IF(AND(P519&gt;0,S519=0),AF519,0)</x:f>
        <x:v>0</x:v>
      </x:c>
      <x:c r="AJ519" s="23" t="n">
        <x:f>IF(R519&lt;30000,AF519,0)</x:f>
        <x:v>0</x:v>
      </x:c>
      <x:c r="AK519" s="460" t="n">
        <x:f>IF(P519&gt;0,AF519*S519,0)</x:f>
        <x:v>0</x:v>
      </x:c>
    </x:row>
    <x:row r="520" ht="22" customHeight="1">
      <x:c r="A520" s="643" t="str">
        <x:v>进取</x:v>
      </x:c>
      <x:c r="B520" s="648" t="n">
        <x:f>'114_降本系数'!B28</x:f>
        <x:v>0.15</x:v>
      </x:c>
      <x:c r="C520" s="643" t="str">
        <x:v>L2</x:v>
      </x:c>
      <x:c r="D520" s="648" t="n">
        <x:f>'130_联合算法'!C19</x:f>
        <x:v>0.05</x:v>
      </x:c>
      <x:c r="E520" s="647" t="n">
        <x:f>'117_价格概率传导'!A9</x:f>
        <x:v>239900</x:v>
      </x:c>
      <x:c r="F520" s="648" t="n">
        <x:f>'117_价格概率传导'!E9</x:f>
        <x:v>0.32</x:v>
      </x:c>
      <x:c r="G520" s="648" t="n">
        <x:f>SUM('117_价格概率传导'!$E$6:$E$8)</x:f>
        <x:v>0.25</x:v>
      </x:c>
      <x:c r="H520" s="648" t="n">
        <x:f>SUM('117_价格概率传导'!$E$6:$E$9)</x:f>
        <x:v>0.5700000000000001</x:v>
      </x:c>
      <x:c r="I520" s="647" t="n">
        <x:f>'117_价格概率传导'!A19</x:f>
        <x:v>279900</x:v>
      </x:c>
      <x:c r="J520" s="648" t="n">
        <x:f>'117_价格概率传导'!E19</x:f>
        <x:v>0.3</x:v>
      </x:c>
      <x:c r="K520" s="648" t="n">
        <x:f>SUM('117_价格概率传导'!$E$16:$E$18)</x:f>
        <x:v>0.12000000000000001</x:v>
      </x:c>
      <x:c r="L520" s="648" t="n">
        <x:f>SUM('117_价格概率传导'!$E$16:$E$19)</x:f>
        <x:v>0.42</x:v>
      </x:c>
      <x:c r="M520" s="648" t="n">
        <x:f>MAX(0,MIN(H520,L520)-MAX(G520,K520))</x:f>
        <x:v>0.16999999999999998</x:v>
      </x:c>
      <x:c r="N520" s="648" t="n">
        <x:f>B520*D520*M520</x:f>
        <x:v>0.0012749999999999999</x:v>
      </x:c>
      <x:c r="O520" s="647" t="n">
        <x:f>MIN(299900,I520+20000)</x:f>
        <x:v>299900</x:v>
      </x:c>
      <x:c r="P520" s="647" t="str">
        <x:f>""</x:f>
      </x:c>
      <x:c r="Q520" s="647" t="n">
        <x:f>O520-20000</x:f>
        <x:v>279900</x:v>
      </x:c>
      <x:c r="R520" s="647" t="n">
        <x:f>O520-E520</x:f>
        <x:v>60000</x:v>
      </x:c>
      <x:c r="S520" s="647" t="str">
        <x:f>IF(P520&gt;0,P520-E520,"")</x:f>
      </x:c>
      <x:c r="T520" s="647" t="n">
        <x:f>IF(Q520&gt;0,Q520-E520,"")</x:f>
        <x:v>40000</x:v>
      </x:c>
      <x:c r="U520" s="648" t="n">
        <x:f>IF(R520&lt;30000,N520,0)</x:f>
        <x:v>0</x:v>
      </x:c>
      <x:c r="V520" s="648" t="n">
        <x:f>IF(P520&gt;0,N520,0)</x:f>
        <x:v>0</x:v>
      </x:c>
      <x:c r="W520" s="648" t="n">
        <x:f>IF(AND(P520&gt;0,S520&lt;0),N520,0)</x:f>
        <x:v>0</x:v>
      </x:c>
      <x:c r="X520" s="648" t="n">
        <x:f>IF(AND(P520&gt;0,S520=0),N520,0)</x:f>
        <x:v>0</x:v>
      </x:c>
      <x:c r="Y520" s="648" t="n">
        <x:f>IF(Q520&gt;0,N520,0)</x:f>
        <x:v>0.0012749999999999999</x:v>
      </x:c>
      <x:c r="Z520" s="647" t="n">
        <x:f>IF(P520&gt;0,N520*S520,0)</x:f>
        <x:v>0</x:v>
      </x:c>
      <x:c r="AA520" s="647" t="n">
        <x:f>IF(Q520&gt;0,N520*T520,0)</x:f>
        <x:v>50.99999999999999</x:v>
      </x:c>
      <x:c r="AB520" s="647" t="n">
        <x:f>N520*R520</x:f>
        <x:v>76.49999999999999</x:v>
      </x:c>
      <x:c r="AC520" s="647" t="n">
        <x:f>IF(N520&gt;0,R520,999999)</x:f>
        <x:v>60000</x:v>
      </x:c>
      <x:c r="AD520" s="647" t="n">
        <x:f>IF(AND(N520&gt;0,P520&gt;0),S520,999999)</x:f>
        <x:v>999999</x:v>
      </x:c>
      <x:c r="AE520" s="647" t="n">
        <x:f>IF(AND(N520&gt;0,Q520&gt;0),T520,999999)</x:f>
        <x:v>40000</x:v>
      </x:c>
      <x:c r="AF520" s="648" t="n">
        <x:f>B520*D520*F520*J520</x:f>
        <x:v>0.0007199999999999999</x:v>
      </x:c>
      <x:c r="AG520" s="648" t="n">
        <x:f>IF(P520&gt;0,AF520,0)</x:f>
        <x:v>0</x:v>
      </x:c>
      <x:c r="AH520" s="648" t="n">
        <x:f>IF(AND(P520&gt;0,S520&lt;0),AF520,0)</x:f>
        <x:v>0</x:v>
      </x:c>
      <x:c r="AI520" s="648" t="n">
        <x:f>IF(AND(P520&gt;0,S520=0),AF520,0)</x:f>
        <x:v>0</x:v>
      </x:c>
      <x:c r="AJ520" s="648" t="n">
        <x:f>IF(R520&lt;30000,AF520,0)</x:f>
        <x:v>0</x:v>
      </x:c>
      <x:c r="AK520" s="647" t="n">
        <x:f>IF(P520&gt;0,AF520*S520,0)</x:f>
        <x:v>0</x:v>
      </x:c>
    </x:row>
    <x:row r="521" ht="22" customHeight="1">
      <x:c r="A521" s="19" t="str">
        <x:v>进取</x:v>
      </x:c>
      <x:c r="B521" s="23" t="n">
        <x:f>'114_降本系数'!B28</x:f>
        <x:v>0.15</x:v>
      </x:c>
      <x:c r="C521" s="19" t="str">
        <x:v>L2</x:v>
      </x:c>
      <x:c r="D521" s="23" t="n">
        <x:f>'130_联合算法'!C19</x:f>
        <x:v>0.05</x:v>
      </x:c>
      <x:c r="E521" s="460" t="n">
        <x:f>'117_价格概率传导'!A9</x:f>
        <x:v>239900</x:v>
      </x:c>
      <x:c r="F521" s="23" t="n">
        <x:f>'117_价格概率传导'!E9</x:f>
        <x:v>0.32</x:v>
      </x:c>
      <x:c r="G521" s="23" t="n">
        <x:f>SUM('117_价格概率传导'!$E$6:$E$8)</x:f>
        <x:v>0.25</x:v>
      </x:c>
      <x:c r="H521" s="23" t="n">
        <x:f>SUM('117_价格概率传导'!$E$6:$E$9)</x:f>
        <x:v>0.5700000000000001</x:v>
      </x:c>
      <x:c r="I521" s="460" t="n">
        <x:f>'117_价格概率传导'!A20</x:f>
        <x:v>269900</x:v>
      </x:c>
      <x:c r="J521" s="23" t="n">
        <x:f>'117_价格概率传导'!E20</x:f>
        <x:v>0.38</x:v>
      </x:c>
      <x:c r="K521" s="23" t="n">
        <x:f>SUM('117_价格概率传导'!$E$16:$E$19)</x:f>
        <x:v>0.42</x:v>
      </x:c>
      <x:c r="L521" s="23" t="n">
        <x:f>SUM('117_价格概率传导'!$E$16:$E$20)</x:f>
        <x:v>0.8</x:v>
      </x:c>
      <x:c r="M521" s="23" t="n">
        <x:f>MAX(0,MIN(H521,L521)-MAX(G521,K521))</x:f>
        <x:v>0.15000000000000008</x:v>
      </x:c>
      <x:c r="N521" s="23" t="n">
        <x:f>B521*D521*M521</x:f>
        <x:v>0.0011250000000000006</x:v>
      </x:c>
      <x:c r="O521" s="460" t="n">
        <x:f>MIN(299900,I521+20000)</x:f>
        <x:v>289900</x:v>
      </x:c>
      <x:c r="P521" s="460" t="str">
        <x:f>""</x:f>
      </x:c>
      <x:c r="Q521" s="460" t="n">
        <x:f>O521-20000</x:f>
        <x:v>269900</x:v>
      </x:c>
      <x:c r="R521" s="460" t="n">
        <x:f>O521-E521</x:f>
        <x:v>50000</x:v>
      </x:c>
      <x:c r="S521" s="460" t="str">
        <x:f>IF(P521&gt;0,P521-E521,"")</x:f>
      </x:c>
      <x:c r="T521" s="460" t="n">
        <x:f>IF(Q521&gt;0,Q521-E521,"")</x:f>
        <x:v>30000</x:v>
      </x:c>
      <x:c r="U521" s="23" t="n">
        <x:f>IF(R521&lt;30000,N521,0)</x:f>
        <x:v>0</x:v>
      </x:c>
      <x:c r="V521" s="23" t="n">
        <x:f>IF(P521&gt;0,N521,0)</x:f>
        <x:v>0</x:v>
      </x:c>
      <x:c r="W521" s="23" t="n">
        <x:f>IF(AND(P521&gt;0,S521&lt;0),N521,0)</x:f>
        <x:v>0</x:v>
      </x:c>
      <x:c r="X521" s="23" t="n">
        <x:f>IF(AND(P521&gt;0,S521=0),N521,0)</x:f>
        <x:v>0</x:v>
      </x:c>
      <x:c r="Y521" s="23" t="n">
        <x:f>IF(Q521&gt;0,N521,0)</x:f>
        <x:v>0.0011250000000000006</x:v>
      </x:c>
      <x:c r="Z521" s="460" t="n">
        <x:f>IF(P521&gt;0,N521*S521,0)</x:f>
        <x:v>0</x:v>
      </x:c>
      <x:c r="AA521" s="460" t="n">
        <x:f>IF(Q521&gt;0,N521*T521,0)</x:f>
        <x:v>33.750000000000014</x:v>
      </x:c>
      <x:c r="AB521" s="460" t="n">
        <x:f>N521*R521</x:f>
        <x:v>56.25000000000003</x:v>
      </x:c>
      <x:c r="AC521" s="460" t="n">
        <x:f>IF(N521&gt;0,R521,999999)</x:f>
        <x:v>50000</x:v>
      </x:c>
      <x:c r="AD521" s="460" t="n">
        <x:f>IF(AND(N521&gt;0,P521&gt;0),S521,999999)</x:f>
        <x:v>999999</x:v>
      </x:c>
      <x:c r="AE521" s="460" t="n">
        <x:f>IF(AND(N521&gt;0,Q521&gt;0),T521,999999)</x:f>
        <x:v>30000</x:v>
      </x:c>
      <x:c r="AF521" s="23" t="n">
        <x:f>B521*D521*F521*J521</x:f>
        <x:v>0.0009119999999999999</x:v>
      </x:c>
      <x:c r="AG521" s="23" t="n">
        <x:f>IF(P521&gt;0,AF521,0)</x:f>
        <x:v>0</x:v>
      </x:c>
      <x:c r="AH521" s="23" t="n">
        <x:f>IF(AND(P521&gt;0,S521&lt;0),AF521,0)</x:f>
        <x:v>0</x:v>
      </x:c>
      <x:c r="AI521" s="23" t="n">
        <x:f>IF(AND(P521&gt;0,S521=0),AF521,0)</x:f>
        <x:v>0</x:v>
      </x:c>
      <x:c r="AJ521" s="23" t="n">
        <x:f>IF(R521&lt;30000,AF521,0)</x:f>
        <x:v>0</x:v>
      </x:c>
      <x:c r="AK521" s="460" t="n">
        <x:f>IF(P521&gt;0,AF521*S521,0)</x:f>
        <x:v>0</x:v>
      </x:c>
    </x:row>
    <x:row r="522" ht="22" customHeight="1">
      <x:c r="A522" s="643" t="str">
        <x:v>进取</x:v>
      </x:c>
      <x:c r="B522" s="648" t="n">
        <x:f>'114_降本系数'!B28</x:f>
        <x:v>0.15</x:v>
      </x:c>
      <x:c r="C522" s="643" t="str">
        <x:v>L2</x:v>
      </x:c>
      <x:c r="D522" s="648" t="n">
        <x:f>'130_联合算法'!C19</x:f>
        <x:v>0.05</x:v>
      </x:c>
      <x:c r="E522" s="647" t="n">
        <x:f>'117_价格概率传导'!A9</x:f>
        <x:v>239900</x:v>
      </x:c>
      <x:c r="F522" s="648" t="n">
        <x:f>'117_价格概率传导'!E9</x:f>
        <x:v>0.32</x:v>
      </x:c>
      <x:c r="G522" s="648" t="n">
        <x:f>SUM('117_价格概率传导'!$E$6:$E$8)</x:f>
        <x:v>0.25</x:v>
      </x:c>
      <x:c r="H522" s="648" t="n">
        <x:f>SUM('117_价格概率传导'!$E$6:$E$9)</x:f>
        <x:v>0.5700000000000001</x:v>
      </x:c>
      <x:c r="I522" s="647" t="n">
        <x:f>'117_价格概率传导'!A21</x:f>
        <x:v>259900</x:v>
      </x:c>
      <x:c r="J522" s="648" t="n">
        <x:f>'117_价格概率传导'!E21</x:f>
        <x:v>0.2</x:v>
      </x:c>
      <x:c r="K522" s="648" t="n">
        <x:f>SUM('117_价格概率传导'!$E$16:$E$20)</x:f>
        <x:v>0.8</x:v>
      </x:c>
      <x:c r="L522" s="648" t="n">
        <x:f>SUM('117_价格概率传导'!$E$16:$E$21)</x:f>
        <x:v>1</x:v>
      </x:c>
      <x:c r="M522" s="648" t="n">
        <x:f>MAX(0,MIN(H522,L522)-MAX(G522,K522))</x:f>
        <x:v>0</x:v>
      </x:c>
      <x:c r="N522" s="648" t="n">
        <x:f>B522*D522*M522</x:f>
        <x:v>0</x:v>
      </x:c>
      <x:c r="O522" s="647" t="n">
        <x:f>MIN(299900,I522+20000)</x:f>
        <x:v>279900</x:v>
      </x:c>
      <x:c r="P522" s="647" t="str">
        <x:f>""</x:f>
      </x:c>
      <x:c r="Q522" s="647" t="n">
        <x:f>O522-20000</x:f>
        <x:v>259900</x:v>
      </x:c>
      <x:c r="R522" s="647" t="n">
        <x:f>O522-E522</x:f>
        <x:v>40000</x:v>
      </x:c>
      <x:c r="S522" s="647" t="str">
        <x:f>IF(P522&gt;0,P522-E522,"")</x:f>
      </x:c>
      <x:c r="T522" s="647" t="n">
        <x:f>IF(Q522&gt;0,Q522-E522,"")</x:f>
        <x:v>20000</x:v>
      </x:c>
      <x:c r="U522" s="648" t="n">
        <x:f>IF(R522&lt;30000,N522,0)</x:f>
        <x:v>0</x:v>
      </x:c>
      <x:c r="V522" s="648" t="n">
        <x:f>IF(P522&gt;0,N522,0)</x:f>
        <x:v>0</x:v>
      </x:c>
      <x:c r="W522" s="648" t="n">
        <x:f>IF(AND(P522&gt;0,S522&lt;0),N522,0)</x:f>
        <x:v>0</x:v>
      </x:c>
      <x:c r="X522" s="648" t="n">
        <x:f>IF(AND(P522&gt;0,S522=0),N522,0)</x:f>
        <x:v>0</x:v>
      </x:c>
      <x:c r="Y522" s="648" t="n">
        <x:f>IF(Q522&gt;0,N522,0)</x:f>
        <x:v>0</x:v>
      </x:c>
      <x:c r="Z522" s="647" t="n">
        <x:f>IF(P522&gt;0,N522*S522,0)</x:f>
        <x:v>0</x:v>
      </x:c>
      <x:c r="AA522" s="647" t="n">
        <x:f>IF(Q522&gt;0,N522*T522,0)</x:f>
        <x:v>0</x:v>
      </x:c>
      <x:c r="AB522" s="647" t="n">
        <x:f>N522*R522</x:f>
        <x:v>0</x:v>
      </x:c>
      <x:c r="AC522" s="647" t="n">
        <x:f>IF(N522&gt;0,R522,999999)</x:f>
        <x:v>999999</x:v>
      </x:c>
      <x:c r="AD522" s="647" t="n">
        <x:f>IF(AND(N522&gt;0,P522&gt;0),S522,999999)</x:f>
        <x:v>999999</x:v>
      </x:c>
      <x:c r="AE522" s="647" t="n">
        <x:f>IF(AND(N522&gt;0,Q522&gt;0),T522,999999)</x:f>
        <x:v>999999</x:v>
      </x:c>
      <x:c r="AF522" s="648" t="n">
        <x:f>B522*D522*F522*J522</x:f>
        <x:v>0.00047999999999999996</x:v>
      </x:c>
      <x:c r="AG522" s="648" t="n">
        <x:f>IF(P522&gt;0,AF522,0)</x:f>
        <x:v>0</x:v>
      </x:c>
      <x:c r="AH522" s="648" t="n">
        <x:f>IF(AND(P522&gt;0,S522&lt;0),AF522,0)</x:f>
        <x:v>0</x:v>
      </x:c>
      <x:c r="AI522" s="648" t="n">
        <x:f>IF(AND(P522&gt;0,S522=0),AF522,0)</x:f>
        <x:v>0</x:v>
      </x:c>
      <x:c r="AJ522" s="648" t="n">
        <x:f>IF(R522&lt;30000,AF522,0)</x:f>
        <x:v>0</x:v>
      </x:c>
      <x:c r="AK522" s="647" t="n">
        <x:f>IF(P522&gt;0,AF522*S522,0)</x:f>
        <x:v>0</x:v>
      </x:c>
    </x:row>
    <x:row r="523" ht="22" customHeight="1">
      <x:c r="A523" s="19" t="str">
        <x:v>进取</x:v>
      </x:c>
      <x:c r="B523" s="23" t="n">
        <x:f>'114_降本系数'!B28</x:f>
        <x:v>0.15</x:v>
      </x:c>
      <x:c r="C523" s="19" t="str">
        <x:v>L2</x:v>
      </x:c>
      <x:c r="D523" s="23" t="n">
        <x:f>'130_联合算法'!C19</x:f>
        <x:v>0.05</x:v>
      </x:c>
      <x:c r="E523" s="460" t="n">
        <x:f>'117_价格概率传导'!A10</x:f>
        <x:v>229900</x:v>
      </x:c>
      <x:c r="F523" s="23" t="n">
        <x:f>'117_价格概率传导'!E10</x:f>
        <x:v>0.28</x:v>
      </x:c>
      <x:c r="G523" s="23" t="n">
        <x:f>SUM('117_价格概率传导'!$E$6:$E$9)</x:f>
        <x:v>0.5700000000000001</x:v>
      </x:c>
      <x:c r="H523" s="23" t="n">
        <x:f>SUM('117_价格概率传导'!$E$6:$E$10)</x:f>
        <x:v>0.8500000000000001</x:v>
      </x:c>
      <x:c r="I523" s="460" t="n">
        <x:f>'117_价格概率传导'!A16</x:f>
        <x:v>299900</x:v>
      </x:c>
      <x:c r="J523" s="23" t="n">
        <x:f>'117_价格概率传导'!E16</x:f>
        <x:v>0.01</x:v>
      </x:c>
      <x:c r="K523" s="23" t="n">
        <x:f>0</x:f>
        <x:v>0</x:v>
      </x:c>
      <x:c r="L523" s="23" t="n">
        <x:f>SUM('117_价格概率传导'!$E$16:$E$16)</x:f>
        <x:v>0.01</x:v>
      </x:c>
      <x:c r="M523" s="23" t="n">
        <x:f>MAX(0,MIN(H523,L523)-MAX(G523,K523))</x:f>
        <x:v>0</x:v>
      </x:c>
      <x:c r="N523" s="23" t="n">
        <x:f>B523*D523*M523</x:f>
        <x:v>0</x:v>
      </x:c>
      <x:c r="O523" s="460" t="n">
        <x:f>MIN(299900,I523+20000)</x:f>
        <x:v>299900</x:v>
      </x:c>
      <x:c r="P523" s="460" t="str">
        <x:f>""</x:f>
      </x:c>
      <x:c r="Q523" s="460" t="n">
        <x:f>O523-20000</x:f>
        <x:v>279900</x:v>
      </x:c>
      <x:c r="R523" s="460" t="n">
        <x:f>O523-E523</x:f>
        <x:v>70000</x:v>
      </x:c>
      <x:c r="S523" s="460" t="str">
        <x:f>IF(P523&gt;0,P523-E523,"")</x:f>
      </x:c>
      <x:c r="T523" s="460" t="n">
        <x:f>IF(Q523&gt;0,Q523-E523,"")</x:f>
        <x:v>50000</x:v>
      </x:c>
      <x:c r="U523" s="23" t="n">
        <x:f>IF(R523&lt;30000,N523,0)</x:f>
        <x:v>0</x:v>
      </x:c>
      <x:c r="V523" s="23" t="n">
        <x:f>IF(P523&gt;0,N523,0)</x:f>
        <x:v>0</x:v>
      </x:c>
      <x:c r="W523" s="23" t="n">
        <x:f>IF(AND(P523&gt;0,S523&lt;0),N523,0)</x:f>
        <x:v>0</x:v>
      </x:c>
      <x:c r="X523" s="23" t="n">
        <x:f>IF(AND(P523&gt;0,S523=0),N523,0)</x:f>
        <x:v>0</x:v>
      </x:c>
      <x:c r="Y523" s="23" t="n">
        <x:f>IF(Q523&gt;0,N523,0)</x:f>
        <x:v>0</x:v>
      </x:c>
      <x:c r="Z523" s="460" t="n">
        <x:f>IF(P523&gt;0,N523*S523,0)</x:f>
        <x:v>0</x:v>
      </x:c>
      <x:c r="AA523" s="460" t="n">
        <x:f>IF(Q523&gt;0,N523*T523,0)</x:f>
        <x:v>0</x:v>
      </x:c>
      <x:c r="AB523" s="460" t="n">
        <x:f>N523*R523</x:f>
        <x:v>0</x:v>
      </x:c>
      <x:c r="AC523" s="460" t="n">
        <x:f>IF(N523&gt;0,R523,999999)</x:f>
        <x:v>999999</x:v>
      </x:c>
      <x:c r="AD523" s="460" t="n">
        <x:f>IF(AND(N523&gt;0,P523&gt;0),S523,999999)</x:f>
        <x:v>999999</x:v>
      </x:c>
      <x:c r="AE523" s="460" t="n">
        <x:f>IF(AND(N523&gt;0,Q523&gt;0),T523,999999)</x:f>
        <x:v>999999</x:v>
      </x:c>
      <x:c r="AF523" s="23" t="n">
        <x:f>B523*D523*F523*J523</x:f>
        <x:v>0.000021000000000000002</x:v>
      </x:c>
      <x:c r="AG523" s="23" t="n">
        <x:f>IF(P523&gt;0,AF523,0)</x:f>
        <x:v>0</x:v>
      </x:c>
      <x:c r="AH523" s="23" t="n">
        <x:f>IF(AND(P523&gt;0,S523&lt;0),AF523,0)</x:f>
        <x:v>0</x:v>
      </x:c>
      <x:c r="AI523" s="23" t="n">
        <x:f>IF(AND(P523&gt;0,S523=0),AF523,0)</x:f>
        <x:v>0</x:v>
      </x:c>
      <x:c r="AJ523" s="23" t="n">
        <x:f>IF(R523&lt;30000,AF523,0)</x:f>
        <x:v>0</x:v>
      </x:c>
      <x:c r="AK523" s="460" t="n">
        <x:f>IF(P523&gt;0,AF523*S523,0)</x:f>
        <x:v>0</x:v>
      </x:c>
    </x:row>
    <x:row r="524" ht="22" customHeight="1">
      <x:c r="A524" s="643" t="str">
        <x:v>进取</x:v>
      </x:c>
      <x:c r="B524" s="648" t="n">
        <x:f>'114_降本系数'!B28</x:f>
        <x:v>0.15</x:v>
      </x:c>
      <x:c r="C524" s="643" t="str">
        <x:v>L2</x:v>
      </x:c>
      <x:c r="D524" s="648" t="n">
        <x:f>'130_联合算法'!C19</x:f>
        <x:v>0.05</x:v>
      </x:c>
      <x:c r="E524" s="647" t="n">
        <x:f>'117_价格概率传导'!A10</x:f>
        <x:v>229900</x:v>
      </x:c>
      <x:c r="F524" s="648" t="n">
        <x:f>'117_价格概率传导'!E10</x:f>
        <x:v>0.28</x:v>
      </x:c>
      <x:c r="G524" s="648" t="n">
        <x:f>SUM('117_价格概率传导'!$E$6:$E$9)</x:f>
        <x:v>0.5700000000000001</x:v>
      </x:c>
      <x:c r="H524" s="648" t="n">
        <x:f>SUM('117_价格概率传导'!$E$6:$E$10)</x:f>
        <x:v>0.8500000000000001</x:v>
      </x:c>
      <x:c r="I524" s="647" t="n">
        <x:f>'117_价格概率传导'!A17</x:f>
        <x:v>293900</x:v>
      </x:c>
      <x:c r="J524" s="648" t="n">
        <x:f>'117_价格概率传导'!E17</x:f>
        <x:v>0.01</x:v>
      </x:c>
      <x:c r="K524" s="648" t="n">
        <x:f>SUM('117_价格概率传导'!$E$16:$E$16)</x:f>
        <x:v>0.01</x:v>
      </x:c>
      <x:c r="L524" s="648" t="n">
        <x:f>SUM('117_价格概率传导'!$E$16:$E$17)</x:f>
        <x:v>0.02</x:v>
      </x:c>
      <x:c r="M524" s="648" t="n">
        <x:f>MAX(0,MIN(H524,L524)-MAX(G524,K524))</x:f>
        <x:v>0</x:v>
      </x:c>
      <x:c r="N524" s="648" t="n">
        <x:f>B524*D524*M524</x:f>
        <x:v>0</x:v>
      </x:c>
      <x:c r="O524" s="647" t="n">
        <x:f>MIN(299900,I524+20000)</x:f>
        <x:v>299900</x:v>
      </x:c>
      <x:c r="P524" s="647" t="str">
        <x:f>""</x:f>
      </x:c>
      <x:c r="Q524" s="647" t="n">
        <x:f>O524-20000</x:f>
        <x:v>279900</x:v>
      </x:c>
      <x:c r="R524" s="647" t="n">
        <x:f>O524-E524</x:f>
        <x:v>70000</x:v>
      </x:c>
      <x:c r="S524" s="647" t="str">
        <x:f>IF(P524&gt;0,P524-E524,"")</x:f>
      </x:c>
      <x:c r="T524" s="647" t="n">
        <x:f>IF(Q524&gt;0,Q524-E524,"")</x:f>
        <x:v>50000</x:v>
      </x:c>
      <x:c r="U524" s="648" t="n">
        <x:f>IF(R524&lt;30000,N524,0)</x:f>
        <x:v>0</x:v>
      </x:c>
      <x:c r="V524" s="648" t="n">
        <x:f>IF(P524&gt;0,N524,0)</x:f>
        <x:v>0</x:v>
      </x:c>
      <x:c r="W524" s="648" t="n">
        <x:f>IF(AND(P524&gt;0,S524&lt;0),N524,0)</x:f>
        <x:v>0</x:v>
      </x:c>
      <x:c r="X524" s="648" t="n">
        <x:f>IF(AND(P524&gt;0,S524=0),N524,0)</x:f>
        <x:v>0</x:v>
      </x:c>
      <x:c r="Y524" s="648" t="n">
        <x:f>IF(Q524&gt;0,N524,0)</x:f>
        <x:v>0</x:v>
      </x:c>
      <x:c r="Z524" s="647" t="n">
        <x:f>IF(P524&gt;0,N524*S524,0)</x:f>
        <x:v>0</x:v>
      </x:c>
      <x:c r="AA524" s="647" t="n">
        <x:f>IF(Q524&gt;0,N524*T524,0)</x:f>
        <x:v>0</x:v>
      </x:c>
      <x:c r="AB524" s="647" t="n">
        <x:f>N524*R524</x:f>
        <x:v>0</x:v>
      </x:c>
      <x:c r="AC524" s="647" t="n">
        <x:f>IF(N524&gt;0,R524,999999)</x:f>
        <x:v>999999</x:v>
      </x:c>
      <x:c r="AD524" s="647" t="n">
        <x:f>IF(AND(N524&gt;0,P524&gt;0),S524,999999)</x:f>
        <x:v>999999</x:v>
      </x:c>
      <x:c r="AE524" s="647" t="n">
        <x:f>IF(AND(N524&gt;0,Q524&gt;0),T524,999999)</x:f>
        <x:v>999999</x:v>
      </x:c>
      <x:c r="AF524" s="648" t="n">
        <x:f>B524*D524*F524*J524</x:f>
        <x:v>0.000021000000000000002</x:v>
      </x:c>
      <x:c r="AG524" s="648" t="n">
        <x:f>IF(P524&gt;0,AF524,0)</x:f>
        <x:v>0</x:v>
      </x:c>
      <x:c r="AH524" s="648" t="n">
        <x:f>IF(AND(P524&gt;0,S524&lt;0),AF524,0)</x:f>
        <x:v>0</x:v>
      </x:c>
      <x:c r="AI524" s="648" t="n">
        <x:f>IF(AND(P524&gt;0,S524=0),AF524,0)</x:f>
        <x:v>0</x:v>
      </x:c>
      <x:c r="AJ524" s="648" t="n">
        <x:f>IF(R524&lt;30000,AF524,0)</x:f>
        <x:v>0</x:v>
      </x:c>
      <x:c r="AK524" s="647" t="n">
        <x:f>IF(P524&gt;0,AF524*S524,0)</x:f>
        <x:v>0</x:v>
      </x:c>
    </x:row>
    <x:row r="525" ht="22" customHeight="1">
      <x:c r="A525" s="19" t="str">
        <x:v>进取</x:v>
      </x:c>
      <x:c r="B525" s="23" t="n">
        <x:f>'114_降本系数'!B28</x:f>
        <x:v>0.15</x:v>
      </x:c>
      <x:c r="C525" s="19" t="str">
        <x:v>L2</x:v>
      </x:c>
      <x:c r="D525" s="23" t="n">
        <x:f>'130_联合算法'!C19</x:f>
        <x:v>0.05</x:v>
      </x:c>
      <x:c r="E525" s="460" t="n">
        <x:f>'117_价格概率传导'!A10</x:f>
        <x:v>229900</x:v>
      </x:c>
      <x:c r="F525" s="23" t="n">
        <x:f>'117_价格概率传导'!E10</x:f>
        <x:v>0.28</x:v>
      </x:c>
      <x:c r="G525" s="23" t="n">
        <x:f>SUM('117_价格概率传导'!$E$6:$E$9)</x:f>
        <x:v>0.5700000000000001</x:v>
      </x:c>
      <x:c r="H525" s="23" t="n">
        <x:f>SUM('117_价格概率传导'!$E$6:$E$10)</x:f>
        <x:v>0.8500000000000001</x:v>
      </x:c>
      <x:c r="I525" s="460" t="n">
        <x:f>'117_价格概率传导'!A18</x:f>
        <x:v>289900</x:v>
      </x:c>
      <x:c r="J525" s="23" t="n">
        <x:f>'117_价格概率传导'!E18</x:f>
        <x:v>0.1</x:v>
      </x:c>
      <x:c r="K525" s="23" t="n">
        <x:f>SUM('117_价格概率传导'!$E$16:$E$17)</x:f>
        <x:v>0.02</x:v>
      </x:c>
      <x:c r="L525" s="23" t="n">
        <x:f>SUM('117_价格概率传导'!$E$16:$E$18)</x:f>
        <x:v>0.12000000000000001</x:v>
      </x:c>
      <x:c r="M525" s="23" t="n">
        <x:f>MAX(0,MIN(H525,L525)-MAX(G525,K525))</x:f>
        <x:v>0</x:v>
      </x:c>
      <x:c r="N525" s="23" t="n">
        <x:f>B525*D525*M525</x:f>
        <x:v>0</x:v>
      </x:c>
      <x:c r="O525" s="460" t="n">
        <x:f>MIN(299900,I525+20000)</x:f>
        <x:v>299900</x:v>
      </x:c>
      <x:c r="P525" s="460" t="str">
        <x:f>""</x:f>
      </x:c>
      <x:c r="Q525" s="460" t="n">
        <x:f>O525-20000</x:f>
        <x:v>279900</x:v>
      </x:c>
      <x:c r="R525" s="460" t="n">
        <x:f>O525-E525</x:f>
        <x:v>70000</x:v>
      </x:c>
      <x:c r="S525" s="460" t="str">
        <x:f>IF(P525&gt;0,P525-E525,"")</x:f>
      </x:c>
      <x:c r="T525" s="460" t="n">
        <x:f>IF(Q525&gt;0,Q525-E525,"")</x:f>
        <x:v>50000</x:v>
      </x:c>
      <x:c r="U525" s="23" t="n">
        <x:f>IF(R525&lt;30000,N525,0)</x:f>
        <x:v>0</x:v>
      </x:c>
      <x:c r="V525" s="23" t="n">
        <x:f>IF(P525&gt;0,N525,0)</x:f>
        <x:v>0</x:v>
      </x:c>
      <x:c r="W525" s="23" t="n">
        <x:f>IF(AND(P525&gt;0,S525&lt;0),N525,0)</x:f>
        <x:v>0</x:v>
      </x:c>
      <x:c r="X525" s="23" t="n">
        <x:f>IF(AND(P525&gt;0,S525=0),N525,0)</x:f>
        <x:v>0</x:v>
      </x:c>
      <x:c r="Y525" s="23" t="n">
        <x:f>IF(Q525&gt;0,N525,0)</x:f>
        <x:v>0</x:v>
      </x:c>
      <x:c r="Z525" s="460" t="n">
        <x:f>IF(P525&gt;0,N525*S525,0)</x:f>
        <x:v>0</x:v>
      </x:c>
      <x:c r="AA525" s="460" t="n">
        <x:f>IF(Q525&gt;0,N525*T525,0)</x:f>
        <x:v>0</x:v>
      </x:c>
      <x:c r="AB525" s="460" t="n">
        <x:f>N525*R525</x:f>
        <x:v>0</x:v>
      </x:c>
      <x:c r="AC525" s="460" t="n">
        <x:f>IF(N525&gt;0,R525,999999)</x:f>
        <x:v>999999</x:v>
      </x:c>
      <x:c r="AD525" s="460" t="n">
        <x:f>IF(AND(N525&gt;0,P525&gt;0),S525,999999)</x:f>
        <x:v>999999</x:v>
      </x:c>
      <x:c r="AE525" s="460" t="n">
        <x:f>IF(AND(N525&gt;0,Q525&gt;0),T525,999999)</x:f>
        <x:v>999999</x:v>
      </x:c>
      <x:c r="AF525" s="23" t="n">
        <x:f>B525*D525*F525*J525</x:f>
        <x:v>0.00021000000000000004</x:v>
      </x:c>
      <x:c r="AG525" s="23" t="n">
        <x:f>IF(P525&gt;0,AF525,0)</x:f>
        <x:v>0</x:v>
      </x:c>
      <x:c r="AH525" s="23" t="n">
        <x:f>IF(AND(P525&gt;0,S525&lt;0),AF525,0)</x:f>
        <x:v>0</x:v>
      </x:c>
      <x:c r="AI525" s="23" t="n">
        <x:f>IF(AND(P525&gt;0,S525=0),AF525,0)</x:f>
        <x:v>0</x:v>
      </x:c>
      <x:c r="AJ525" s="23" t="n">
        <x:f>IF(R525&lt;30000,AF525,0)</x:f>
        <x:v>0</x:v>
      </x:c>
      <x:c r="AK525" s="460" t="n">
        <x:f>IF(P525&gt;0,AF525*S525,0)</x:f>
        <x:v>0</x:v>
      </x:c>
    </x:row>
    <x:row r="526" ht="22" customHeight="1">
      <x:c r="A526" s="643" t="str">
        <x:v>进取</x:v>
      </x:c>
      <x:c r="B526" s="648" t="n">
        <x:f>'114_降本系数'!B28</x:f>
        <x:v>0.15</x:v>
      </x:c>
      <x:c r="C526" s="643" t="str">
        <x:v>L2</x:v>
      </x:c>
      <x:c r="D526" s="648" t="n">
        <x:f>'130_联合算法'!C19</x:f>
        <x:v>0.05</x:v>
      </x:c>
      <x:c r="E526" s="647" t="n">
        <x:f>'117_价格概率传导'!A10</x:f>
        <x:v>229900</x:v>
      </x:c>
      <x:c r="F526" s="648" t="n">
        <x:f>'117_价格概率传导'!E10</x:f>
        <x:v>0.28</x:v>
      </x:c>
      <x:c r="G526" s="648" t="n">
        <x:f>SUM('117_价格概率传导'!$E$6:$E$9)</x:f>
        <x:v>0.5700000000000001</x:v>
      </x:c>
      <x:c r="H526" s="648" t="n">
        <x:f>SUM('117_价格概率传导'!$E$6:$E$10)</x:f>
        <x:v>0.8500000000000001</x:v>
      </x:c>
      <x:c r="I526" s="647" t="n">
        <x:f>'117_价格概率传导'!A19</x:f>
        <x:v>279900</x:v>
      </x:c>
      <x:c r="J526" s="648" t="n">
        <x:f>'117_价格概率传导'!E19</x:f>
        <x:v>0.3</x:v>
      </x:c>
      <x:c r="K526" s="648" t="n">
        <x:f>SUM('117_价格概率传导'!$E$16:$E$18)</x:f>
        <x:v>0.12000000000000001</x:v>
      </x:c>
      <x:c r="L526" s="648" t="n">
        <x:f>SUM('117_价格概率传导'!$E$16:$E$19)</x:f>
        <x:v>0.42</x:v>
      </x:c>
      <x:c r="M526" s="648" t="n">
        <x:f>MAX(0,MIN(H526,L526)-MAX(G526,K526))</x:f>
        <x:v>0</x:v>
      </x:c>
      <x:c r="N526" s="648" t="n">
        <x:f>B526*D526*M526</x:f>
        <x:v>0</x:v>
      </x:c>
      <x:c r="O526" s="647" t="n">
        <x:f>MIN(299900,I526+20000)</x:f>
        <x:v>299900</x:v>
      </x:c>
      <x:c r="P526" s="647" t="str">
        <x:f>""</x:f>
      </x:c>
      <x:c r="Q526" s="647" t="n">
        <x:f>O526-20000</x:f>
        <x:v>279900</x:v>
      </x:c>
      <x:c r="R526" s="647" t="n">
        <x:f>O526-E526</x:f>
        <x:v>70000</x:v>
      </x:c>
      <x:c r="S526" s="647" t="str">
        <x:f>IF(P526&gt;0,P526-E526,"")</x:f>
      </x:c>
      <x:c r="T526" s="647" t="n">
        <x:f>IF(Q526&gt;0,Q526-E526,"")</x:f>
        <x:v>50000</x:v>
      </x:c>
      <x:c r="U526" s="648" t="n">
        <x:f>IF(R526&lt;30000,N526,0)</x:f>
        <x:v>0</x:v>
      </x:c>
      <x:c r="V526" s="648" t="n">
        <x:f>IF(P526&gt;0,N526,0)</x:f>
        <x:v>0</x:v>
      </x:c>
      <x:c r="W526" s="648" t="n">
        <x:f>IF(AND(P526&gt;0,S526&lt;0),N526,0)</x:f>
        <x:v>0</x:v>
      </x:c>
      <x:c r="X526" s="648" t="n">
        <x:f>IF(AND(P526&gt;0,S526=0),N526,0)</x:f>
        <x:v>0</x:v>
      </x:c>
      <x:c r="Y526" s="648" t="n">
        <x:f>IF(Q526&gt;0,N526,0)</x:f>
        <x:v>0</x:v>
      </x:c>
      <x:c r="Z526" s="647" t="n">
        <x:f>IF(P526&gt;0,N526*S526,0)</x:f>
        <x:v>0</x:v>
      </x:c>
      <x:c r="AA526" s="647" t="n">
        <x:f>IF(Q526&gt;0,N526*T526,0)</x:f>
        <x:v>0</x:v>
      </x:c>
      <x:c r="AB526" s="647" t="n">
        <x:f>N526*R526</x:f>
        <x:v>0</x:v>
      </x:c>
      <x:c r="AC526" s="647" t="n">
        <x:f>IF(N526&gt;0,R526,999999)</x:f>
        <x:v>999999</x:v>
      </x:c>
      <x:c r="AD526" s="647" t="n">
        <x:f>IF(AND(N526&gt;0,P526&gt;0),S526,999999)</x:f>
        <x:v>999999</x:v>
      </x:c>
      <x:c r="AE526" s="647" t="n">
        <x:f>IF(AND(N526&gt;0,Q526&gt;0),T526,999999)</x:f>
        <x:v>999999</x:v>
      </x:c>
      <x:c r="AF526" s="648" t="n">
        <x:f>B526*D526*F526*J526</x:f>
        <x:v>0.00063</x:v>
      </x:c>
      <x:c r="AG526" s="648" t="n">
        <x:f>IF(P526&gt;0,AF526,0)</x:f>
        <x:v>0</x:v>
      </x:c>
      <x:c r="AH526" s="648" t="n">
        <x:f>IF(AND(P526&gt;0,S526&lt;0),AF526,0)</x:f>
        <x:v>0</x:v>
      </x:c>
      <x:c r="AI526" s="648" t="n">
        <x:f>IF(AND(P526&gt;0,S526=0),AF526,0)</x:f>
        <x:v>0</x:v>
      </x:c>
      <x:c r="AJ526" s="648" t="n">
        <x:f>IF(R526&lt;30000,AF526,0)</x:f>
        <x:v>0</x:v>
      </x:c>
      <x:c r="AK526" s="647" t="n">
        <x:f>IF(P526&gt;0,AF526*S526,0)</x:f>
        <x:v>0</x:v>
      </x:c>
    </x:row>
    <x:row r="527" ht="22" customHeight="1">
      <x:c r="A527" s="19" t="str">
        <x:v>进取</x:v>
      </x:c>
      <x:c r="B527" s="23" t="n">
        <x:f>'114_降本系数'!B28</x:f>
        <x:v>0.15</x:v>
      </x:c>
      <x:c r="C527" s="19" t="str">
        <x:v>L2</x:v>
      </x:c>
      <x:c r="D527" s="23" t="n">
        <x:f>'130_联合算法'!C19</x:f>
        <x:v>0.05</x:v>
      </x:c>
      <x:c r="E527" s="460" t="n">
        <x:f>'117_价格概率传导'!A10</x:f>
        <x:v>229900</x:v>
      </x:c>
      <x:c r="F527" s="23" t="n">
        <x:f>'117_价格概率传导'!E10</x:f>
        <x:v>0.28</x:v>
      </x:c>
      <x:c r="G527" s="23" t="n">
        <x:f>SUM('117_价格概率传导'!$E$6:$E$9)</x:f>
        <x:v>0.5700000000000001</x:v>
      </x:c>
      <x:c r="H527" s="23" t="n">
        <x:f>SUM('117_价格概率传导'!$E$6:$E$10)</x:f>
        <x:v>0.8500000000000001</x:v>
      </x:c>
      <x:c r="I527" s="460" t="n">
        <x:f>'117_价格概率传导'!A20</x:f>
        <x:v>269900</x:v>
      </x:c>
      <x:c r="J527" s="23" t="n">
        <x:f>'117_价格概率传导'!E20</x:f>
        <x:v>0.38</x:v>
      </x:c>
      <x:c r="K527" s="23" t="n">
        <x:f>SUM('117_价格概率传导'!$E$16:$E$19)</x:f>
        <x:v>0.42</x:v>
      </x:c>
      <x:c r="L527" s="23" t="n">
        <x:f>SUM('117_价格概率传导'!$E$16:$E$20)</x:f>
        <x:v>0.8</x:v>
      </x:c>
      <x:c r="M527" s="23" t="n">
        <x:f>MAX(0,MIN(H527,L527)-MAX(G527,K527))</x:f>
        <x:v>0.22999999999999998</x:v>
      </x:c>
      <x:c r="N527" s="23" t="n">
        <x:f>B527*D527*M527</x:f>
        <x:v>0.0017249999999999998</x:v>
      </x:c>
      <x:c r="O527" s="460" t="n">
        <x:f>MIN(299900,I527+20000)</x:f>
        <x:v>289900</x:v>
      </x:c>
      <x:c r="P527" s="460" t="str">
        <x:f>""</x:f>
      </x:c>
      <x:c r="Q527" s="460" t="n">
        <x:f>O527-20000</x:f>
        <x:v>269900</x:v>
      </x:c>
      <x:c r="R527" s="460" t="n">
        <x:f>O527-E527</x:f>
        <x:v>60000</x:v>
      </x:c>
      <x:c r="S527" s="460" t="str">
        <x:f>IF(P527&gt;0,P527-E527,"")</x:f>
      </x:c>
      <x:c r="T527" s="460" t="n">
        <x:f>IF(Q527&gt;0,Q527-E527,"")</x:f>
        <x:v>40000</x:v>
      </x:c>
      <x:c r="U527" s="23" t="n">
        <x:f>IF(R527&lt;30000,N527,0)</x:f>
        <x:v>0</x:v>
      </x:c>
      <x:c r="V527" s="23" t="n">
        <x:f>IF(P527&gt;0,N527,0)</x:f>
        <x:v>0</x:v>
      </x:c>
      <x:c r="W527" s="23" t="n">
        <x:f>IF(AND(P527&gt;0,S527&lt;0),N527,0)</x:f>
        <x:v>0</x:v>
      </x:c>
      <x:c r="X527" s="23" t="n">
        <x:f>IF(AND(P527&gt;0,S527=0),N527,0)</x:f>
        <x:v>0</x:v>
      </x:c>
      <x:c r="Y527" s="23" t="n">
        <x:f>IF(Q527&gt;0,N527,0)</x:f>
        <x:v>0.0017249999999999998</x:v>
      </x:c>
      <x:c r="Z527" s="460" t="n">
        <x:f>IF(P527&gt;0,N527*S527,0)</x:f>
        <x:v>0</x:v>
      </x:c>
      <x:c r="AA527" s="460" t="n">
        <x:f>IF(Q527&gt;0,N527*T527,0)</x:f>
        <x:v>68.99999999999999</x:v>
      </x:c>
      <x:c r="AB527" s="460" t="n">
        <x:f>N527*R527</x:f>
        <x:v>103.49999999999999</x:v>
      </x:c>
      <x:c r="AC527" s="460" t="n">
        <x:f>IF(N527&gt;0,R527,999999)</x:f>
        <x:v>60000</x:v>
      </x:c>
      <x:c r="AD527" s="460" t="n">
        <x:f>IF(AND(N527&gt;0,P527&gt;0),S527,999999)</x:f>
        <x:v>999999</x:v>
      </x:c>
      <x:c r="AE527" s="460" t="n">
        <x:f>IF(AND(N527&gt;0,Q527&gt;0),T527,999999)</x:f>
        <x:v>40000</x:v>
      </x:c>
      <x:c r="AF527" s="23" t="n">
        <x:f>B527*D527*F527*J527</x:f>
        <x:v>0.0007980000000000001</x:v>
      </x:c>
      <x:c r="AG527" s="23" t="n">
        <x:f>IF(P527&gt;0,AF527,0)</x:f>
        <x:v>0</x:v>
      </x:c>
      <x:c r="AH527" s="23" t="n">
        <x:f>IF(AND(P527&gt;0,S527&lt;0),AF527,0)</x:f>
        <x:v>0</x:v>
      </x:c>
      <x:c r="AI527" s="23" t="n">
        <x:f>IF(AND(P527&gt;0,S527=0),AF527,0)</x:f>
        <x:v>0</x:v>
      </x:c>
      <x:c r="AJ527" s="23" t="n">
        <x:f>IF(R527&lt;30000,AF527,0)</x:f>
        <x:v>0</x:v>
      </x:c>
      <x:c r="AK527" s="460" t="n">
        <x:f>IF(P527&gt;0,AF527*S527,0)</x:f>
        <x:v>0</x:v>
      </x:c>
    </x:row>
    <x:row r="528" ht="22" customHeight="1">
      <x:c r="A528" s="643" t="str">
        <x:v>进取</x:v>
      </x:c>
      <x:c r="B528" s="648" t="n">
        <x:f>'114_降本系数'!B28</x:f>
        <x:v>0.15</x:v>
      </x:c>
      <x:c r="C528" s="643" t="str">
        <x:v>L2</x:v>
      </x:c>
      <x:c r="D528" s="648" t="n">
        <x:f>'130_联合算法'!C19</x:f>
        <x:v>0.05</x:v>
      </x:c>
      <x:c r="E528" s="647" t="n">
        <x:f>'117_价格概率传导'!A10</x:f>
        <x:v>229900</x:v>
      </x:c>
      <x:c r="F528" s="648" t="n">
        <x:f>'117_价格概率传导'!E10</x:f>
        <x:v>0.28</x:v>
      </x:c>
      <x:c r="G528" s="648" t="n">
        <x:f>SUM('117_价格概率传导'!$E$6:$E$9)</x:f>
        <x:v>0.5700000000000001</x:v>
      </x:c>
      <x:c r="H528" s="648" t="n">
        <x:f>SUM('117_价格概率传导'!$E$6:$E$10)</x:f>
        <x:v>0.8500000000000001</x:v>
      </x:c>
      <x:c r="I528" s="647" t="n">
        <x:f>'117_价格概率传导'!A21</x:f>
        <x:v>259900</x:v>
      </x:c>
      <x:c r="J528" s="648" t="n">
        <x:f>'117_价格概率传导'!E21</x:f>
        <x:v>0.2</x:v>
      </x:c>
      <x:c r="K528" s="648" t="n">
        <x:f>SUM('117_价格概率传导'!$E$16:$E$20)</x:f>
        <x:v>0.8</x:v>
      </x:c>
      <x:c r="L528" s="648" t="n">
        <x:f>SUM('117_价格概率传导'!$E$16:$E$21)</x:f>
        <x:v>1</x:v>
      </x:c>
      <x:c r="M528" s="648" t="n">
        <x:f>MAX(0,MIN(H528,L528)-MAX(G528,K528))</x:f>
        <x:v>0.050000000000000044</x:v>
      </x:c>
      <x:c r="N528" s="648" t="n">
        <x:f>B528*D528*M528</x:f>
        <x:v>0.00037500000000000033</x:v>
      </x:c>
      <x:c r="O528" s="647" t="n">
        <x:f>MIN(299900,I528+20000)</x:f>
        <x:v>279900</x:v>
      </x:c>
      <x:c r="P528" s="647" t="str">
        <x:f>""</x:f>
      </x:c>
      <x:c r="Q528" s="647" t="n">
        <x:f>O528-20000</x:f>
        <x:v>259900</x:v>
      </x:c>
      <x:c r="R528" s="647" t="n">
        <x:f>O528-E528</x:f>
        <x:v>50000</x:v>
      </x:c>
      <x:c r="S528" s="647" t="str">
        <x:f>IF(P528&gt;0,P528-E528,"")</x:f>
      </x:c>
      <x:c r="T528" s="647" t="n">
        <x:f>IF(Q528&gt;0,Q528-E528,"")</x:f>
        <x:v>30000</x:v>
      </x:c>
      <x:c r="U528" s="648" t="n">
        <x:f>IF(R528&lt;30000,N528,0)</x:f>
        <x:v>0</x:v>
      </x:c>
      <x:c r="V528" s="648" t="n">
        <x:f>IF(P528&gt;0,N528,0)</x:f>
        <x:v>0</x:v>
      </x:c>
      <x:c r="W528" s="648" t="n">
        <x:f>IF(AND(P528&gt;0,S528&lt;0),N528,0)</x:f>
        <x:v>0</x:v>
      </x:c>
      <x:c r="X528" s="648" t="n">
        <x:f>IF(AND(P528&gt;0,S528=0),N528,0)</x:f>
        <x:v>0</x:v>
      </x:c>
      <x:c r="Y528" s="648" t="n">
        <x:f>IF(Q528&gt;0,N528,0)</x:f>
        <x:v>0.00037500000000000033</x:v>
      </x:c>
      <x:c r="Z528" s="647" t="n">
        <x:f>IF(P528&gt;0,N528*S528,0)</x:f>
        <x:v>0</x:v>
      </x:c>
      <x:c r="AA528" s="647" t="n">
        <x:f>IF(Q528&gt;0,N528*T528,0)</x:f>
        <x:v>11.25000000000001</x:v>
      </x:c>
      <x:c r="AB528" s="647" t="n">
        <x:f>N528*R528</x:f>
        <x:v>18.750000000000018</x:v>
      </x:c>
      <x:c r="AC528" s="647" t="n">
        <x:f>IF(N528&gt;0,R528,999999)</x:f>
        <x:v>50000</x:v>
      </x:c>
      <x:c r="AD528" s="647" t="n">
        <x:f>IF(AND(N528&gt;0,P528&gt;0),S528,999999)</x:f>
        <x:v>999999</x:v>
      </x:c>
      <x:c r="AE528" s="647" t="n">
        <x:f>IF(AND(N528&gt;0,Q528&gt;0),T528,999999)</x:f>
        <x:v>30000</x:v>
      </x:c>
      <x:c r="AF528" s="648" t="n">
        <x:f>B528*D528*F528*J528</x:f>
        <x:v>0.00042000000000000007</x:v>
      </x:c>
      <x:c r="AG528" s="648" t="n">
        <x:f>IF(P528&gt;0,AF528,0)</x:f>
        <x:v>0</x:v>
      </x:c>
      <x:c r="AH528" s="648" t="n">
        <x:f>IF(AND(P528&gt;0,S528&lt;0),AF528,0)</x:f>
        <x:v>0</x:v>
      </x:c>
      <x:c r="AI528" s="648" t="n">
        <x:f>IF(AND(P528&gt;0,S528=0),AF528,0)</x:f>
        <x:v>0</x:v>
      </x:c>
      <x:c r="AJ528" s="648" t="n">
        <x:f>IF(R528&lt;30000,AF528,0)</x:f>
        <x:v>0</x:v>
      </x:c>
      <x:c r="AK528" s="647" t="n">
        <x:f>IF(P528&gt;0,AF528*S528,0)</x:f>
        <x:v>0</x:v>
      </x:c>
    </x:row>
    <x:row r="529" ht="22" customHeight="1">
      <x:c r="A529" s="19" t="str">
        <x:v>进取</x:v>
      </x:c>
      <x:c r="B529" s="23" t="n">
        <x:f>'114_降本系数'!B28</x:f>
        <x:v>0.15</x:v>
      </x:c>
      <x:c r="C529" s="19" t="str">
        <x:v>L2</x:v>
      </x:c>
      <x:c r="D529" s="23" t="n">
        <x:f>'130_联合算法'!C19</x:f>
        <x:v>0.05</x:v>
      </x:c>
      <x:c r="E529" s="460" t="n">
        <x:f>'117_价格概率传导'!A11</x:f>
        <x:v>219900</x:v>
      </x:c>
      <x:c r="F529" s="23" t="n">
        <x:f>'117_价格概率传导'!E11</x:f>
        <x:v>0.15</x:v>
      </x:c>
      <x:c r="G529" s="23" t="n">
        <x:f>SUM('117_价格概率传导'!$E$6:$E$10)</x:f>
        <x:v>0.8500000000000001</x:v>
      </x:c>
      <x:c r="H529" s="23" t="n">
        <x:f>SUM('117_价格概率传导'!$E$6:$E$11)</x:f>
        <x:v>1</x:v>
      </x:c>
      <x:c r="I529" s="460" t="n">
        <x:f>'117_价格概率传导'!A16</x:f>
        <x:v>299900</x:v>
      </x:c>
      <x:c r="J529" s="23" t="n">
        <x:f>'117_价格概率传导'!E16</x:f>
        <x:v>0.01</x:v>
      </x:c>
      <x:c r="K529" s="23" t="n">
        <x:f>0</x:f>
        <x:v>0</x:v>
      </x:c>
      <x:c r="L529" s="23" t="n">
        <x:f>SUM('117_价格概率传导'!$E$16:$E$16)</x:f>
        <x:v>0.01</x:v>
      </x:c>
      <x:c r="M529" s="23" t="n">
        <x:f>MAX(0,MIN(H529,L529)-MAX(G529,K529))</x:f>
        <x:v>0</x:v>
      </x:c>
      <x:c r="N529" s="23" t="n">
        <x:f>B529*D529*M529</x:f>
        <x:v>0</x:v>
      </x:c>
      <x:c r="O529" s="460" t="n">
        <x:f>MIN(299900,I529+20000)</x:f>
        <x:v>299900</x:v>
      </x:c>
      <x:c r="P529" s="460" t="str">
        <x:f>""</x:f>
      </x:c>
      <x:c r="Q529" s="460" t="n">
        <x:f>O529-20000</x:f>
        <x:v>279900</x:v>
      </x:c>
      <x:c r="R529" s="460" t="n">
        <x:f>O529-E529</x:f>
        <x:v>80000</x:v>
      </x:c>
      <x:c r="S529" s="460" t="str">
        <x:f>IF(P529&gt;0,P529-E529,"")</x:f>
      </x:c>
      <x:c r="T529" s="460" t="n">
        <x:f>IF(Q529&gt;0,Q529-E529,"")</x:f>
        <x:v>60000</x:v>
      </x:c>
      <x:c r="U529" s="23" t="n">
        <x:f>IF(R529&lt;30000,N529,0)</x:f>
        <x:v>0</x:v>
      </x:c>
      <x:c r="V529" s="23" t="n">
        <x:f>IF(P529&gt;0,N529,0)</x:f>
        <x:v>0</x:v>
      </x:c>
      <x:c r="W529" s="23" t="n">
        <x:f>IF(AND(P529&gt;0,S529&lt;0),N529,0)</x:f>
        <x:v>0</x:v>
      </x:c>
      <x:c r="X529" s="23" t="n">
        <x:f>IF(AND(P529&gt;0,S529=0),N529,0)</x:f>
        <x:v>0</x:v>
      </x:c>
      <x:c r="Y529" s="23" t="n">
        <x:f>IF(Q529&gt;0,N529,0)</x:f>
        <x:v>0</x:v>
      </x:c>
      <x:c r="Z529" s="460" t="n">
        <x:f>IF(P529&gt;0,N529*S529,0)</x:f>
        <x:v>0</x:v>
      </x:c>
      <x:c r="AA529" s="460" t="n">
        <x:f>IF(Q529&gt;0,N529*T529,0)</x:f>
        <x:v>0</x:v>
      </x:c>
      <x:c r="AB529" s="460" t="n">
        <x:f>N529*R529</x:f>
        <x:v>0</x:v>
      </x:c>
      <x:c r="AC529" s="460" t="n">
        <x:f>IF(N529&gt;0,R529,999999)</x:f>
        <x:v>999999</x:v>
      </x:c>
      <x:c r="AD529" s="460" t="n">
        <x:f>IF(AND(N529&gt;0,P529&gt;0),S529,999999)</x:f>
        <x:v>999999</x:v>
      </x:c>
      <x:c r="AE529" s="460" t="n">
        <x:f>IF(AND(N529&gt;0,Q529&gt;0),T529,999999)</x:f>
        <x:v>999999</x:v>
      </x:c>
      <x:c r="AF529" s="23" t="n">
        <x:f>B529*D529*F529*J529</x:f>
        <x:v>0.000011249999999999999</x:v>
      </x:c>
      <x:c r="AG529" s="23" t="n">
        <x:f>IF(P529&gt;0,AF529,0)</x:f>
        <x:v>0</x:v>
      </x:c>
      <x:c r="AH529" s="23" t="n">
        <x:f>IF(AND(P529&gt;0,S529&lt;0),AF529,0)</x:f>
        <x:v>0</x:v>
      </x:c>
      <x:c r="AI529" s="23" t="n">
        <x:f>IF(AND(P529&gt;0,S529=0),AF529,0)</x:f>
        <x:v>0</x:v>
      </x:c>
      <x:c r="AJ529" s="23" t="n">
        <x:f>IF(R529&lt;30000,AF529,0)</x:f>
        <x:v>0</x:v>
      </x:c>
      <x:c r="AK529" s="460" t="n">
        <x:f>IF(P529&gt;0,AF529*S529,0)</x:f>
        <x:v>0</x:v>
      </x:c>
    </x:row>
    <x:row r="530" ht="22" customHeight="1">
      <x:c r="A530" s="643" t="str">
        <x:v>进取</x:v>
      </x:c>
      <x:c r="B530" s="648" t="n">
        <x:f>'114_降本系数'!B28</x:f>
        <x:v>0.15</x:v>
      </x:c>
      <x:c r="C530" s="643" t="str">
        <x:v>L2</x:v>
      </x:c>
      <x:c r="D530" s="648" t="n">
        <x:f>'130_联合算法'!C19</x:f>
        <x:v>0.05</x:v>
      </x:c>
      <x:c r="E530" s="647" t="n">
        <x:f>'117_价格概率传导'!A11</x:f>
        <x:v>219900</x:v>
      </x:c>
      <x:c r="F530" s="648" t="n">
        <x:f>'117_价格概率传导'!E11</x:f>
        <x:v>0.15</x:v>
      </x:c>
      <x:c r="G530" s="648" t="n">
        <x:f>SUM('117_价格概率传导'!$E$6:$E$10)</x:f>
        <x:v>0.8500000000000001</x:v>
      </x:c>
      <x:c r="H530" s="648" t="n">
        <x:f>SUM('117_价格概率传导'!$E$6:$E$11)</x:f>
        <x:v>1</x:v>
      </x:c>
      <x:c r="I530" s="647" t="n">
        <x:f>'117_价格概率传导'!A17</x:f>
        <x:v>293900</x:v>
      </x:c>
      <x:c r="J530" s="648" t="n">
        <x:f>'117_价格概率传导'!E17</x:f>
        <x:v>0.01</x:v>
      </x:c>
      <x:c r="K530" s="648" t="n">
        <x:f>SUM('117_价格概率传导'!$E$16:$E$16)</x:f>
        <x:v>0.01</x:v>
      </x:c>
      <x:c r="L530" s="648" t="n">
        <x:f>SUM('117_价格概率传导'!$E$16:$E$17)</x:f>
        <x:v>0.02</x:v>
      </x:c>
      <x:c r="M530" s="648" t="n">
        <x:f>MAX(0,MIN(H530,L530)-MAX(G530,K530))</x:f>
        <x:v>0</x:v>
      </x:c>
      <x:c r="N530" s="648" t="n">
        <x:f>B530*D530*M530</x:f>
        <x:v>0</x:v>
      </x:c>
      <x:c r="O530" s="647" t="n">
        <x:f>MIN(299900,I530+20000)</x:f>
        <x:v>299900</x:v>
      </x:c>
      <x:c r="P530" s="647" t="str">
        <x:f>""</x:f>
      </x:c>
      <x:c r="Q530" s="647" t="n">
        <x:f>O530-20000</x:f>
        <x:v>279900</x:v>
      </x:c>
      <x:c r="R530" s="647" t="n">
        <x:f>O530-E530</x:f>
        <x:v>80000</x:v>
      </x:c>
      <x:c r="S530" s="647" t="str">
        <x:f>IF(P530&gt;0,P530-E530,"")</x:f>
      </x:c>
      <x:c r="T530" s="647" t="n">
        <x:f>IF(Q530&gt;0,Q530-E530,"")</x:f>
        <x:v>60000</x:v>
      </x:c>
      <x:c r="U530" s="648" t="n">
        <x:f>IF(R530&lt;30000,N530,0)</x:f>
        <x:v>0</x:v>
      </x:c>
      <x:c r="V530" s="648" t="n">
        <x:f>IF(P530&gt;0,N530,0)</x:f>
        <x:v>0</x:v>
      </x:c>
      <x:c r="W530" s="648" t="n">
        <x:f>IF(AND(P530&gt;0,S530&lt;0),N530,0)</x:f>
        <x:v>0</x:v>
      </x:c>
      <x:c r="X530" s="648" t="n">
        <x:f>IF(AND(P530&gt;0,S530=0),N530,0)</x:f>
        <x:v>0</x:v>
      </x:c>
      <x:c r="Y530" s="648" t="n">
        <x:f>IF(Q530&gt;0,N530,0)</x:f>
        <x:v>0</x:v>
      </x:c>
      <x:c r="Z530" s="647" t="n">
        <x:f>IF(P530&gt;0,N530*S530,0)</x:f>
        <x:v>0</x:v>
      </x:c>
      <x:c r="AA530" s="647" t="n">
        <x:f>IF(Q530&gt;0,N530*T530,0)</x:f>
        <x:v>0</x:v>
      </x:c>
      <x:c r="AB530" s="647" t="n">
        <x:f>N530*R530</x:f>
        <x:v>0</x:v>
      </x:c>
      <x:c r="AC530" s="647" t="n">
        <x:f>IF(N530&gt;0,R530,999999)</x:f>
        <x:v>999999</x:v>
      </x:c>
      <x:c r="AD530" s="647" t="n">
        <x:f>IF(AND(N530&gt;0,P530&gt;0),S530,999999)</x:f>
        <x:v>999999</x:v>
      </x:c>
      <x:c r="AE530" s="647" t="n">
        <x:f>IF(AND(N530&gt;0,Q530&gt;0),T530,999999)</x:f>
        <x:v>999999</x:v>
      </x:c>
      <x:c r="AF530" s="648" t="n">
        <x:f>B530*D530*F530*J530</x:f>
        <x:v>0.000011249999999999999</x:v>
      </x:c>
      <x:c r="AG530" s="648" t="n">
        <x:f>IF(P530&gt;0,AF530,0)</x:f>
        <x:v>0</x:v>
      </x:c>
      <x:c r="AH530" s="648" t="n">
        <x:f>IF(AND(P530&gt;0,S530&lt;0),AF530,0)</x:f>
        <x:v>0</x:v>
      </x:c>
      <x:c r="AI530" s="648" t="n">
        <x:f>IF(AND(P530&gt;0,S530=0),AF530,0)</x:f>
        <x:v>0</x:v>
      </x:c>
      <x:c r="AJ530" s="648" t="n">
        <x:f>IF(R530&lt;30000,AF530,0)</x:f>
        <x:v>0</x:v>
      </x:c>
      <x:c r="AK530" s="647" t="n">
        <x:f>IF(P530&gt;0,AF530*S530,0)</x:f>
        <x:v>0</x:v>
      </x:c>
    </x:row>
    <x:row r="531" ht="22" customHeight="1">
      <x:c r="A531" s="19" t="str">
        <x:v>进取</x:v>
      </x:c>
      <x:c r="B531" s="23" t="n">
        <x:f>'114_降本系数'!B28</x:f>
        <x:v>0.15</x:v>
      </x:c>
      <x:c r="C531" s="19" t="str">
        <x:v>L2</x:v>
      </x:c>
      <x:c r="D531" s="23" t="n">
        <x:f>'130_联合算法'!C19</x:f>
        <x:v>0.05</x:v>
      </x:c>
      <x:c r="E531" s="460" t="n">
        <x:f>'117_价格概率传导'!A11</x:f>
        <x:v>219900</x:v>
      </x:c>
      <x:c r="F531" s="23" t="n">
        <x:f>'117_价格概率传导'!E11</x:f>
        <x:v>0.15</x:v>
      </x:c>
      <x:c r="G531" s="23" t="n">
        <x:f>SUM('117_价格概率传导'!$E$6:$E$10)</x:f>
        <x:v>0.8500000000000001</x:v>
      </x:c>
      <x:c r="H531" s="23" t="n">
        <x:f>SUM('117_价格概率传导'!$E$6:$E$11)</x:f>
        <x:v>1</x:v>
      </x:c>
      <x:c r="I531" s="460" t="n">
        <x:f>'117_价格概率传导'!A18</x:f>
        <x:v>289900</x:v>
      </x:c>
      <x:c r="J531" s="23" t="n">
        <x:f>'117_价格概率传导'!E18</x:f>
        <x:v>0.1</x:v>
      </x:c>
      <x:c r="K531" s="23" t="n">
        <x:f>SUM('117_价格概率传导'!$E$16:$E$17)</x:f>
        <x:v>0.02</x:v>
      </x:c>
      <x:c r="L531" s="23" t="n">
        <x:f>SUM('117_价格概率传导'!$E$16:$E$18)</x:f>
        <x:v>0.12000000000000001</x:v>
      </x:c>
      <x:c r="M531" s="23" t="n">
        <x:f>MAX(0,MIN(H531,L531)-MAX(G531,K531))</x:f>
        <x:v>0</x:v>
      </x:c>
      <x:c r="N531" s="23" t="n">
        <x:f>B531*D531*M531</x:f>
        <x:v>0</x:v>
      </x:c>
      <x:c r="O531" s="460" t="n">
        <x:f>MIN(299900,I531+20000)</x:f>
        <x:v>299900</x:v>
      </x:c>
      <x:c r="P531" s="460" t="str">
        <x:f>""</x:f>
      </x:c>
      <x:c r="Q531" s="460" t="n">
        <x:f>O531-20000</x:f>
        <x:v>279900</x:v>
      </x:c>
      <x:c r="R531" s="460" t="n">
        <x:f>O531-E531</x:f>
        <x:v>80000</x:v>
      </x:c>
      <x:c r="S531" s="460" t="str">
        <x:f>IF(P531&gt;0,P531-E531,"")</x:f>
      </x:c>
      <x:c r="T531" s="460" t="n">
        <x:f>IF(Q531&gt;0,Q531-E531,"")</x:f>
        <x:v>60000</x:v>
      </x:c>
      <x:c r="U531" s="23" t="n">
        <x:f>IF(R531&lt;30000,N531,0)</x:f>
        <x:v>0</x:v>
      </x:c>
      <x:c r="V531" s="23" t="n">
        <x:f>IF(P531&gt;0,N531,0)</x:f>
        <x:v>0</x:v>
      </x:c>
      <x:c r="W531" s="23" t="n">
        <x:f>IF(AND(P531&gt;0,S531&lt;0),N531,0)</x:f>
        <x:v>0</x:v>
      </x:c>
      <x:c r="X531" s="23" t="n">
        <x:f>IF(AND(P531&gt;0,S531=0),N531,0)</x:f>
        <x:v>0</x:v>
      </x:c>
      <x:c r="Y531" s="23" t="n">
        <x:f>IF(Q531&gt;0,N531,0)</x:f>
        <x:v>0</x:v>
      </x:c>
      <x:c r="Z531" s="460" t="n">
        <x:f>IF(P531&gt;0,N531*S531,0)</x:f>
        <x:v>0</x:v>
      </x:c>
      <x:c r="AA531" s="460" t="n">
        <x:f>IF(Q531&gt;0,N531*T531,0)</x:f>
        <x:v>0</x:v>
      </x:c>
      <x:c r="AB531" s="460" t="n">
        <x:f>N531*R531</x:f>
        <x:v>0</x:v>
      </x:c>
      <x:c r="AC531" s="460" t="n">
        <x:f>IF(N531&gt;0,R531,999999)</x:f>
        <x:v>999999</x:v>
      </x:c>
      <x:c r="AD531" s="460" t="n">
        <x:f>IF(AND(N531&gt;0,P531&gt;0),S531,999999)</x:f>
        <x:v>999999</x:v>
      </x:c>
      <x:c r="AE531" s="460" t="n">
        <x:f>IF(AND(N531&gt;0,Q531&gt;0),T531,999999)</x:f>
        <x:v>999999</x:v>
      </x:c>
      <x:c r="AF531" s="23" t="n">
        <x:f>B531*D531*F531*J531</x:f>
        <x:v>0.0001125</x:v>
      </x:c>
      <x:c r="AG531" s="23" t="n">
        <x:f>IF(P531&gt;0,AF531,0)</x:f>
        <x:v>0</x:v>
      </x:c>
      <x:c r="AH531" s="23" t="n">
        <x:f>IF(AND(P531&gt;0,S531&lt;0),AF531,0)</x:f>
        <x:v>0</x:v>
      </x:c>
      <x:c r="AI531" s="23" t="n">
        <x:f>IF(AND(P531&gt;0,S531=0),AF531,0)</x:f>
        <x:v>0</x:v>
      </x:c>
      <x:c r="AJ531" s="23" t="n">
        <x:f>IF(R531&lt;30000,AF531,0)</x:f>
        <x:v>0</x:v>
      </x:c>
      <x:c r="AK531" s="460" t="n">
        <x:f>IF(P531&gt;0,AF531*S531,0)</x:f>
        <x:v>0</x:v>
      </x:c>
    </x:row>
    <x:row r="532" ht="22" customHeight="1">
      <x:c r="A532" s="643" t="str">
        <x:v>进取</x:v>
      </x:c>
      <x:c r="B532" s="648" t="n">
        <x:f>'114_降本系数'!B28</x:f>
        <x:v>0.15</x:v>
      </x:c>
      <x:c r="C532" s="643" t="str">
        <x:v>L2</x:v>
      </x:c>
      <x:c r="D532" s="648" t="n">
        <x:f>'130_联合算法'!C19</x:f>
        <x:v>0.05</x:v>
      </x:c>
      <x:c r="E532" s="647" t="n">
        <x:f>'117_价格概率传导'!A11</x:f>
        <x:v>219900</x:v>
      </x:c>
      <x:c r="F532" s="648" t="n">
        <x:f>'117_价格概率传导'!E11</x:f>
        <x:v>0.15</x:v>
      </x:c>
      <x:c r="G532" s="648" t="n">
        <x:f>SUM('117_价格概率传导'!$E$6:$E$10)</x:f>
        <x:v>0.8500000000000001</x:v>
      </x:c>
      <x:c r="H532" s="648" t="n">
        <x:f>SUM('117_价格概率传导'!$E$6:$E$11)</x:f>
        <x:v>1</x:v>
      </x:c>
      <x:c r="I532" s="647" t="n">
        <x:f>'117_价格概率传导'!A19</x:f>
        <x:v>279900</x:v>
      </x:c>
      <x:c r="J532" s="648" t="n">
        <x:f>'117_价格概率传导'!E19</x:f>
        <x:v>0.3</x:v>
      </x:c>
      <x:c r="K532" s="648" t="n">
        <x:f>SUM('117_价格概率传导'!$E$16:$E$18)</x:f>
        <x:v>0.12000000000000001</x:v>
      </x:c>
      <x:c r="L532" s="648" t="n">
        <x:f>SUM('117_价格概率传导'!$E$16:$E$19)</x:f>
        <x:v>0.42</x:v>
      </x:c>
      <x:c r="M532" s="648" t="n">
        <x:f>MAX(0,MIN(H532,L532)-MAX(G532,K532))</x:f>
        <x:v>0</x:v>
      </x:c>
      <x:c r="N532" s="648" t="n">
        <x:f>B532*D532*M532</x:f>
        <x:v>0</x:v>
      </x:c>
      <x:c r="O532" s="647" t="n">
        <x:f>MIN(299900,I532+20000)</x:f>
        <x:v>299900</x:v>
      </x:c>
      <x:c r="P532" s="647" t="str">
        <x:f>""</x:f>
      </x:c>
      <x:c r="Q532" s="647" t="n">
        <x:f>O532-20000</x:f>
        <x:v>279900</x:v>
      </x:c>
      <x:c r="R532" s="647" t="n">
        <x:f>O532-E532</x:f>
        <x:v>80000</x:v>
      </x:c>
      <x:c r="S532" s="647" t="str">
        <x:f>IF(P532&gt;0,P532-E532,"")</x:f>
      </x:c>
      <x:c r="T532" s="647" t="n">
        <x:f>IF(Q532&gt;0,Q532-E532,"")</x:f>
        <x:v>60000</x:v>
      </x:c>
      <x:c r="U532" s="648" t="n">
        <x:f>IF(R532&lt;30000,N532,0)</x:f>
        <x:v>0</x:v>
      </x:c>
      <x:c r="V532" s="648" t="n">
        <x:f>IF(P532&gt;0,N532,0)</x:f>
        <x:v>0</x:v>
      </x:c>
      <x:c r="W532" s="648" t="n">
        <x:f>IF(AND(P532&gt;0,S532&lt;0),N532,0)</x:f>
        <x:v>0</x:v>
      </x:c>
      <x:c r="X532" s="648" t="n">
        <x:f>IF(AND(P532&gt;0,S532=0),N532,0)</x:f>
        <x:v>0</x:v>
      </x:c>
      <x:c r="Y532" s="648" t="n">
        <x:f>IF(Q532&gt;0,N532,0)</x:f>
        <x:v>0</x:v>
      </x:c>
      <x:c r="Z532" s="647" t="n">
        <x:f>IF(P532&gt;0,N532*S532,0)</x:f>
        <x:v>0</x:v>
      </x:c>
      <x:c r="AA532" s="647" t="n">
        <x:f>IF(Q532&gt;0,N532*T532,0)</x:f>
        <x:v>0</x:v>
      </x:c>
      <x:c r="AB532" s="647" t="n">
        <x:f>N532*R532</x:f>
        <x:v>0</x:v>
      </x:c>
      <x:c r="AC532" s="647" t="n">
        <x:f>IF(N532&gt;0,R532,999999)</x:f>
        <x:v>999999</x:v>
      </x:c>
      <x:c r="AD532" s="647" t="n">
        <x:f>IF(AND(N532&gt;0,P532&gt;0),S532,999999)</x:f>
        <x:v>999999</x:v>
      </x:c>
      <x:c r="AE532" s="647" t="n">
        <x:f>IF(AND(N532&gt;0,Q532&gt;0),T532,999999)</x:f>
        <x:v>999999</x:v>
      </x:c>
      <x:c r="AF532" s="648" t="n">
        <x:f>B532*D532*F532*J532</x:f>
        <x:v>0.00033749999999999996</x:v>
      </x:c>
      <x:c r="AG532" s="648" t="n">
        <x:f>IF(P532&gt;0,AF532,0)</x:f>
        <x:v>0</x:v>
      </x:c>
      <x:c r="AH532" s="648" t="n">
        <x:f>IF(AND(P532&gt;0,S532&lt;0),AF532,0)</x:f>
        <x:v>0</x:v>
      </x:c>
      <x:c r="AI532" s="648" t="n">
        <x:f>IF(AND(P532&gt;0,S532=0),AF532,0)</x:f>
        <x:v>0</x:v>
      </x:c>
      <x:c r="AJ532" s="648" t="n">
        <x:f>IF(R532&lt;30000,AF532,0)</x:f>
        <x:v>0</x:v>
      </x:c>
      <x:c r="AK532" s="647" t="n">
        <x:f>IF(P532&gt;0,AF532*S532,0)</x:f>
        <x:v>0</x:v>
      </x:c>
    </x:row>
    <x:row r="533" ht="22" customHeight="1">
      <x:c r="A533" s="19" t="str">
        <x:v>进取</x:v>
      </x:c>
      <x:c r="B533" s="23" t="n">
        <x:f>'114_降本系数'!B28</x:f>
        <x:v>0.15</x:v>
      </x:c>
      <x:c r="C533" s="19" t="str">
        <x:v>L2</x:v>
      </x:c>
      <x:c r="D533" s="23" t="n">
        <x:f>'130_联合算法'!C19</x:f>
        <x:v>0.05</x:v>
      </x:c>
      <x:c r="E533" s="460" t="n">
        <x:f>'117_价格概率传导'!A11</x:f>
        <x:v>219900</x:v>
      </x:c>
      <x:c r="F533" s="23" t="n">
        <x:f>'117_价格概率传导'!E11</x:f>
        <x:v>0.15</x:v>
      </x:c>
      <x:c r="G533" s="23" t="n">
        <x:f>SUM('117_价格概率传导'!$E$6:$E$10)</x:f>
        <x:v>0.8500000000000001</x:v>
      </x:c>
      <x:c r="H533" s="23" t="n">
        <x:f>SUM('117_价格概率传导'!$E$6:$E$11)</x:f>
        <x:v>1</x:v>
      </x:c>
      <x:c r="I533" s="460" t="n">
        <x:f>'117_价格概率传导'!A20</x:f>
        <x:v>269900</x:v>
      </x:c>
      <x:c r="J533" s="23" t="n">
        <x:f>'117_价格概率传导'!E20</x:f>
        <x:v>0.38</x:v>
      </x:c>
      <x:c r="K533" s="23" t="n">
        <x:f>SUM('117_价格概率传导'!$E$16:$E$19)</x:f>
        <x:v>0.42</x:v>
      </x:c>
      <x:c r="L533" s="23" t="n">
        <x:f>SUM('117_价格概率传导'!$E$16:$E$20)</x:f>
        <x:v>0.8</x:v>
      </x:c>
      <x:c r="M533" s="23" t="n">
        <x:f>MAX(0,MIN(H533,L533)-MAX(G533,K533))</x:f>
        <x:v>0</x:v>
      </x:c>
      <x:c r="N533" s="23" t="n">
        <x:f>B533*D533*M533</x:f>
        <x:v>0</x:v>
      </x:c>
      <x:c r="O533" s="460" t="n">
        <x:f>MIN(299900,I533+20000)</x:f>
        <x:v>289900</x:v>
      </x:c>
      <x:c r="P533" s="460" t="str">
        <x:f>""</x:f>
      </x:c>
      <x:c r="Q533" s="460" t="n">
        <x:f>O533-20000</x:f>
        <x:v>269900</x:v>
      </x:c>
      <x:c r="R533" s="460" t="n">
        <x:f>O533-E533</x:f>
        <x:v>70000</x:v>
      </x:c>
      <x:c r="S533" s="460" t="str">
        <x:f>IF(P533&gt;0,P533-E533,"")</x:f>
      </x:c>
      <x:c r="T533" s="460" t="n">
        <x:f>IF(Q533&gt;0,Q533-E533,"")</x:f>
        <x:v>50000</x:v>
      </x:c>
      <x:c r="U533" s="23" t="n">
        <x:f>IF(R533&lt;30000,N533,0)</x:f>
        <x:v>0</x:v>
      </x:c>
      <x:c r="V533" s="23" t="n">
        <x:f>IF(P533&gt;0,N533,0)</x:f>
        <x:v>0</x:v>
      </x:c>
      <x:c r="W533" s="23" t="n">
        <x:f>IF(AND(P533&gt;0,S533&lt;0),N533,0)</x:f>
        <x:v>0</x:v>
      </x:c>
      <x:c r="X533" s="23" t="n">
        <x:f>IF(AND(P533&gt;0,S533=0),N533,0)</x:f>
        <x:v>0</x:v>
      </x:c>
      <x:c r="Y533" s="23" t="n">
        <x:f>IF(Q533&gt;0,N533,0)</x:f>
        <x:v>0</x:v>
      </x:c>
      <x:c r="Z533" s="460" t="n">
        <x:f>IF(P533&gt;0,N533*S533,0)</x:f>
        <x:v>0</x:v>
      </x:c>
      <x:c r="AA533" s="460" t="n">
        <x:f>IF(Q533&gt;0,N533*T533,0)</x:f>
        <x:v>0</x:v>
      </x:c>
      <x:c r="AB533" s="460" t="n">
        <x:f>N533*R533</x:f>
        <x:v>0</x:v>
      </x:c>
      <x:c r="AC533" s="460" t="n">
        <x:f>IF(N533&gt;0,R533,999999)</x:f>
        <x:v>999999</x:v>
      </x:c>
      <x:c r="AD533" s="460" t="n">
        <x:f>IF(AND(N533&gt;0,P533&gt;0),S533,999999)</x:f>
        <x:v>999999</x:v>
      </x:c>
      <x:c r="AE533" s="460" t="n">
        <x:f>IF(AND(N533&gt;0,Q533&gt;0),T533,999999)</x:f>
        <x:v>999999</x:v>
      </x:c>
      <x:c r="AF533" s="23" t="n">
        <x:f>B533*D533*F533*J533</x:f>
        <x:v>0.0004275</x:v>
      </x:c>
      <x:c r="AG533" s="23" t="n">
        <x:f>IF(P533&gt;0,AF533,0)</x:f>
        <x:v>0</x:v>
      </x:c>
      <x:c r="AH533" s="23" t="n">
        <x:f>IF(AND(P533&gt;0,S533&lt;0),AF533,0)</x:f>
        <x:v>0</x:v>
      </x:c>
      <x:c r="AI533" s="23" t="n">
        <x:f>IF(AND(P533&gt;0,S533=0),AF533,0)</x:f>
        <x:v>0</x:v>
      </x:c>
      <x:c r="AJ533" s="23" t="n">
        <x:f>IF(R533&lt;30000,AF533,0)</x:f>
        <x:v>0</x:v>
      </x:c>
      <x:c r="AK533" s="460" t="n">
        <x:f>IF(P533&gt;0,AF533*S533,0)</x:f>
        <x:v>0</x:v>
      </x:c>
    </x:row>
    <x:row r="534" ht="22" customHeight="1">
      <x:c r="A534" s="643" t="str">
        <x:v>进取</x:v>
      </x:c>
      <x:c r="B534" s="648" t="n">
        <x:f>'114_降本系数'!B28</x:f>
        <x:v>0.15</x:v>
      </x:c>
      <x:c r="C534" s="643" t="str">
        <x:v>L2</x:v>
      </x:c>
      <x:c r="D534" s="648" t="n">
        <x:f>'130_联合算法'!C19</x:f>
        <x:v>0.05</x:v>
      </x:c>
      <x:c r="E534" s="647" t="n">
        <x:f>'117_价格概率传导'!A11</x:f>
        <x:v>219900</x:v>
      </x:c>
      <x:c r="F534" s="648" t="n">
        <x:f>'117_价格概率传导'!E11</x:f>
        <x:v>0.15</x:v>
      </x:c>
      <x:c r="G534" s="648" t="n">
        <x:f>SUM('117_价格概率传导'!$E$6:$E$10)</x:f>
        <x:v>0.8500000000000001</x:v>
      </x:c>
      <x:c r="H534" s="648" t="n">
        <x:f>SUM('117_价格概率传导'!$E$6:$E$11)</x:f>
        <x:v>1</x:v>
      </x:c>
      <x:c r="I534" s="647" t="n">
        <x:f>'117_价格概率传导'!A21</x:f>
        <x:v>259900</x:v>
      </x:c>
      <x:c r="J534" s="648" t="n">
        <x:f>'117_价格概率传导'!E21</x:f>
        <x:v>0.2</x:v>
      </x:c>
      <x:c r="K534" s="648" t="n">
        <x:f>SUM('117_价格概率传导'!$E$16:$E$20)</x:f>
        <x:v>0.8</x:v>
      </x:c>
      <x:c r="L534" s="648" t="n">
        <x:f>SUM('117_价格概率传导'!$E$16:$E$21)</x:f>
        <x:v>1</x:v>
      </x:c>
      <x:c r="M534" s="648" t="n">
        <x:f>MAX(0,MIN(H534,L534)-MAX(G534,K534))</x:f>
        <x:v>0.1499999999999999</x:v>
      </x:c>
      <x:c r="N534" s="648" t="n">
        <x:f>B534*D534*M534</x:f>
        <x:v>0.0011249999999999993</x:v>
      </x:c>
      <x:c r="O534" s="647" t="n">
        <x:f>MIN(299900,I534+20000)</x:f>
        <x:v>279900</x:v>
      </x:c>
      <x:c r="P534" s="647" t="str">
        <x:f>""</x:f>
      </x:c>
      <x:c r="Q534" s="647" t="n">
        <x:f>O534-20000</x:f>
        <x:v>259900</x:v>
      </x:c>
      <x:c r="R534" s="647" t="n">
        <x:f>O534-E534</x:f>
        <x:v>60000</x:v>
      </x:c>
      <x:c r="S534" s="647" t="str">
        <x:f>IF(P534&gt;0,P534-E534,"")</x:f>
      </x:c>
      <x:c r="T534" s="647" t="n">
        <x:f>IF(Q534&gt;0,Q534-E534,"")</x:f>
        <x:v>40000</x:v>
      </x:c>
      <x:c r="U534" s="648" t="n">
        <x:f>IF(R534&lt;30000,N534,0)</x:f>
        <x:v>0</x:v>
      </x:c>
      <x:c r="V534" s="648" t="n">
        <x:f>IF(P534&gt;0,N534,0)</x:f>
        <x:v>0</x:v>
      </x:c>
      <x:c r="W534" s="648" t="n">
        <x:f>IF(AND(P534&gt;0,S534&lt;0),N534,0)</x:f>
        <x:v>0</x:v>
      </x:c>
      <x:c r="X534" s="648" t="n">
        <x:f>IF(AND(P534&gt;0,S534=0),N534,0)</x:f>
        <x:v>0</x:v>
      </x:c>
      <x:c r="Y534" s="648" t="n">
        <x:f>IF(Q534&gt;0,N534,0)</x:f>
        <x:v>0.0011249999999999993</x:v>
      </x:c>
      <x:c r="Z534" s="647" t="n">
        <x:f>IF(P534&gt;0,N534*S534,0)</x:f>
        <x:v>0</x:v>
      </x:c>
      <x:c r="AA534" s="647" t="n">
        <x:f>IF(Q534&gt;0,N534*T534,0)</x:f>
        <x:v>44.99999999999997</x:v>
      </x:c>
      <x:c r="AB534" s="647" t="n">
        <x:f>N534*R534</x:f>
        <x:v>67.49999999999996</x:v>
      </x:c>
      <x:c r="AC534" s="647" t="n">
        <x:f>IF(N534&gt;0,R534,999999)</x:f>
        <x:v>60000</x:v>
      </x:c>
      <x:c r="AD534" s="647" t="n">
        <x:f>IF(AND(N534&gt;0,P534&gt;0),S534,999999)</x:f>
        <x:v>999999</x:v>
      </x:c>
      <x:c r="AE534" s="647" t="n">
        <x:f>IF(AND(N534&gt;0,Q534&gt;0),T534,999999)</x:f>
        <x:v>40000</x:v>
      </x:c>
      <x:c r="AF534" s="648" t="n">
        <x:f>B534*D534*F534*J534</x:f>
        <x:v>0.000225</x:v>
      </x:c>
      <x:c r="AG534" s="648" t="n">
        <x:f>IF(P534&gt;0,AF534,0)</x:f>
        <x:v>0</x:v>
      </x:c>
      <x:c r="AH534" s="648" t="n">
        <x:f>IF(AND(P534&gt;0,S534&lt;0),AF534,0)</x:f>
        <x:v>0</x:v>
      </x:c>
      <x:c r="AI534" s="648" t="n">
        <x:f>IF(AND(P534&gt;0,S534=0),AF534,0)</x:f>
        <x:v>0</x:v>
      </x:c>
      <x:c r="AJ534" s="648" t="n">
        <x:f>IF(R534&lt;30000,AF534,0)</x:f>
        <x:v>0</x:v>
      </x:c>
      <x:c r="AK534" s="647" t="n">
        <x:f>IF(P534&gt;0,AF534*S534,0)</x:f>
        <x:v>0</x:v>
      </x:c>
    </x:row>
    <x:row r="535" ht="22" customHeight="1">
      <x:c r="A535" s="19" t="str">
        <x:v>进取</x:v>
      </x:c>
      <x:c r="B535" s="23" t="n">
        <x:f>'114_降本系数'!B28</x:f>
        <x:v>0.15</x:v>
      </x:c>
      <x:c r="C535" s="19" t="str">
        <x:v>L3</x:v>
      </x:c>
      <x:c r="D535" s="23" t="n">
        <x:f>'130_联合算法'!C20</x:f>
        <x:v>0.1</x:v>
      </x:c>
      <x:c r="E535" s="460" t="n">
        <x:f>'117_价格概率传导'!A6</x:f>
        <x:v>259900</x:v>
      </x:c>
      <x:c r="F535" s="23" t="n">
        <x:f>'117_价格概率传导'!E6</x:f>
        <x:v>0.01</x:v>
      </x:c>
      <x:c r="G535" s="23" t="n">
        <x:f>0</x:f>
        <x:v>0</x:v>
      </x:c>
      <x:c r="H535" s="23" t="n">
        <x:f>SUM('117_价格概率传导'!$E$6:$E$6)</x:f>
        <x:v>0.01</x:v>
      </x:c>
      <x:c r="I535" s="460" t="n">
        <x:f>'117_价格概率传导'!A16</x:f>
        <x:v>299900</x:v>
      </x:c>
      <x:c r="J535" s="23" t="n">
        <x:f>'117_价格概率传导'!E16</x:f>
        <x:v>0.01</x:v>
      </x:c>
      <x:c r="K535" s="23" t="n">
        <x:f>0</x:f>
        <x:v>0</x:v>
      </x:c>
      <x:c r="L535" s="23" t="n">
        <x:f>SUM('117_价格概率传导'!$E$16:$E$16)</x:f>
        <x:v>0.01</x:v>
      </x:c>
      <x:c r="M535" s="23" t="n">
        <x:f>MAX(0,MIN(H535,L535)-MAX(G535,K535))</x:f>
        <x:v>0.01</x:v>
      </x:c>
      <x:c r="N535" s="23" t="n">
        <x:f>B535*D535*M535</x:f>
        <x:v>0.00015</x:v>
      </x:c>
      <x:c r="O535" s="460" t="n">
        <x:f>MIN(299900,I535+20000)</x:f>
        <x:v>299900</x:v>
      </x:c>
      <x:c r="P535" s="460" t="n">
        <x:f>O535-40000</x:f>
        <x:v>259900</x:v>
      </x:c>
      <x:c r="Q535" s="460" t="n">
        <x:f>O535-20000</x:f>
        <x:v>279900</x:v>
      </x:c>
      <x:c r="R535" s="460" t="n">
        <x:f>O535-E535</x:f>
        <x:v>40000</x:v>
      </x:c>
      <x:c r="S535" s="460" t="n">
        <x:f>IF(P535&gt;0,P535-E535,"")</x:f>
        <x:v>0</x:v>
      </x:c>
      <x:c r="T535" s="460" t="n">
        <x:f>IF(Q535&gt;0,Q535-E535,"")</x:f>
        <x:v>20000</x:v>
      </x:c>
      <x:c r="U535" s="23" t="n">
        <x:f>IF(R535&lt;30000,N535,0)</x:f>
        <x:v>0</x:v>
      </x:c>
      <x:c r="V535" s="23" t="n">
        <x:f>IF(P535&gt;0,N535,0)</x:f>
        <x:v>0.00015</x:v>
      </x:c>
      <x:c r="W535" s="23" t="n">
        <x:f>IF(AND(P535&gt;0,S535&lt;0),N535,0)</x:f>
        <x:v>0</x:v>
      </x:c>
      <x:c r="X535" s="23" t="n">
        <x:f>IF(AND(P535&gt;0,S535=0),N535,0)</x:f>
        <x:v>0.00015</x:v>
      </x:c>
      <x:c r="Y535" s="23" t="n">
        <x:f>IF(Q535&gt;0,N535,0)</x:f>
        <x:v>0.00015</x:v>
      </x:c>
      <x:c r="Z535" s="460" t="n">
        <x:f>IF(P535&gt;0,N535*S535,0)</x:f>
        <x:v>0</x:v>
      </x:c>
      <x:c r="AA535" s="460" t="n">
        <x:f>IF(Q535&gt;0,N535*T535,0)</x:f>
        <x:v>2.9999999999999996</x:v>
      </x:c>
      <x:c r="AB535" s="460" t="n">
        <x:f>N535*R535</x:f>
        <x:v>5.999999999999999</x:v>
      </x:c>
      <x:c r="AC535" s="460" t="n">
        <x:f>IF(N535&gt;0,R535,999999)</x:f>
        <x:v>40000</x:v>
      </x:c>
      <x:c r="AD535" s="460" t="n">
        <x:f>IF(AND(N535&gt;0,P535&gt;0),S535,999999)</x:f>
        <x:v>0</x:v>
      </x:c>
      <x:c r="AE535" s="460" t="n">
        <x:f>IF(AND(N535&gt;0,Q535&gt;0),T535,999999)</x:f>
        <x:v>20000</x:v>
      </x:c>
      <x:c r="AF535" s="23" t="n">
        <x:f>B535*D535*F535*J535</x:f>
        <x:v>0.0000014999999999999998</x:v>
      </x:c>
      <x:c r="AG535" s="23" t="n">
        <x:f>IF(P535&gt;0,AF535,0)</x:f>
        <x:v>0.0000014999999999999998</x:v>
      </x:c>
      <x:c r="AH535" s="23" t="n">
        <x:f>IF(AND(P535&gt;0,S535&lt;0),AF535,0)</x:f>
        <x:v>0</x:v>
      </x:c>
      <x:c r="AI535" s="23" t="n">
        <x:f>IF(AND(P535&gt;0,S535=0),AF535,0)</x:f>
        <x:v>0.0000014999999999999998</x:v>
      </x:c>
      <x:c r="AJ535" s="23" t="n">
        <x:f>IF(R535&lt;30000,AF535,0)</x:f>
        <x:v>0</x:v>
      </x:c>
      <x:c r="AK535" s="460" t="n">
        <x:f>IF(P535&gt;0,AF535*S535,0)</x:f>
        <x:v>0</x:v>
      </x:c>
    </x:row>
    <x:row r="536" ht="22" customHeight="1">
      <x:c r="A536" s="643" t="str">
        <x:v>进取</x:v>
      </x:c>
      <x:c r="B536" s="648" t="n">
        <x:f>'114_降本系数'!B28</x:f>
        <x:v>0.15</x:v>
      </x:c>
      <x:c r="C536" s="643" t="str">
        <x:v>L3</x:v>
      </x:c>
      <x:c r="D536" s="648" t="n">
        <x:f>'130_联合算法'!C20</x:f>
        <x:v>0.1</x:v>
      </x:c>
      <x:c r="E536" s="647" t="n">
        <x:f>'117_价格概率传导'!A6</x:f>
        <x:v>259900</x:v>
      </x:c>
      <x:c r="F536" s="648" t="n">
        <x:f>'117_价格概率传导'!E6</x:f>
        <x:v>0.01</x:v>
      </x:c>
      <x:c r="G536" s="648" t="n">
        <x:f>0</x:f>
        <x:v>0</x:v>
      </x:c>
      <x:c r="H536" s="648" t="n">
        <x:f>SUM('117_价格概率传导'!$E$6:$E$6)</x:f>
        <x:v>0.01</x:v>
      </x:c>
      <x:c r="I536" s="647" t="n">
        <x:f>'117_价格概率传导'!A17</x:f>
        <x:v>293900</x:v>
      </x:c>
      <x:c r="J536" s="648" t="n">
        <x:f>'117_价格概率传导'!E17</x:f>
        <x:v>0.01</x:v>
      </x:c>
      <x:c r="K536" s="648" t="n">
        <x:f>SUM('117_价格概率传导'!$E$16:$E$16)</x:f>
        <x:v>0.01</x:v>
      </x:c>
      <x:c r="L536" s="648" t="n">
        <x:f>SUM('117_价格概率传导'!$E$16:$E$17)</x:f>
        <x:v>0.02</x:v>
      </x:c>
      <x:c r="M536" s="648" t="n">
        <x:f>MAX(0,MIN(H536,L536)-MAX(G536,K536))</x:f>
        <x:v>0</x:v>
      </x:c>
      <x:c r="N536" s="648" t="n">
        <x:f>B536*D536*M536</x:f>
        <x:v>0</x:v>
      </x:c>
      <x:c r="O536" s="647" t="n">
        <x:f>MIN(299900,I536+20000)</x:f>
        <x:v>299900</x:v>
      </x:c>
      <x:c r="P536" s="647" t="n">
        <x:f>O536-40000</x:f>
        <x:v>259900</x:v>
      </x:c>
      <x:c r="Q536" s="647" t="n">
        <x:f>O536-20000</x:f>
        <x:v>279900</x:v>
      </x:c>
      <x:c r="R536" s="647" t="n">
        <x:f>O536-E536</x:f>
        <x:v>40000</x:v>
      </x:c>
      <x:c r="S536" s="647" t="n">
        <x:f>IF(P536&gt;0,P536-E536,"")</x:f>
        <x:v>0</x:v>
      </x:c>
      <x:c r="T536" s="647" t="n">
        <x:f>IF(Q536&gt;0,Q536-E536,"")</x:f>
        <x:v>20000</x:v>
      </x:c>
      <x:c r="U536" s="648" t="n">
        <x:f>IF(R536&lt;30000,N536,0)</x:f>
        <x:v>0</x:v>
      </x:c>
      <x:c r="V536" s="648" t="n">
        <x:f>IF(P536&gt;0,N536,0)</x:f>
        <x:v>0</x:v>
      </x:c>
      <x:c r="W536" s="648" t="n">
        <x:f>IF(AND(P536&gt;0,S536&lt;0),N536,0)</x:f>
        <x:v>0</x:v>
      </x:c>
      <x:c r="X536" s="648" t="n">
        <x:f>IF(AND(P536&gt;0,S536=0),N536,0)</x:f>
        <x:v>0</x:v>
      </x:c>
      <x:c r="Y536" s="648" t="n">
        <x:f>IF(Q536&gt;0,N536,0)</x:f>
        <x:v>0</x:v>
      </x:c>
      <x:c r="Z536" s="647" t="n">
        <x:f>IF(P536&gt;0,N536*S536,0)</x:f>
        <x:v>0</x:v>
      </x:c>
      <x:c r="AA536" s="647" t="n">
        <x:f>IF(Q536&gt;0,N536*T536,0)</x:f>
        <x:v>0</x:v>
      </x:c>
      <x:c r="AB536" s="647" t="n">
        <x:f>N536*R536</x:f>
        <x:v>0</x:v>
      </x:c>
      <x:c r="AC536" s="647" t="n">
        <x:f>IF(N536&gt;0,R536,999999)</x:f>
        <x:v>999999</x:v>
      </x:c>
      <x:c r="AD536" s="647" t="n">
        <x:f>IF(AND(N536&gt;0,P536&gt;0),S536,999999)</x:f>
        <x:v>999999</x:v>
      </x:c>
      <x:c r="AE536" s="647" t="n">
        <x:f>IF(AND(N536&gt;0,Q536&gt;0),T536,999999)</x:f>
        <x:v>999999</x:v>
      </x:c>
      <x:c r="AF536" s="648" t="n">
        <x:f>B536*D536*F536*J536</x:f>
        <x:v>0.0000014999999999999998</x:v>
      </x:c>
      <x:c r="AG536" s="648" t="n">
        <x:f>IF(P536&gt;0,AF536,0)</x:f>
        <x:v>0.0000014999999999999998</x:v>
      </x:c>
      <x:c r="AH536" s="648" t="n">
        <x:f>IF(AND(P536&gt;0,S536&lt;0),AF536,0)</x:f>
        <x:v>0</x:v>
      </x:c>
      <x:c r="AI536" s="648" t="n">
        <x:f>IF(AND(P536&gt;0,S536=0),AF536,0)</x:f>
        <x:v>0.0000014999999999999998</x:v>
      </x:c>
      <x:c r="AJ536" s="648" t="n">
        <x:f>IF(R536&lt;30000,AF536,0)</x:f>
        <x:v>0</x:v>
      </x:c>
      <x:c r="AK536" s="647" t="n">
        <x:f>IF(P536&gt;0,AF536*S536,0)</x:f>
        <x:v>0</x:v>
      </x:c>
    </x:row>
    <x:row r="537" ht="22" customHeight="1">
      <x:c r="A537" s="19" t="str">
        <x:v>进取</x:v>
      </x:c>
      <x:c r="B537" s="23" t="n">
        <x:f>'114_降本系数'!B28</x:f>
        <x:v>0.15</x:v>
      </x:c>
      <x:c r="C537" s="19" t="str">
        <x:v>L3</x:v>
      </x:c>
      <x:c r="D537" s="23" t="n">
        <x:f>'130_联合算法'!C20</x:f>
        <x:v>0.1</x:v>
      </x:c>
      <x:c r="E537" s="460" t="n">
        <x:f>'117_价格概率传导'!A6</x:f>
        <x:v>259900</x:v>
      </x:c>
      <x:c r="F537" s="23" t="n">
        <x:f>'117_价格概率传导'!E6</x:f>
        <x:v>0.01</x:v>
      </x:c>
      <x:c r="G537" s="23" t="n">
        <x:f>0</x:f>
        <x:v>0</x:v>
      </x:c>
      <x:c r="H537" s="23" t="n">
        <x:f>SUM('117_价格概率传导'!$E$6:$E$6)</x:f>
        <x:v>0.01</x:v>
      </x:c>
      <x:c r="I537" s="460" t="n">
        <x:f>'117_价格概率传导'!A18</x:f>
        <x:v>289900</x:v>
      </x:c>
      <x:c r="J537" s="23" t="n">
        <x:f>'117_价格概率传导'!E18</x:f>
        <x:v>0.1</x:v>
      </x:c>
      <x:c r="K537" s="23" t="n">
        <x:f>SUM('117_价格概率传导'!$E$16:$E$17)</x:f>
        <x:v>0.02</x:v>
      </x:c>
      <x:c r="L537" s="23" t="n">
        <x:f>SUM('117_价格概率传导'!$E$16:$E$18)</x:f>
        <x:v>0.12000000000000001</x:v>
      </x:c>
      <x:c r="M537" s="23" t="n">
        <x:f>MAX(0,MIN(H537,L537)-MAX(G537,K537))</x:f>
        <x:v>0</x:v>
      </x:c>
      <x:c r="N537" s="23" t="n">
        <x:f>B537*D537*M537</x:f>
        <x:v>0</x:v>
      </x:c>
      <x:c r="O537" s="460" t="n">
        <x:f>MIN(299900,I537+20000)</x:f>
        <x:v>299900</x:v>
      </x:c>
      <x:c r="P537" s="460" t="n">
        <x:f>O537-40000</x:f>
        <x:v>259900</x:v>
      </x:c>
      <x:c r="Q537" s="460" t="n">
        <x:f>O537-20000</x:f>
        <x:v>279900</x:v>
      </x:c>
      <x:c r="R537" s="460" t="n">
        <x:f>O537-E537</x:f>
        <x:v>40000</x:v>
      </x:c>
      <x:c r="S537" s="460" t="n">
        <x:f>IF(P537&gt;0,P537-E537,"")</x:f>
        <x:v>0</x:v>
      </x:c>
      <x:c r="T537" s="460" t="n">
        <x:f>IF(Q537&gt;0,Q537-E537,"")</x:f>
        <x:v>20000</x:v>
      </x:c>
      <x:c r="U537" s="23" t="n">
        <x:f>IF(R537&lt;30000,N537,0)</x:f>
        <x:v>0</x:v>
      </x:c>
      <x:c r="V537" s="23" t="n">
        <x:f>IF(P537&gt;0,N537,0)</x:f>
        <x:v>0</x:v>
      </x:c>
      <x:c r="W537" s="23" t="n">
        <x:f>IF(AND(P537&gt;0,S537&lt;0),N537,0)</x:f>
        <x:v>0</x:v>
      </x:c>
      <x:c r="X537" s="23" t="n">
        <x:f>IF(AND(P537&gt;0,S537=0),N537,0)</x:f>
        <x:v>0</x:v>
      </x:c>
      <x:c r="Y537" s="23" t="n">
        <x:f>IF(Q537&gt;0,N537,0)</x:f>
        <x:v>0</x:v>
      </x:c>
      <x:c r="Z537" s="460" t="n">
        <x:f>IF(P537&gt;0,N537*S537,0)</x:f>
        <x:v>0</x:v>
      </x:c>
      <x:c r="AA537" s="460" t="n">
        <x:f>IF(Q537&gt;0,N537*T537,0)</x:f>
        <x:v>0</x:v>
      </x:c>
      <x:c r="AB537" s="460" t="n">
        <x:f>N537*R537</x:f>
        <x:v>0</x:v>
      </x:c>
      <x:c r="AC537" s="460" t="n">
        <x:f>IF(N537&gt;0,R537,999999)</x:f>
        <x:v>999999</x:v>
      </x:c>
      <x:c r="AD537" s="460" t="n">
        <x:f>IF(AND(N537&gt;0,P537&gt;0),S537,999999)</x:f>
        <x:v>999999</x:v>
      </x:c>
      <x:c r="AE537" s="460" t="n">
        <x:f>IF(AND(N537&gt;0,Q537&gt;0),T537,999999)</x:f>
        <x:v>999999</x:v>
      </x:c>
      <x:c r="AF537" s="23" t="n">
        <x:f>B537*D537*F537*J537</x:f>
        <x:v>0.000014999999999999999</x:v>
      </x:c>
      <x:c r="AG537" s="23" t="n">
        <x:f>IF(P537&gt;0,AF537,0)</x:f>
        <x:v>0.000014999999999999999</x:v>
      </x:c>
      <x:c r="AH537" s="23" t="n">
        <x:f>IF(AND(P537&gt;0,S537&lt;0),AF537,0)</x:f>
        <x:v>0</x:v>
      </x:c>
      <x:c r="AI537" s="23" t="n">
        <x:f>IF(AND(P537&gt;0,S537=0),AF537,0)</x:f>
        <x:v>0.000014999999999999999</x:v>
      </x:c>
      <x:c r="AJ537" s="23" t="n">
        <x:f>IF(R537&lt;30000,AF537,0)</x:f>
        <x:v>0</x:v>
      </x:c>
      <x:c r="AK537" s="460" t="n">
        <x:f>IF(P537&gt;0,AF537*S537,0)</x:f>
        <x:v>0</x:v>
      </x:c>
    </x:row>
    <x:row r="538" ht="22" customHeight="1">
      <x:c r="A538" s="643" t="str">
        <x:v>进取</x:v>
      </x:c>
      <x:c r="B538" s="648" t="n">
        <x:f>'114_降本系数'!B28</x:f>
        <x:v>0.15</x:v>
      </x:c>
      <x:c r="C538" s="643" t="str">
        <x:v>L3</x:v>
      </x:c>
      <x:c r="D538" s="648" t="n">
        <x:f>'130_联合算法'!C20</x:f>
        <x:v>0.1</x:v>
      </x:c>
      <x:c r="E538" s="647" t="n">
        <x:f>'117_价格概率传导'!A6</x:f>
        <x:v>259900</x:v>
      </x:c>
      <x:c r="F538" s="648" t="n">
        <x:f>'117_价格概率传导'!E6</x:f>
        <x:v>0.01</x:v>
      </x:c>
      <x:c r="G538" s="648" t="n">
        <x:f>0</x:f>
        <x:v>0</x:v>
      </x:c>
      <x:c r="H538" s="648" t="n">
        <x:f>SUM('117_价格概率传导'!$E$6:$E$6)</x:f>
        <x:v>0.01</x:v>
      </x:c>
      <x:c r="I538" s="647" t="n">
        <x:f>'117_价格概率传导'!A19</x:f>
        <x:v>279900</x:v>
      </x:c>
      <x:c r="J538" s="648" t="n">
        <x:f>'117_价格概率传导'!E19</x:f>
        <x:v>0.3</x:v>
      </x:c>
      <x:c r="K538" s="648" t="n">
        <x:f>SUM('117_价格概率传导'!$E$16:$E$18)</x:f>
        <x:v>0.12000000000000001</x:v>
      </x:c>
      <x:c r="L538" s="648" t="n">
        <x:f>SUM('117_价格概率传导'!$E$16:$E$19)</x:f>
        <x:v>0.42</x:v>
      </x:c>
      <x:c r="M538" s="648" t="n">
        <x:f>MAX(0,MIN(H538,L538)-MAX(G538,K538))</x:f>
        <x:v>0</x:v>
      </x:c>
      <x:c r="N538" s="648" t="n">
        <x:f>B538*D538*M538</x:f>
        <x:v>0</x:v>
      </x:c>
      <x:c r="O538" s="647" t="n">
        <x:f>MIN(299900,I538+20000)</x:f>
        <x:v>299900</x:v>
      </x:c>
      <x:c r="P538" s="647" t="n">
        <x:f>O538-40000</x:f>
        <x:v>259900</x:v>
      </x:c>
      <x:c r="Q538" s="647" t="n">
        <x:f>O538-20000</x:f>
        <x:v>279900</x:v>
      </x:c>
      <x:c r="R538" s="647" t="n">
        <x:f>O538-E538</x:f>
        <x:v>40000</x:v>
      </x:c>
      <x:c r="S538" s="647" t="n">
        <x:f>IF(P538&gt;0,P538-E538,"")</x:f>
        <x:v>0</x:v>
      </x:c>
      <x:c r="T538" s="647" t="n">
        <x:f>IF(Q538&gt;0,Q538-E538,"")</x:f>
        <x:v>20000</x:v>
      </x:c>
      <x:c r="U538" s="648" t="n">
        <x:f>IF(R538&lt;30000,N538,0)</x:f>
        <x:v>0</x:v>
      </x:c>
      <x:c r="V538" s="648" t="n">
        <x:f>IF(P538&gt;0,N538,0)</x:f>
        <x:v>0</x:v>
      </x:c>
      <x:c r="W538" s="648" t="n">
        <x:f>IF(AND(P538&gt;0,S538&lt;0),N538,0)</x:f>
        <x:v>0</x:v>
      </x:c>
      <x:c r="X538" s="648" t="n">
        <x:f>IF(AND(P538&gt;0,S538=0),N538,0)</x:f>
        <x:v>0</x:v>
      </x:c>
      <x:c r="Y538" s="648" t="n">
        <x:f>IF(Q538&gt;0,N538,0)</x:f>
        <x:v>0</x:v>
      </x:c>
      <x:c r="Z538" s="647" t="n">
        <x:f>IF(P538&gt;0,N538*S538,0)</x:f>
        <x:v>0</x:v>
      </x:c>
      <x:c r="AA538" s="647" t="n">
        <x:f>IF(Q538&gt;0,N538*T538,0)</x:f>
        <x:v>0</x:v>
      </x:c>
      <x:c r="AB538" s="647" t="n">
        <x:f>N538*R538</x:f>
        <x:v>0</x:v>
      </x:c>
      <x:c r="AC538" s="647" t="n">
        <x:f>IF(N538&gt;0,R538,999999)</x:f>
        <x:v>999999</x:v>
      </x:c>
      <x:c r="AD538" s="647" t="n">
        <x:f>IF(AND(N538&gt;0,P538&gt;0),S538,999999)</x:f>
        <x:v>999999</x:v>
      </x:c>
      <x:c r="AE538" s="647" t="n">
        <x:f>IF(AND(N538&gt;0,Q538&gt;0),T538,999999)</x:f>
        <x:v>999999</x:v>
      </x:c>
      <x:c r="AF538" s="648" t="n">
        <x:f>B538*D538*F538*J538</x:f>
        <x:v>0.000044999999999999996</x:v>
      </x:c>
      <x:c r="AG538" s="648" t="n">
        <x:f>IF(P538&gt;0,AF538,0)</x:f>
        <x:v>0.000044999999999999996</x:v>
      </x:c>
      <x:c r="AH538" s="648" t="n">
        <x:f>IF(AND(P538&gt;0,S538&lt;0),AF538,0)</x:f>
        <x:v>0</x:v>
      </x:c>
      <x:c r="AI538" s="648" t="n">
        <x:f>IF(AND(P538&gt;0,S538=0),AF538,0)</x:f>
        <x:v>0.000044999999999999996</x:v>
      </x:c>
      <x:c r="AJ538" s="648" t="n">
        <x:f>IF(R538&lt;30000,AF538,0)</x:f>
        <x:v>0</x:v>
      </x:c>
      <x:c r="AK538" s="647" t="n">
        <x:f>IF(P538&gt;0,AF538*S538,0)</x:f>
        <x:v>0</x:v>
      </x:c>
    </x:row>
    <x:row r="539" ht="22" customHeight="1">
      <x:c r="A539" s="19" t="str">
        <x:v>进取</x:v>
      </x:c>
      <x:c r="B539" s="23" t="n">
        <x:f>'114_降本系数'!B28</x:f>
        <x:v>0.15</x:v>
      </x:c>
      <x:c r="C539" s="19" t="str">
        <x:v>L3</x:v>
      </x:c>
      <x:c r="D539" s="23" t="n">
        <x:f>'130_联合算法'!C20</x:f>
        <x:v>0.1</x:v>
      </x:c>
      <x:c r="E539" s="460" t="n">
        <x:f>'117_价格概率传导'!A6</x:f>
        <x:v>259900</x:v>
      </x:c>
      <x:c r="F539" s="23" t="n">
        <x:f>'117_价格概率传导'!E6</x:f>
        <x:v>0.01</x:v>
      </x:c>
      <x:c r="G539" s="23" t="n">
        <x:f>0</x:f>
        <x:v>0</x:v>
      </x:c>
      <x:c r="H539" s="23" t="n">
        <x:f>SUM('117_价格概率传导'!$E$6:$E$6)</x:f>
        <x:v>0.01</x:v>
      </x:c>
      <x:c r="I539" s="460" t="n">
        <x:f>'117_价格概率传导'!A20</x:f>
        <x:v>269900</x:v>
      </x:c>
      <x:c r="J539" s="23" t="n">
        <x:f>'117_价格概率传导'!E20</x:f>
        <x:v>0.38</x:v>
      </x:c>
      <x:c r="K539" s="23" t="n">
        <x:f>SUM('117_价格概率传导'!$E$16:$E$19)</x:f>
        <x:v>0.42</x:v>
      </x:c>
      <x:c r="L539" s="23" t="n">
        <x:f>SUM('117_价格概率传导'!$E$16:$E$20)</x:f>
        <x:v>0.8</x:v>
      </x:c>
      <x:c r="M539" s="23" t="n">
        <x:f>MAX(0,MIN(H539,L539)-MAX(G539,K539))</x:f>
        <x:v>0</x:v>
      </x:c>
      <x:c r="N539" s="23" t="n">
        <x:f>B539*D539*M539</x:f>
        <x:v>0</x:v>
      </x:c>
      <x:c r="O539" s="460" t="n">
        <x:f>MIN(299900,I539+20000)</x:f>
        <x:v>289900</x:v>
      </x:c>
      <x:c r="P539" s="460" t="n">
        <x:f>O539-40000</x:f>
        <x:v>249900</x:v>
      </x:c>
      <x:c r="Q539" s="460" t="n">
        <x:f>O539-20000</x:f>
        <x:v>269900</x:v>
      </x:c>
      <x:c r="R539" s="460" t="n">
        <x:f>O539-E539</x:f>
        <x:v>30000</x:v>
      </x:c>
      <x:c r="S539" s="460" t="n">
        <x:f>IF(P539&gt;0,P539-E539,"")</x:f>
        <x:v>-10000</x:v>
      </x:c>
      <x:c r="T539" s="460" t="n">
        <x:f>IF(Q539&gt;0,Q539-E539,"")</x:f>
        <x:v>10000</x:v>
      </x:c>
      <x:c r="U539" s="23" t="n">
        <x:f>IF(R539&lt;30000,N539,0)</x:f>
        <x:v>0</x:v>
      </x:c>
      <x:c r="V539" s="23" t="n">
        <x:f>IF(P539&gt;0,N539,0)</x:f>
        <x:v>0</x:v>
      </x:c>
      <x:c r="W539" s="23" t="n">
        <x:f>IF(AND(P539&gt;0,S539&lt;0),N539,0)</x:f>
        <x:v>0</x:v>
      </x:c>
      <x:c r="X539" s="23" t="n">
        <x:f>IF(AND(P539&gt;0,S539=0),N539,0)</x:f>
        <x:v>0</x:v>
      </x:c>
      <x:c r="Y539" s="23" t="n">
        <x:f>IF(Q539&gt;0,N539,0)</x:f>
        <x:v>0</x:v>
      </x:c>
      <x:c r="Z539" s="460" t="n">
        <x:f>IF(P539&gt;0,N539*S539,0)</x:f>
        <x:v>0</x:v>
      </x:c>
      <x:c r="AA539" s="460" t="n">
        <x:f>IF(Q539&gt;0,N539*T539,0)</x:f>
        <x:v>0</x:v>
      </x:c>
      <x:c r="AB539" s="460" t="n">
        <x:f>N539*R539</x:f>
        <x:v>0</x:v>
      </x:c>
      <x:c r="AC539" s="460" t="n">
        <x:f>IF(N539&gt;0,R539,999999)</x:f>
        <x:v>999999</x:v>
      </x:c>
      <x:c r="AD539" s="460" t="n">
        <x:f>IF(AND(N539&gt;0,P539&gt;0),S539,999999)</x:f>
        <x:v>999999</x:v>
      </x:c>
      <x:c r="AE539" s="460" t="n">
        <x:f>IF(AND(N539&gt;0,Q539&gt;0),T539,999999)</x:f>
        <x:v>999999</x:v>
      </x:c>
      <x:c r="AF539" s="23" t="n">
        <x:f>B539*D539*F539*J539</x:f>
        <x:v>0.000056999999999999996</x:v>
      </x:c>
      <x:c r="AG539" s="23" t="n">
        <x:f>IF(P539&gt;0,AF539,0)</x:f>
        <x:v>0.000056999999999999996</x:v>
      </x:c>
      <x:c r="AH539" s="23" t="n">
        <x:f>IF(AND(P539&gt;0,S539&lt;0),AF539,0)</x:f>
        <x:v>0.000056999999999999996</x:v>
      </x:c>
      <x:c r="AI539" s="23" t="n">
        <x:f>IF(AND(P539&gt;0,S539=0),AF539,0)</x:f>
        <x:v>0</x:v>
      </x:c>
      <x:c r="AJ539" s="23" t="n">
        <x:f>IF(R539&lt;30000,AF539,0)</x:f>
        <x:v>0</x:v>
      </x:c>
      <x:c r="AK539" s="460" t="n">
        <x:f>IF(P539&gt;0,AF539*S539,0)</x:f>
        <x:v>-0.57</x:v>
      </x:c>
    </x:row>
    <x:row r="540" ht="22" customHeight="1">
      <x:c r="A540" s="643" t="str">
        <x:v>进取</x:v>
      </x:c>
      <x:c r="B540" s="648" t="n">
        <x:f>'114_降本系数'!B28</x:f>
        <x:v>0.15</x:v>
      </x:c>
      <x:c r="C540" s="643" t="str">
        <x:v>L3</x:v>
      </x:c>
      <x:c r="D540" s="648" t="n">
        <x:f>'130_联合算法'!C20</x:f>
        <x:v>0.1</x:v>
      </x:c>
      <x:c r="E540" s="647" t="n">
        <x:f>'117_价格概率传导'!A6</x:f>
        <x:v>259900</x:v>
      </x:c>
      <x:c r="F540" s="648" t="n">
        <x:f>'117_价格概率传导'!E6</x:f>
        <x:v>0.01</x:v>
      </x:c>
      <x:c r="G540" s="648" t="n">
        <x:f>0</x:f>
        <x:v>0</x:v>
      </x:c>
      <x:c r="H540" s="648" t="n">
        <x:f>SUM('117_价格概率传导'!$E$6:$E$6)</x:f>
        <x:v>0.01</x:v>
      </x:c>
      <x:c r="I540" s="647" t="n">
        <x:f>'117_价格概率传导'!A21</x:f>
        <x:v>259900</x:v>
      </x:c>
      <x:c r="J540" s="648" t="n">
        <x:f>'117_价格概率传导'!E21</x:f>
        <x:v>0.2</x:v>
      </x:c>
      <x:c r="K540" s="648" t="n">
        <x:f>SUM('117_价格概率传导'!$E$16:$E$20)</x:f>
        <x:v>0.8</x:v>
      </x:c>
      <x:c r="L540" s="648" t="n">
        <x:f>SUM('117_价格概率传导'!$E$16:$E$21)</x:f>
        <x:v>1</x:v>
      </x:c>
      <x:c r="M540" s="648" t="n">
        <x:f>MAX(0,MIN(H540,L540)-MAX(G540,K540))</x:f>
        <x:v>0</x:v>
      </x:c>
      <x:c r="N540" s="648" t="n">
        <x:f>B540*D540*M540</x:f>
        <x:v>0</x:v>
      </x:c>
      <x:c r="O540" s="647" t="n">
        <x:f>MIN(299900,I540+20000)</x:f>
        <x:v>279900</x:v>
      </x:c>
      <x:c r="P540" s="647" t="n">
        <x:f>O540-40000</x:f>
        <x:v>239900</x:v>
      </x:c>
      <x:c r="Q540" s="647" t="n">
        <x:f>O540-20000</x:f>
        <x:v>259900</x:v>
      </x:c>
      <x:c r="R540" s="647" t="n">
        <x:f>O540-E540</x:f>
        <x:v>20000</x:v>
      </x:c>
      <x:c r="S540" s="647" t="n">
        <x:f>IF(P540&gt;0,P540-E540,"")</x:f>
        <x:v>-20000</x:v>
      </x:c>
      <x:c r="T540" s="647" t="n">
        <x:f>IF(Q540&gt;0,Q540-E540,"")</x:f>
        <x:v>0</x:v>
      </x:c>
      <x:c r="U540" s="648" t="n">
        <x:f>IF(R540&lt;30000,N540,0)</x:f>
        <x:v>0</x:v>
      </x:c>
      <x:c r="V540" s="648" t="n">
        <x:f>IF(P540&gt;0,N540,0)</x:f>
        <x:v>0</x:v>
      </x:c>
      <x:c r="W540" s="648" t="n">
        <x:f>IF(AND(P540&gt;0,S540&lt;0),N540,0)</x:f>
        <x:v>0</x:v>
      </x:c>
      <x:c r="X540" s="648" t="n">
        <x:f>IF(AND(P540&gt;0,S540=0),N540,0)</x:f>
        <x:v>0</x:v>
      </x:c>
      <x:c r="Y540" s="648" t="n">
        <x:f>IF(Q540&gt;0,N540,0)</x:f>
        <x:v>0</x:v>
      </x:c>
      <x:c r="Z540" s="647" t="n">
        <x:f>IF(P540&gt;0,N540*S540,0)</x:f>
        <x:v>0</x:v>
      </x:c>
      <x:c r="AA540" s="647" t="n">
        <x:f>IF(Q540&gt;0,N540*T540,0)</x:f>
        <x:v>0</x:v>
      </x:c>
      <x:c r="AB540" s="647" t="n">
        <x:f>N540*R540</x:f>
        <x:v>0</x:v>
      </x:c>
      <x:c r="AC540" s="647" t="n">
        <x:f>IF(N540&gt;0,R540,999999)</x:f>
        <x:v>999999</x:v>
      </x:c>
      <x:c r="AD540" s="647" t="n">
        <x:f>IF(AND(N540&gt;0,P540&gt;0),S540,999999)</x:f>
        <x:v>999999</x:v>
      </x:c>
      <x:c r="AE540" s="647" t="n">
        <x:f>IF(AND(N540&gt;0,Q540&gt;0),T540,999999)</x:f>
        <x:v>999999</x:v>
      </x:c>
      <x:c r="AF540" s="648" t="n">
        <x:f>B540*D540*F540*J540</x:f>
        <x:v>0.000029999999999999997</x:v>
      </x:c>
      <x:c r="AG540" s="648" t="n">
        <x:f>IF(P540&gt;0,AF540,0)</x:f>
        <x:v>0.000029999999999999997</x:v>
      </x:c>
      <x:c r="AH540" s="648" t="n">
        <x:f>IF(AND(P540&gt;0,S540&lt;0),AF540,0)</x:f>
        <x:v>0.000029999999999999997</x:v>
      </x:c>
      <x:c r="AI540" s="648" t="n">
        <x:f>IF(AND(P540&gt;0,S540=0),AF540,0)</x:f>
        <x:v>0</x:v>
      </x:c>
      <x:c r="AJ540" s="648" t="n">
        <x:f>IF(R540&lt;30000,AF540,0)</x:f>
        <x:v>0.000029999999999999997</x:v>
      </x:c>
      <x:c r="AK540" s="647" t="n">
        <x:f>IF(P540&gt;0,AF540*S540,0)</x:f>
        <x:v>-0.6</x:v>
      </x:c>
    </x:row>
    <x:row r="541" ht="22" customHeight="1">
      <x:c r="A541" s="19" t="str">
        <x:v>进取</x:v>
      </x:c>
      <x:c r="B541" s="23" t="n">
        <x:f>'114_降本系数'!B28</x:f>
        <x:v>0.15</x:v>
      </x:c>
      <x:c r="C541" s="19" t="str">
        <x:v>L3</x:v>
      </x:c>
      <x:c r="D541" s="23" t="n">
        <x:f>'130_联合算法'!C20</x:f>
        <x:v>0.1</x:v>
      </x:c>
      <x:c r="E541" s="460" t="n">
        <x:f>'117_价格概率传导'!A7</x:f>
        <x:v>253900</x:v>
      </x:c>
      <x:c r="F541" s="23" t="n">
        <x:f>'117_价格概率传导'!E7</x:f>
        <x:v>0.02</x:v>
      </x:c>
      <x:c r="G541" s="23" t="n">
        <x:f>SUM('117_价格概率传导'!$E$6:$E$6)</x:f>
        <x:v>0.01</x:v>
      </x:c>
      <x:c r="H541" s="23" t="n">
        <x:f>SUM('117_价格概率传导'!$E$6:$E$7)</x:f>
        <x:v>0.03</x:v>
      </x:c>
      <x:c r="I541" s="460" t="n">
        <x:f>'117_价格概率传导'!A16</x:f>
        <x:v>299900</x:v>
      </x:c>
      <x:c r="J541" s="23" t="n">
        <x:f>'117_价格概率传导'!E16</x:f>
        <x:v>0.01</x:v>
      </x:c>
      <x:c r="K541" s="23" t="n">
        <x:f>0</x:f>
        <x:v>0</x:v>
      </x:c>
      <x:c r="L541" s="23" t="n">
        <x:f>SUM('117_价格概率传导'!$E$16:$E$16)</x:f>
        <x:v>0.01</x:v>
      </x:c>
      <x:c r="M541" s="23" t="n">
        <x:f>MAX(0,MIN(H541,L541)-MAX(G541,K541))</x:f>
        <x:v>0</x:v>
      </x:c>
      <x:c r="N541" s="23" t="n">
        <x:f>B541*D541*M541</x:f>
        <x:v>0</x:v>
      </x:c>
      <x:c r="O541" s="460" t="n">
        <x:f>MIN(299900,I541+20000)</x:f>
        <x:v>299900</x:v>
      </x:c>
      <x:c r="P541" s="460" t="n">
        <x:f>O541-40000</x:f>
        <x:v>259900</x:v>
      </x:c>
      <x:c r="Q541" s="460" t="n">
        <x:f>O541-20000</x:f>
        <x:v>279900</x:v>
      </x:c>
      <x:c r="R541" s="460" t="n">
        <x:f>O541-E541</x:f>
        <x:v>46000</x:v>
      </x:c>
      <x:c r="S541" s="460" t="n">
        <x:f>IF(P541&gt;0,P541-E541,"")</x:f>
        <x:v>6000</x:v>
      </x:c>
      <x:c r="T541" s="460" t="n">
        <x:f>IF(Q541&gt;0,Q541-E541,"")</x:f>
        <x:v>26000</x:v>
      </x:c>
      <x:c r="U541" s="23" t="n">
        <x:f>IF(R541&lt;30000,N541,0)</x:f>
        <x:v>0</x:v>
      </x:c>
      <x:c r="V541" s="23" t="n">
        <x:f>IF(P541&gt;0,N541,0)</x:f>
        <x:v>0</x:v>
      </x:c>
      <x:c r="W541" s="23" t="n">
        <x:f>IF(AND(P541&gt;0,S541&lt;0),N541,0)</x:f>
        <x:v>0</x:v>
      </x:c>
      <x:c r="X541" s="23" t="n">
        <x:f>IF(AND(P541&gt;0,S541=0),N541,0)</x:f>
        <x:v>0</x:v>
      </x:c>
      <x:c r="Y541" s="23" t="n">
        <x:f>IF(Q541&gt;0,N541,0)</x:f>
        <x:v>0</x:v>
      </x:c>
      <x:c r="Z541" s="460" t="n">
        <x:f>IF(P541&gt;0,N541*S541,0)</x:f>
        <x:v>0</x:v>
      </x:c>
      <x:c r="AA541" s="460" t="n">
        <x:f>IF(Q541&gt;0,N541*T541,0)</x:f>
        <x:v>0</x:v>
      </x:c>
      <x:c r="AB541" s="460" t="n">
        <x:f>N541*R541</x:f>
        <x:v>0</x:v>
      </x:c>
      <x:c r="AC541" s="460" t="n">
        <x:f>IF(N541&gt;0,R541,999999)</x:f>
        <x:v>999999</x:v>
      </x:c>
      <x:c r="AD541" s="460" t="n">
        <x:f>IF(AND(N541&gt;0,P541&gt;0),S541,999999)</x:f>
        <x:v>999999</x:v>
      </x:c>
      <x:c r="AE541" s="460" t="n">
        <x:f>IF(AND(N541&gt;0,Q541&gt;0),T541,999999)</x:f>
        <x:v>999999</x:v>
      </x:c>
      <x:c r="AF541" s="23" t="n">
        <x:f>B541*D541*F541*J541</x:f>
        <x:v>0.0000029999999999999997</x:v>
      </x:c>
      <x:c r="AG541" s="23" t="n">
        <x:f>IF(P541&gt;0,AF541,0)</x:f>
        <x:v>0.0000029999999999999997</x:v>
      </x:c>
      <x:c r="AH541" s="23" t="n">
        <x:f>IF(AND(P541&gt;0,S541&lt;0),AF541,0)</x:f>
        <x:v>0</x:v>
      </x:c>
      <x:c r="AI541" s="23" t="n">
        <x:f>IF(AND(P541&gt;0,S541=0),AF541,0)</x:f>
        <x:v>0</x:v>
      </x:c>
      <x:c r="AJ541" s="23" t="n">
        <x:f>IF(R541&lt;30000,AF541,0)</x:f>
        <x:v>0</x:v>
      </x:c>
      <x:c r="AK541" s="460" t="n">
        <x:f>IF(P541&gt;0,AF541*S541,0)</x:f>
        <x:v>0.018</x:v>
      </x:c>
    </x:row>
    <x:row r="542" ht="22" customHeight="1">
      <x:c r="A542" s="643" t="str">
        <x:v>进取</x:v>
      </x:c>
      <x:c r="B542" s="648" t="n">
        <x:f>'114_降本系数'!B28</x:f>
        <x:v>0.15</x:v>
      </x:c>
      <x:c r="C542" s="643" t="str">
        <x:v>L3</x:v>
      </x:c>
      <x:c r="D542" s="648" t="n">
        <x:f>'130_联合算法'!C20</x:f>
        <x:v>0.1</x:v>
      </x:c>
      <x:c r="E542" s="647" t="n">
        <x:f>'117_价格概率传导'!A7</x:f>
        <x:v>253900</x:v>
      </x:c>
      <x:c r="F542" s="648" t="n">
        <x:f>'117_价格概率传导'!E7</x:f>
        <x:v>0.02</x:v>
      </x:c>
      <x:c r="G542" s="648" t="n">
        <x:f>SUM('117_价格概率传导'!$E$6:$E$6)</x:f>
        <x:v>0.01</x:v>
      </x:c>
      <x:c r="H542" s="648" t="n">
        <x:f>SUM('117_价格概率传导'!$E$6:$E$7)</x:f>
        <x:v>0.03</x:v>
      </x:c>
      <x:c r="I542" s="647" t="n">
        <x:f>'117_价格概率传导'!A17</x:f>
        <x:v>293900</x:v>
      </x:c>
      <x:c r="J542" s="648" t="n">
        <x:f>'117_价格概率传导'!E17</x:f>
        <x:v>0.01</x:v>
      </x:c>
      <x:c r="K542" s="648" t="n">
        <x:f>SUM('117_价格概率传导'!$E$16:$E$16)</x:f>
        <x:v>0.01</x:v>
      </x:c>
      <x:c r="L542" s="648" t="n">
        <x:f>SUM('117_价格概率传导'!$E$16:$E$17)</x:f>
        <x:v>0.02</x:v>
      </x:c>
      <x:c r="M542" s="648" t="n">
        <x:f>MAX(0,MIN(H542,L542)-MAX(G542,K542))</x:f>
        <x:v>0.01</x:v>
      </x:c>
      <x:c r="N542" s="648" t="n">
        <x:f>B542*D542*M542</x:f>
        <x:v>0.00015</x:v>
      </x:c>
      <x:c r="O542" s="647" t="n">
        <x:f>MIN(299900,I542+20000)</x:f>
        <x:v>299900</x:v>
      </x:c>
      <x:c r="P542" s="647" t="n">
        <x:f>O542-40000</x:f>
        <x:v>259900</x:v>
      </x:c>
      <x:c r="Q542" s="647" t="n">
        <x:f>O542-20000</x:f>
        <x:v>279900</x:v>
      </x:c>
      <x:c r="R542" s="647" t="n">
        <x:f>O542-E542</x:f>
        <x:v>46000</x:v>
      </x:c>
      <x:c r="S542" s="647" t="n">
        <x:f>IF(P542&gt;0,P542-E542,"")</x:f>
        <x:v>6000</x:v>
      </x:c>
      <x:c r="T542" s="647" t="n">
        <x:f>IF(Q542&gt;0,Q542-E542,"")</x:f>
        <x:v>26000</x:v>
      </x:c>
      <x:c r="U542" s="648" t="n">
        <x:f>IF(R542&lt;30000,N542,0)</x:f>
        <x:v>0</x:v>
      </x:c>
      <x:c r="V542" s="648" t="n">
        <x:f>IF(P542&gt;0,N542,0)</x:f>
        <x:v>0.00015</x:v>
      </x:c>
      <x:c r="W542" s="648" t="n">
        <x:f>IF(AND(P542&gt;0,S542&lt;0),N542,0)</x:f>
        <x:v>0</x:v>
      </x:c>
      <x:c r="X542" s="648" t="n">
        <x:f>IF(AND(P542&gt;0,S542=0),N542,0)</x:f>
        <x:v>0</x:v>
      </x:c>
      <x:c r="Y542" s="648" t="n">
        <x:f>IF(Q542&gt;0,N542,0)</x:f>
        <x:v>0.00015</x:v>
      </x:c>
      <x:c r="Z542" s="647" t="n">
        <x:f>IF(P542&gt;0,N542*S542,0)</x:f>
        <x:v>0.8999999999999999</x:v>
      </x:c>
      <x:c r="AA542" s="647" t="n">
        <x:f>IF(Q542&gt;0,N542*T542,0)</x:f>
        <x:v>3.8999999999999995</x:v>
      </x:c>
      <x:c r="AB542" s="647" t="n">
        <x:f>N542*R542</x:f>
        <x:v>6.8999999999999995</x:v>
      </x:c>
      <x:c r="AC542" s="647" t="n">
        <x:f>IF(N542&gt;0,R542,999999)</x:f>
        <x:v>46000</x:v>
      </x:c>
      <x:c r="AD542" s="647" t="n">
        <x:f>IF(AND(N542&gt;0,P542&gt;0),S542,999999)</x:f>
        <x:v>6000</x:v>
      </x:c>
      <x:c r="AE542" s="647" t="n">
        <x:f>IF(AND(N542&gt;0,Q542&gt;0),T542,999999)</x:f>
        <x:v>26000</x:v>
      </x:c>
      <x:c r="AF542" s="648" t="n">
        <x:f>B542*D542*F542*J542</x:f>
        <x:v>0.0000029999999999999997</x:v>
      </x:c>
      <x:c r="AG542" s="648" t="n">
        <x:f>IF(P542&gt;0,AF542,0)</x:f>
        <x:v>0.0000029999999999999997</x:v>
      </x:c>
      <x:c r="AH542" s="648" t="n">
        <x:f>IF(AND(P542&gt;0,S542&lt;0),AF542,0)</x:f>
        <x:v>0</x:v>
      </x:c>
      <x:c r="AI542" s="648" t="n">
        <x:f>IF(AND(P542&gt;0,S542=0),AF542,0)</x:f>
        <x:v>0</x:v>
      </x:c>
      <x:c r="AJ542" s="648" t="n">
        <x:f>IF(R542&lt;30000,AF542,0)</x:f>
        <x:v>0</x:v>
      </x:c>
      <x:c r="AK542" s="647" t="n">
        <x:f>IF(P542&gt;0,AF542*S542,0)</x:f>
        <x:v>0.018</x:v>
      </x:c>
    </x:row>
    <x:row r="543" ht="22" customHeight="1">
      <x:c r="A543" s="19" t="str">
        <x:v>进取</x:v>
      </x:c>
      <x:c r="B543" s="23" t="n">
        <x:f>'114_降本系数'!B28</x:f>
        <x:v>0.15</x:v>
      </x:c>
      <x:c r="C543" s="19" t="str">
        <x:v>L3</x:v>
      </x:c>
      <x:c r="D543" s="23" t="n">
        <x:f>'130_联合算法'!C20</x:f>
        <x:v>0.1</x:v>
      </x:c>
      <x:c r="E543" s="460" t="n">
        <x:f>'117_价格概率传导'!A7</x:f>
        <x:v>253900</x:v>
      </x:c>
      <x:c r="F543" s="23" t="n">
        <x:f>'117_价格概率传导'!E7</x:f>
        <x:v>0.02</x:v>
      </x:c>
      <x:c r="G543" s="23" t="n">
        <x:f>SUM('117_价格概率传导'!$E$6:$E$6)</x:f>
        <x:v>0.01</x:v>
      </x:c>
      <x:c r="H543" s="23" t="n">
        <x:f>SUM('117_价格概率传导'!$E$6:$E$7)</x:f>
        <x:v>0.03</x:v>
      </x:c>
      <x:c r="I543" s="460" t="n">
        <x:f>'117_价格概率传导'!A18</x:f>
        <x:v>289900</x:v>
      </x:c>
      <x:c r="J543" s="23" t="n">
        <x:f>'117_价格概率传导'!E18</x:f>
        <x:v>0.1</x:v>
      </x:c>
      <x:c r="K543" s="23" t="n">
        <x:f>SUM('117_价格概率传导'!$E$16:$E$17)</x:f>
        <x:v>0.02</x:v>
      </x:c>
      <x:c r="L543" s="23" t="n">
        <x:f>SUM('117_价格概率传导'!$E$16:$E$18)</x:f>
        <x:v>0.12000000000000001</x:v>
      </x:c>
      <x:c r="M543" s="23" t="n">
        <x:f>MAX(0,MIN(H543,L543)-MAX(G543,K543))</x:f>
        <x:v>0.009999999999999998</x:v>
      </x:c>
      <x:c r="N543" s="23" t="n">
        <x:f>B543*D543*M543</x:f>
        <x:v>0.00014999999999999996</x:v>
      </x:c>
      <x:c r="O543" s="460" t="n">
        <x:f>MIN(299900,I543+20000)</x:f>
        <x:v>299900</x:v>
      </x:c>
      <x:c r="P543" s="460" t="n">
        <x:f>O543-40000</x:f>
        <x:v>259900</x:v>
      </x:c>
      <x:c r="Q543" s="460" t="n">
        <x:f>O543-20000</x:f>
        <x:v>279900</x:v>
      </x:c>
      <x:c r="R543" s="460" t="n">
        <x:f>O543-E543</x:f>
        <x:v>46000</x:v>
      </x:c>
      <x:c r="S543" s="460" t="n">
        <x:f>IF(P543&gt;0,P543-E543,"")</x:f>
        <x:v>6000</x:v>
      </x:c>
      <x:c r="T543" s="460" t="n">
        <x:f>IF(Q543&gt;0,Q543-E543,"")</x:f>
        <x:v>26000</x:v>
      </x:c>
      <x:c r="U543" s="23" t="n">
        <x:f>IF(R543&lt;30000,N543,0)</x:f>
        <x:v>0</x:v>
      </x:c>
      <x:c r="V543" s="23" t="n">
        <x:f>IF(P543&gt;0,N543,0)</x:f>
        <x:v>0.00014999999999999996</x:v>
      </x:c>
      <x:c r="W543" s="23" t="n">
        <x:f>IF(AND(P543&gt;0,S543&lt;0),N543,0)</x:f>
        <x:v>0</x:v>
      </x:c>
      <x:c r="X543" s="23" t="n">
        <x:f>IF(AND(P543&gt;0,S543=0),N543,0)</x:f>
        <x:v>0</x:v>
      </x:c>
      <x:c r="Y543" s="23" t="n">
        <x:f>IF(Q543&gt;0,N543,0)</x:f>
        <x:v>0.00014999999999999996</x:v>
      </x:c>
      <x:c r="Z543" s="460" t="n">
        <x:f>IF(P543&gt;0,N543*S543,0)</x:f>
        <x:v>0.8999999999999998</x:v>
      </x:c>
      <x:c r="AA543" s="460" t="n">
        <x:f>IF(Q543&gt;0,N543*T543,0)</x:f>
        <x:v>3.899999999999999</x:v>
      </x:c>
      <x:c r="AB543" s="460" t="n">
        <x:f>N543*R543</x:f>
        <x:v>6.899999999999999</x:v>
      </x:c>
      <x:c r="AC543" s="460" t="n">
        <x:f>IF(N543&gt;0,R543,999999)</x:f>
        <x:v>46000</x:v>
      </x:c>
      <x:c r="AD543" s="460" t="n">
        <x:f>IF(AND(N543&gt;0,P543&gt;0),S543,999999)</x:f>
        <x:v>6000</x:v>
      </x:c>
      <x:c r="AE543" s="460" t="n">
        <x:f>IF(AND(N543&gt;0,Q543&gt;0),T543,999999)</x:f>
        <x:v>26000</x:v>
      </x:c>
      <x:c r="AF543" s="23" t="n">
        <x:f>B543*D543*F543*J543</x:f>
        <x:v>0.000029999999999999997</x:v>
      </x:c>
      <x:c r="AG543" s="23" t="n">
        <x:f>IF(P543&gt;0,AF543,0)</x:f>
        <x:v>0.000029999999999999997</x:v>
      </x:c>
      <x:c r="AH543" s="23" t="n">
        <x:f>IF(AND(P543&gt;0,S543&lt;0),AF543,0)</x:f>
        <x:v>0</x:v>
      </x:c>
      <x:c r="AI543" s="23" t="n">
        <x:f>IF(AND(P543&gt;0,S543=0),AF543,0)</x:f>
        <x:v>0</x:v>
      </x:c>
      <x:c r="AJ543" s="23" t="n">
        <x:f>IF(R543&lt;30000,AF543,0)</x:f>
        <x:v>0</x:v>
      </x:c>
      <x:c r="AK543" s="460" t="n">
        <x:f>IF(P543&gt;0,AF543*S543,0)</x:f>
        <x:v>0.18</x:v>
      </x:c>
    </x:row>
    <x:row r="544" ht="22" customHeight="1">
      <x:c r="A544" s="643" t="str">
        <x:v>进取</x:v>
      </x:c>
      <x:c r="B544" s="648" t="n">
        <x:f>'114_降本系数'!B28</x:f>
        <x:v>0.15</x:v>
      </x:c>
      <x:c r="C544" s="643" t="str">
        <x:v>L3</x:v>
      </x:c>
      <x:c r="D544" s="648" t="n">
        <x:f>'130_联合算法'!C20</x:f>
        <x:v>0.1</x:v>
      </x:c>
      <x:c r="E544" s="647" t="n">
        <x:f>'117_价格概率传导'!A7</x:f>
        <x:v>253900</x:v>
      </x:c>
      <x:c r="F544" s="648" t="n">
        <x:f>'117_价格概率传导'!E7</x:f>
        <x:v>0.02</x:v>
      </x:c>
      <x:c r="G544" s="648" t="n">
        <x:f>SUM('117_价格概率传导'!$E$6:$E$6)</x:f>
        <x:v>0.01</x:v>
      </x:c>
      <x:c r="H544" s="648" t="n">
        <x:f>SUM('117_价格概率传导'!$E$6:$E$7)</x:f>
        <x:v>0.03</x:v>
      </x:c>
      <x:c r="I544" s="647" t="n">
        <x:f>'117_价格概率传导'!A19</x:f>
        <x:v>279900</x:v>
      </x:c>
      <x:c r="J544" s="648" t="n">
        <x:f>'117_价格概率传导'!E19</x:f>
        <x:v>0.3</x:v>
      </x:c>
      <x:c r="K544" s="648" t="n">
        <x:f>SUM('117_价格概率传导'!$E$16:$E$18)</x:f>
        <x:v>0.12000000000000001</x:v>
      </x:c>
      <x:c r="L544" s="648" t="n">
        <x:f>SUM('117_价格概率传导'!$E$16:$E$19)</x:f>
        <x:v>0.42</x:v>
      </x:c>
      <x:c r="M544" s="648" t="n">
        <x:f>MAX(0,MIN(H544,L544)-MAX(G544,K544))</x:f>
        <x:v>0</x:v>
      </x:c>
      <x:c r="N544" s="648" t="n">
        <x:f>B544*D544*M544</x:f>
        <x:v>0</x:v>
      </x:c>
      <x:c r="O544" s="647" t="n">
        <x:f>MIN(299900,I544+20000)</x:f>
        <x:v>299900</x:v>
      </x:c>
      <x:c r="P544" s="647" t="n">
        <x:f>O544-40000</x:f>
        <x:v>259900</x:v>
      </x:c>
      <x:c r="Q544" s="647" t="n">
        <x:f>O544-20000</x:f>
        <x:v>279900</x:v>
      </x:c>
      <x:c r="R544" s="647" t="n">
        <x:f>O544-E544</x:f>
        <x:v>46000</x:v>
      </x:c>
      <x:c r="S544" s="647" t="n">
        <x:f>IF(P544&gt;0,P544-E544,"")</x:f>
        <x:v>6000</x:v>
      </x:c>
      <x:c r="T544" s="647" t="n">
        <x:f>IF(Q544&gt;0,Q544-E544,"")</x:f>
        <x:v>26000</x:v>
      </x:c>
      <x:c r="U544" s="648" t="n">
        <x:f>IF(R544&lt;30000,N544,0)</x:f>
        <x:v>0</x:v>
      </x:c>
      <x:c r="V544" s="648" t="n">
        <x:f>IF(P544&gt;0,N544,0)</x:f>
        <x:v>0</x:v>
      </x:c>
      <x:c r="W544" s="648" t="n">
        <x:f>IF(AND(P544&gt;0,S544&lt;0),N544,0)</x:f>
        <x:v>0</x:v>
      </x:c>
      <x:c r="X544" s="648" t="n">
        <x:f>IF(AND(P544&gt;0,S544=0),N544,0)</x:f>
        <x:v>0</x:v>
      </x:c>
      <x:c r="Y544" s="648" t="n">
        <x:f>IF(Q544&gt;0,N544,0)</x:f>
        <x:v>0</x:v>
      </x:c>
      <x:c r="Z544" s="647" t="n">
        <x:f>IF(P544&gt;0,N544*S544,0)</x:f>
        <x:v>0</x:v>
      </x:c>
      <x:c r="AA544" s="647" t="n">
        <x:f>IF(Q544&gt;0,N544*T544,0)</x:f>
        <x:v>0</x:v>
      </x:c>
      <x:c r="AB544" s="647" t="n">
        <x:f>N544*R544</x:f>
        <x:v>0</x:v>
      </x:c>
      <x:c r="AC544" s="647" t="n">
        <x:f>IF(N544&gt;0,R544,999999)</x:f>
        <x:v>999999</x:v>
      </x:c>
      <x:c r="AD544" s="647" t="n">
        <x:f>IF(AND(N544&gt;0,P544&gt;0),S544,999999)</x:f>
        <x:v>999999</x:v>
      </x:c>
      <x:c r="AE544" s="647" t="n">
        <x:f>IF(AND(N544&gt;0,Q544&gt;0),T544,999999)</x:f>
        <x:v>999999</x:v>
      </x:c>
      <x:c r="AF544" s="648" t="n">
        <x:f>B544*D544*F544*J544</x:f>
        <x:v>0.00008999999999999999</x:v>
      </x:c>
      <x:c r="AG544" s="648" t="n">
        <x:f>IF(P544&gt;0,AF544,0)</x:f>
        <x:v>0.00008999999999999999</x:v>
      </x:c>
      <x:c r="AH544" s="648" t="n">
        <x:f>IF(AND(P544&gt;0,S544&lt;0),AF544,0)</x:f>
        <x:v>0</x:v>
      </x:c>
      <x:c r="AI544" s="648" t="n">
        <x:f>IF(AND(P544&gt;0,S544=0),AF544,0)</x:f>
        <x:v>0</x:v>
      </x:c>
      <x:c r="AJ544" s="648" t="n">
        <x:f>IF(R544&lt;30000,AF544,0)</x:f>
        <x:v>0</x:v>
      </x:c>
      <x:c r="AK544" s="647" t="n">
        <x:f>IF(P544&gt;0,AF544*S544,0)</x:f>
        <x:v>0.5399999999999999</x:v>
      </x:c>
    </x:row>
    <x:row r="545" ht="22" customHeight="1">
      <x:c r="A545" s="19" t="str">
        <x:v>进取</x:v>
      </x:c>
      <x:c r="B545" s="23" t="n">
        <x:f>'114_降本系数'!B28</x:f>
        <x:v>0.15</x:v>
      </x:c>
      <x:c r="C545" s="19" t="str">
        <x:v>L3</x:v>
      </x:c>
      <x:c r="D545" s="23" t="n">
        <x:f>'130_联合算法'!C20</x:f>
        <x:v>0.1</x:v>
      </x:c>
      <x:c r="E545" s="460" t="n">
        <x:f>'117_价格概率传导'!A7</x:f>
        <x:v>253900</x:v>
      </x:c>
      <x:c r="F545" s="23" t="n">
        <x:f>'117_价格概率传导'!E7</x:f>
        <x:v>0.02</x:v>
      </x:c>
      <x:c r="G545" s="23" t="n">
        <x:f>SUM('117_价格概率传导'!$E$6:$E$6)</x:f>
        <x:v>0.01</x:v>
      </x:c>
      <x:c r="H545" s="23" t="n">
        <x:f>SUM('117_价格概率传导'!$E$6:$E$7)</x:f>
        <x:v>0.03</x:v>
      </x:c>
      <x:c r="I545" s="460" t="n">
        <x:f>'117_价格概率传导'!A20</x:f>
        <x:v>269900</x:v>
      </x:c>
      <x:c r="J545" s="23" t="n">
        <x:f>'117_价格概率传导'!E20</x:f>
        <x:v>0.38</x:v>
      </x:c>
      <x:c r="K545" s="23" t="n">
        <x:f>SUM('117_价格概率传导'!$E$16:$E$19)</x:f>
        <x:v>0.42</x:v>
      </x:c>
      <x:c r="L545" s="23" t="n">
        <x:f>SUM('117_价格概率传导'!$E$16:$E$20)</x:f>
        <x:v>0.8</x:v>
      </x:c>
      <x:c r="M545" s="23" t="n">
        <x:f>MAX(0,MIN(H545,L545)-MAX(G545,K545))</x:f>
        <x:v>0</x:v>
      </x:c>
      <x:c r="N545" s="23" t="n">
        <x:f>B545*D545*M545</x:f>
        <x:v>0</x:v>
      </x:c>
      <x:c r="O545" s="460" t="n">
        <x:f>MIN(299900,I545+20000)</x:f>
        <x:v>289900</x:v>
      </x:c>
      <x:c r="P545" s="460" t="n">
        <x:f>O545-40000</x:f>
        <x:v>249900</x:v>
      </x:c>
      <x:c r="Q545" s="460" t="n">
        <x:f>O545-20000</x:f>
        <x:v>269900</x:v>
      </x:c>
      <x:c r="R545" s="460" t="n">
        <x:f>O545-E545</x:f>
        <x:v>36000</x:v>
      </x:c>
      <x:c r="S545" s="460" t="n">
        <x:f>IF(P545&gt;0,P545-E545,"")</x:f>
        <x:v>-4000</x:v>
      </x:c>
      <x:c r="T545" s="460" t="n">
        <x:f>IF(Q545&gt;0,Q545-E545,"")</x:f>
        <x:v>16000</x:v>
      </x:c>
      <x:c r="U545" s="23" t="n">
        <x:f>IF(R545&lt;30000,N545,0)</x:f>
        <x:v>0</x:v>
      </x:c>
      <x:c r="V545" s="23" t="n">
        <x:f>IF(P545&gt;0,N545,0)</x:f>
        <x:v>0</x:v>
      </x:c>
      <x:c r="W545" s="23" t="n">
        <x:f>IF(AND(P545&gt;0,S545&lt;0),N545,0)</x:f>
        <x:v>0</x:v>
      </x:c>
      <x:c r="X545" s="23" t="n">
        <x:f>IF(AND(P545&gt;0,S545=0),N545,0)</x:f>
        <x:v>0</x:v>
      </x:c>
      <x:c r="Y545" s="23" t="n">
        <x:f>IF(Q545&gt;0,N545,0)</x:f>
        <x:v>0</x:v>
      </x:c>
      <x:c r="Z545" s="460" t="n">
        <x:f>IF(P545&gt;0,N545*S545,0)</x:f>
        <x:v>0</x:v>
      </x:c>
      <x:c r="AA545" s="460" t="n">
        <x:f>IF(Q545&gt;0,N545*T545,0)</x:f>
        <x:v>0</x:v>
      </x:c>
      <x:c r="AB545" s="460" t="n">
        <x:f>N545*R545</x:f>
        <x:v>0</x:v>
      </x:c>
      <x:c r="AC545" s="460" t="n">
        <x:f>IF(N545&gt;0,R545,999999)</x:f>
        <x:v>999999</x:v>
      </x:c>
      <x:c r="AD545" s="460" t="n">
        <x:f>IF(AND(N545&gt;0,P545&gt;0),S545,999999)</x:f>
        <x:v>999999</x:v>
      </x:c>
      <x:c r="AE545" s="460" t="n">
        <x:f>IF(AND(N545&gt;0,Q545&gt;0),T545,999999)</x:f>
        <x:v>999999</x:v>
      </x:c>
      <x:c r="AF545" s="23" t="n">
        <x:f>B545*D545*F545*J545</x:f>
        <x:v>0.00011399999999999999</x:v>
      </x:c>
      <x:c r="AG545" s="23" t="n">
        <x:f>IF(P545&gt;0,AF545,0)</x:f>
        <x:v>0.00011399999999999999</x:v>
      </x:c>
      <x:c r="AH545" s="23" t="n">
        <x:f>IF(AND(P545&gt;0,S545&lt;0),AF545,0)</x:f>
        <x:v>0.00011399999999999999</x:v>
      </x:c>
      <x:c r="AI545" s="23" t="n">
        <x:f>IF(AND(P545&gt;0,S545=0),AF545,0)</x:f>
        <x:v>0</x:v>
      </x:c>
      <x:c r="AJ545" s="23" t="n">
        <x:f>IF(R545&lt;30000,AF545,0)</x:f>
        <x:v>0</x:v>
      </x:c>
      <x:c r="AK545" s="460" t="n">
        <x:f>IF(P545&gt;0,AF545*S545,0)</x:f>
        <x:v>-0.45599999999999996</x:v>
      </x:c>
    </x:row>
    <x:row r="546" ht="22" customHeight="1">
      <x:c r="A546" s="643" t="str">
        <x:v>进取</x:v>
      </x:c>
      <x:c r="B546" s="648" t="n">
        <x:f>'114_降本系数'!B28</x:f>
        <x:v>0.15</x:v>
      </x:c>
      <x:c r="C546" s="643" t="str">
        <x:v>L3</x:v>
      </x:c>
      <x:c r="D546" s="648" t="n">
        <x:f>'130_联合算法'!C20</x:f>
        <x:v>0.1</x:v>
      </x:c>
      <x:c r="E546" s="647" t="n">
        <x:f>'117_价格概率传导'!A7</x:f>
        <x:v>253900</x:v>
      </x:c>
      <x:c r="F546" s="648" t="n">
        <x:f>'117_价格概率传导'!E7</x:f>
        <x:v>0.02</x:v>
      </x:c>
      <x:c r="G546" s="648" t="n">
        <x:f>SUM('117_价格概率传导'!$E$6:$E$6)</x:f>
        <x:v>0.01</x:v>
      </x:c>
      <x:c r="H546" s="648" t="n">
        <x:f>SUM('117_价格概率传导'!$E$6:$E$7)</x:f>
        <x:v>0.03</x:v>
      </x:c>
      <x:c r="I546" s="647" t="n">
        <x:f>'117_价格概率传导'!A21</x:f>
        <x:v>259900</x:v>
      </x:c>
      <x:c r="J546" s="648" t="n">
        <x:f>'117_价格概率传导'!E21</x:f>
        <x:v>0.2</x:v>
      </x:c>
      <x:c r="K546" s="648" t="n">
        <x:f>SUM('117_价格概率传导'!$E$16:$E$20)</x:f>
        <x:v>0.8</x:v>
      </x:c>
      <x:c r="L546" s="648" t="n">
        <x:f>SUM('117_价格概率传导'!$E$16:$E$21)</x:f>
        <x:v>1</x:v>
      </x:c>
      <x:c r="M546" s="648" t="n">
        <x:f>MAX(0,MIN(H546,L546)-MAX(G546,K546))</x:f>
        <x:v>0</x:v>
      </x:c>
      <x:c r="N546" s="648" t="n">
        <x:f>B546*D546*M546</x:f>
        <x:v>0</x:v>
      </x:c>
      <x:c r="O546" s="647" t="n">
        <x:f>MIN(299900,I546+20000)</x:f>
        <x:v>279900</x:v>
      </x:c>
      <x:c r="P546" s="647" t="n">
        <x:f>O546-40000</x:f>
        <x:v>239900</x:v>
      </x:c>
      <x:c r="Q546" s="647" t="n">
        <x:f>O546-20000</x:f>
        <x:v>259900</x:v>
      </x:c>
      <x:c r="R546" s="647" t="n">
        <x:f>O546-E546</x:f>
        <x:v>26000</x:v>
      </x:c>
      <x:c r="S546" s="647" t="n">
        <x:f>IF(P546&gt;0,P546-E546,"")</x:f>
        <x:v>-14000</x:v>
      </x:c>
      <x:c r="T546" s="647" t="n">
        <x:f>IF(Q546&gt;0,Q546-E546,"")</x:f>
        <x:v>6000</x:v>
      </x:c>
      <x:c r="U546" s="648" t="n">
        <x:f>IF(R546&lt;30000,N546,0)</x:f>
        <x:v>0</x:v>
      </x:c>
      <x:c r="V546" s="648" t="n">
        <x:f>IF(P546&gt;0,N546,0)</x:f>
        <x:v>0</x:v>
      </x:c>
      <x:c r="W546" s="648" t="n">
        <x:f>IF(AND(P546&gt;0,S546&lt;0),N546,0)</x:f>
        <x:v>0</x:v>
      </x:c>
      <x:c r="X546" s="648" t="n">
        <x:f>IF(AND(P546&gt;0,S546=0),N546,0)</x:f>
        <x:v>0</x:v>
      </x:c>
      <x:c r="Y546" s="648" t="n">
        <x:f>IF(Q546&gt;0,N546,0)</x:f>
        <x:v>0</x:v>
      </x:c>
      <x:c r="Z546" s="647" t="n">
        <x:f>IF(P546&gt;0,N546*S546,0)</x:f>
        <x:v>0</x:v>
      </x:c>
      <x:c r="AA546" s="647" t="n">
        <x:f>IF(Q546&gt;0,N546*T546,0)</x:f>
        <x:v>0</x:v>
      </x:c>
      <x:c r="AB546" s="647" t="n">
        <x:f>N546*R546</x:f>
        <x:v>0</x:v>
      </x:c>
      <x:c r="AC546" s="647" t="n">
        <x:f>IF(N546&gt;0,R546,999999)</x:f>
        <x:v>999999</x:v>
      </x:c>
      <x:c r="AD546" s="647" t="n">
        <x:f>IF(AND(N546&gt;0,P546&gt;0),S546,999999)</x:f>
        <x:v>999999</x:v>
      </x:c>
      <x:c r="AE546" s="647" t="n">
        <x:f>IF(AND(N546&gt;0,Q546&gt;0),T546,999999)</x:f>
        <x:v>999999</x:v>
      </x:c>
      <x:c r="AF546" s="648" t="n">
        <x:f>B546*D546*F546*J546</x:f>
        <x:v>0.000059999999999999995</x:v>
      </x:c>
      <x:c r="AG546" s="648" t="n">
        <x:f>IF(P546&gt;0,AF546,0)</x:f>
        <x:v>0.000059999999999999995</x:v>
      </x:c>
      <x:c r="AH546" s="648" t="n">
        <x:f>IF(AND(P546&gt;0,S546&lt;0),AF546,0)</x:f>
        <x:v>0.000059999999999999995</x:v>
      </x:c>
      <x:c r="AI546" s="648" t="n">
        <x:f>IF(AND(P546&gt;0,S546=0),AF546,0)</x:f>
        <x:v>0</x:v>
      </x:c>
      <x:c r="AJ546" s="648" t="n">
        <x:f>IF(R546&lt;30000,AF546,0)</x:f>
        <x:v>0.000059999999999999995</x:v>
      </x:c>
      <x:c r="AK546" s="647" t="n">
        <x:f>IF(P546&gt;0,AF546*S546,0)</x:f>
        <x:v>-0.84</x:v>
      </x:c>
    </x:row>
    <x:row r="547" ht="22" customHeight="1">
      <x:c r="A547" s="19" t="str">
        <x:v>进取</x:v>
      </x:c>
      <x:c r="B547" s="23" t="n">
        <x:f>'114_降本系数'!B28</x:f>
        <x:v>0.15</x:v>
      </x:c>
      <x:c r="C547" s="19" t="str">
        <x:v>L3</x:v>
      </x:c>
      <x:c r="D547" s="23" t="n">
        <x:f>'130_联合算法'!C20</x:f>
        <x:v>0.1</x:v>
      </x:c>
      <x:c r="E547" s="460" t="n">
        <x:f>'117_价格概率传导'!A8</x:f>
        <x:v>249900</x:v>
      </x:c>
      <x:c r="F547" s="23" t="n">
        <x:f>'117_价格概率传导'!E8</x:f>
        <x:v>0.22</x:v>
      </x:c>
      <x:c r="G547" s="23" t="n">
        <x:f>SUM('117_价格概率传导'!$E$6:$E$7)</x:f>
        <x:v>0.03</x:v>
      </x:c>
      <x:c r="H547" s="23" t="n">
        <x:f>SUM('117_价格概率传导'!$E$6:$E$8)</x:f>
        <x:v>0.25</x:v>
      </x:c>
      <x:c r="I547" s="460" t="n">
        <x:f>'117_价格概率传导'!A16</x:f>
        <x:v>299900</x:v>
      </x:c>
      <x:c r="J547" s="23" t="n">
        <x:f>'117_价格概率传导'!E16</x:f>
        <x:v>0.01</x:v>
      </x:c>
      <x:c r="K547" s="23" t="n">
        <x:f>0</x:f>
        <x:v>0</x:v>
      </x:c>
      <x:c r="L547" s="23" t="n">
        <x:f>SUM('117_价格概率传导'!$E$16:$E$16)</x:f>
        <x:v>0.01</x:v>
      </x:c>
      <x:c r="M547" s="23" t="n">
        <x:f>MAX(0,MIN(H547,L547)-MAX(G547,K547))</x:f>
        <x:v>0</x:v>
      </x:c>
      <x:c r="N547" s="23" t="n">
        <x:f>B547*D547*M547</x:f>
        <x:v>0</x:v>
      </x:c>
      <x:c r="O547" s="460" t="n">
        <x:f>MIN(299900,I547+20000)</x:f>
        <x:v>299900</x:v>
      </x:c>
      <x:c r="P547" s="460" t="n">
        <x:f>O547-40000</x:f>
        <x:v>259900</x:v>
      </x:c>
      <x:c r="Q547" s="460" t="n">
        <x:f>O547-20000</x:f>
        <x:v>279900</x:v>
      </x:c>
      <x:c r="R547" s="460" t="n">
        <x:f>O547-E547</x:f>
        <x:v>50000</x:v>
      </x:c>
      <x:c r="S547" s="460" t="n">
        <x:f>IF(P547&gt;0,P547-E547,"")</x:f>
        <x:v>10000</x:v>
      </x:c>
      <x:c r="T547" s="460" t="n">
        <x:f>IF(Q547&gt;0,Q547-E547,"")</x:f>
        <x:v>30000</x:v>
      </x:c>
      <x:c r="U547" s="23" t="n">
        <x:f>IF(R547&lt;30000,N547,0)</x:f>
        <x:v>0</x:v>
      </x:c>
      <x:c r="V547" s="23" t="n">
        <x:f>IF(P547&gt;0,N547,0)</x:f>
        <x:v>0</x:v>
      </x:c>
      <x:c r="W547" s="23" t="n">
        <x:f>IF(AND(P547&gt;0,S547&lt;0),N547,0)</x:f>
        <x:v>0</x:v>
      </x:c>
      <x:c r="X547" s="23" t="n">
        <x:f>IF(AND(P547&gt;0,S547=0),N547,0)</x:f>
        <x:v>0</x:v>
      </x:c>
      <x:c r="Y547" s="23" t="n">
        <x:f>IF(Q547&gt;0,N547,0)</x:f>
        <x:v>0</x:v>
      </x:c>
      <x:c r="Z547" s="460" t="n">
        <x:f>IF(P547&gt;0,N547*S547,0)</x:f>
        <x:v>0</x:v>
      </x:c>
      <x:c r="AA547" s="460" t="n">
        <x:f>IF(Q547&gt;0,N547*T547,0)</x:f>
        <x:v>0</x:v>
      </x:c>
      <x:c r="AB547" s="460" t="n">
        <x:f>N547*R547</x:f>
        <x:v>0</x:v>
      </x:c>
      <x:c r="AC547" s="460" t="n">
        <x:f>IF(N547&gt;0,R547,999999)</x:f>
        <x:v>999999</x:v>
      </x:c>
      <x:c r="AD547" s="460" t="n">
        <x:f>IF(AND(N547&gt;0,P547&gt;0),S547,999999)</x:f>
        <x:v>999999</x:v>
      </x:c>
      <x:c r="AE547" s="460" t="n">
        <x:f>IF(AND(N547&gt;0,Q547&gt;0),T547,999999)</x:f>
        <x:v>999999</x:v>
      </x:c>
      <x:c r="AF547" s="23" t="n">
        <x:f>B547*D547*F547*J547</x:f>
        <x:v>0.000033</x:v>
      </x:c>
      <x:c r="AG547" s="23" t="n">
        <x:f>IF(P547&gt;0,AF547,0)</x:f>
        <x:v>0.000033</x:v>
      </x:c>
      <x:c r="AH547" s="23" t="n">
        <x:f>IF(AND(P547&gt;0,S547&lt;0),AF547,0)</x:f>
        <x:v>0</x:v>
      </x:c>
      <x:c r="AI547" s="23" t="n">
        <x:f>IF(AND(P547&gt;0,S547=0),AF547,0)</x:f>
        <x:v>0</x:v>
      </x:c>
      <x:c r="AJ547" s="23" t="n">
        <x:f>IF(R547&lt;30000,AF547,0)</x:f>
        <x:v>0</x:v>
      </x:c>
      <x:c r="AK547" s="460" t="n">
        <x:f>IF(P547&gt;0,AF547*S547,0)</x:f>
        <x:v>0.33</x:v>
      </x:c>
    </x:row>
    <x:row r="548" ht="22" customHeight="1">
      <x:c r="A548" s="643" t="str">
        <x:v>进取</x:v>
      </x:c>
      <x:c r="B548" s="648" t="n">
        <x:f>'114_降本系数'!B28</x:f>
        <x:v>0.15</x:v>
      </x:c>
      <x:c r="C548" s="643" t="str">
        <x:v>L3</x:v>
      </x:c>
      <x:c r="D548" s="648" t="n">
        <x:f>'130_联合算法'!C20</x:f>
        <x:v>0.1</x:v>
      </x:c>
      <x:c r="E548" s="647" t="n">
        <x:f>'117_价格概率传导'!A8</x:f>
        <x:v>249900</x:v>
      </x:c>
      <x:c r="F548" s="648" t="n">
        <x:f>'117_价格概率传导'!E8</x:f>
        <x:v>0.22</x:v>
      </x:c>
      <x:c r="G548" s="648" t="n">
        <x:f>SUM('117_价格概率传导'!$E$6:$E$7)</x:f>
        <x:v>0.03</x:v>
      </x:c>
      <x:c r="H548" s="648" t="n">
        <x:f>SUM('117_价格概率传导'!$E$6:$E$8)</x:f>
        <x:v>0.25</x:v>
      </x:c>
      <x:c r="I548" s="647" t="n">
        <x:f>'117_价格概率传导'!A17</x:f>
        <x:v>293900</x:v>
      </x:c>
      <x:c r="J548" s="648" t="n">
        <x:f>'117_价格概率传导'!E17</x:f>
        <x:v>0.01</x:v>
      </x:c>
      <x:c r="K548" s="648" t="n">
        <x:f>SUM('117_价格概率传导'!$E$16:$E$16)</x:f>
        <x:v>0.01</x:v>
      </x:c>
      <x:c r="L548" s="648" t="n">
        <x:f>SUM('117_价格概率传导'!$E$16:$E$17)</x:f>
        <x:v>0.02</x:v>
      </x:c>
      <x:c r="M548" s="648" t="n">
        <x:f>MAX(0,MIN(H548,L548)-MAX(G548,K548))</x:f>
        <x:v>0</x:v>
      </x:c>
      <x:c r="N548" s="648" t="n">
        <x:f>B548*D548*M548</x:f>
        <x:v>0</x:v>
      </x:c>
      <x:c r="O548" s="647" t="n">
        <x:f>MIN(299900,I548+20000)</x:f>
        <x:v>299900</x:v>
      </x:c>
      <x:c r="P548" s="647" t="n">
        <x:f>O548-40000</x:f>
        <x:v>259900</x:v>
      </x:c>
      <x:c r="Q548" s="647" t="n">
        <x:f>O548-20000</x:f>
        <x:v>279900</x:v>
      </x:c>
      <x:c r="R548" s="647" t="n">
        <x:f>O548-E548</x:f>
        <x:v>50000</x:v>
      </x:c>
      <x:c r="S548" s="647" t="n">
        <x:f>IF(P548&gt;0,P548-E548,"")</x:f>
        <x:v>10000</x:v>
      </x:c>
      <x:c r="T548" s="647" t="n">
        <x:f>IF(Q548&gt;0,Q548-E548,"")</x:f>
        <x:v>30000</x:v>
      </x:c>
      <x:c r="U548" s="648" t="n">
        <x:f>IF(R548&lt;30000,N548,0)</x:f>
        <x:v>0</x:v>
      </x:c>
      <x:c r="V548" s="648" t="n">
        <x:f>IF(P548&gt;0,N548,0)</x:f>
        <x:v>0</x:v>
      </x:c>
      <x:c r="W548" s="648" t="n">
        <x:f>IF(AND(P548&gt;0,S548&lt;0),N548,0)</x:f>
        <x:v>0</x:v>
      </x:c>
      <x:c r="X548" s="648" t="n">
        <x:f>IF(AND(P548&gt;0,S548=0),N548,0)</x:f>
        <x:v>0</x:v>
      </x:c>
      <x:c r="Y548" s="648" t="n">
        <x:f>IF(Q548&gt;0,N548,0)</x:f>
        <x:v>0</x:v>
      </x:c>
      <x:c r="Z548" s="647" t="n">
        <x:f>IF(P548&gt;0,N548*S548,0)</x:f>
        <x:v>0</x:v>
      </x:c>
      <x:c r="AA548" s="647" t="n">
        <x:f>IF(Q548&gt;0,N548*T548,0)</x:f>
        <x:v>0</x:v>
      </x:c>
      <x:c r="AB548" s="647" t="n">
        <x:f>N548*R548</x:f>
        <x:v>0</x:v>
      </x:c>
      <x:c r="AC548" s="647" t="n">
        <x:f>IF(N548&gt;0,R548,999999)</x:f>
        <x:v>999999</x:v>
      </x:c>
      <x:c r="AD548" s="647" t="n">
        <x:f>IF(AND(N548&gt;0,P548&gt;0),S548,999999)</x:f>
        <x:v>999999</x:v>
      </x:c>
      <x:c r="AE548" s="647" t="n">
        <x:f>IF(AND(N548&gt;0,Q548&gt;0),T548,999999)</x:f>
        <x:v>999999</x:v>
      </x:c>
      <x:c r="AF548" s="648" t="n">
        <x:f>B548*D548*F548*J548</x:f>
        <x:v>0.000033</x:v>
      </x:c>
      <x:c r="AG548" s="648" t="n">
        <x:f>IF(P548&gt;0,AF548,0)</x:f>
        <x:v>0.000033</x:v>
      </x:c>
      <x:c r="AH548" s="648" t="n">
        <x:f>IF(AND(P548&gt;0,S548&lt;0),AF548,0)</x:f>
        <x:v>0</x:v>
      </x:c>
      <x:c r="AI548" s="648" t="n">
        <x:f>IF(AND(P548&gt;0,S548=0),AF548,0)</x:f>
        <x:v>0</x:v>
      </x:c>
      <x:c r="AJ548" s="648" t="n">
        <x:f>IF(R548&lt;30000,AF548,0)</x:f>
        <x:v>0</x:v>
      </x:c>
      <x:c r="AK548" s="647" t="n">
        <x:f>IF(P548&gt;0,AF548*S548,0)</x:f>
        <x:v>0.33</x:v>
      </x:c>
    </x:row>
    <x:row r="549" ht="22" customHeight="1">
      <x:c r="A549" s="19" t="str">
        <x:v>进取</x:v>
      </x:c>
      <x:c r="B549" s="23" t="n">
        <x:f>'114_降本系数'!B28</x:f>
        <x:v>0.15</x:v>
      </x:c>
      <x:c r="C549" s="19" t="str">
        <x:v>L3</x:v>
      </x:c>
      <x:c r="D549" s="23" t="n">
        <x:f>'130_联合算法'!C20</x:f>
        <x:v>0.1</x:v>
      </x:c>
      <x:c r="E549" s="460" t="n">
        <x:f>'117_价格概率传导'!A8</x:f>
        <x:v>249900</x:v>
      </x:c>
      <x:c r="F549" s="23" t="n">
        <x:f>'117_价格概率传导'!E8</x:f>
        <x:v>0.22</x:v>
      </x:c>
      <x:c r="G549" s="23" t="n">
        <x:f>SUM('117_价格概率传导'!$E$6:$E$7)</x:f>
        <x:v>0.03</x:v>
      </x:c>
      <x:c r="H549" s="23" t="n">
        <x:f>SUM('117_价格概率传导'!$E$6:$E$8)</x:f>
        <x:v>0.25</x:v>
      </x:c>
      <x:c r="I549" s="460" t="n">
        <x:f>'117_价格概率传导'!A18</x:f>
        <x:v>289900</x:v>
      </x:c>
      <x:c r="J549" s="23" t="n">
        <x:f>'117_价格概率传导'!E18</x:f>
        <x:v>0.1</x:v>
      </x:c>
      <x:c r="K549" s="23" t="n">
        <x:f>SUM('117_价格概率传导'!$E$16:$E$17)</x:f>
        <x:v>0.02</x:v>
      </x:c>
      <x:c r="L549" s="23" t="n">
        <x:f>SUM('117_价格概率传导'!$E$16:$E$18)</x:f>
        <x:v>0.12000000000000001</x:v>
      </x:c>
      <x:c r="M549" s="23" t="n">
        <x:f>MAX(0,MIN(H549,L549)-MAX(G549,K549))</x:f>
        <x:v>0.09000000000000001</x:v>
      </x:c>
      <x:c r="N549" s="23" t="n">
        <x:f>B549*D549*M549</x:f>
        <x:v>0.00135</x:v>
      </x:c>
      <x:c r="O549" s="460" t="n">
        <x:f>MIN(299900,I549+20000)</x:f>
        <x:v>299900</x:v>
      </x:c>
      <x:c r="P549" s="460" t="n">
        <x:f>O549-40000</x:f>
        <x:v>259900</x:v>
      </x:c>
      <x:c r="Q549" s="460" t="n">
        <x:f>O549-20000</x:f>
        <x:v>279900</x:v>
      </x:c>
      <x:c r="R549" s="460" t="n">
        <x:f>O549-E549</x:f>
        <x:v>50000</x:v>
      </x:c>
      <x:c r="S549" s="460" t="n">
        <x:f>IF(P549&gt;0,P549-E549,"")</x:f>
        <x:v>10000</x:v>
      </x:c>
      <x:c r="T549" s="460" t="n">
        <x:f>IF(Q549&gt;0,Q549-E549,"")</x:f>
        <x:v>30000</x:v>
      </x:c>
      <x:c r="U549" s="23" t="n">
        <x:f>IF(R549&lt;30000,N549,0)</x:f>
        <x:v>0</x:v>
      </x:c>
      <x:c r="V549" s="23" t="n">
        <x:f>IF(P549&gt;0,N549,0)</x:f>
        <x:v>0.00135</x:v>
      </x:c>
      <x:c r="W549" s="23" t="n">
        <x:f>IF(AND(P549&gt;0,S549&lt;0),N549,0)</x:f>
        <x:v>0</x:v>
      </x:c>
      <x:c r="X549" s="23" t="n">
        <x:f>IF(AND(P549&gt;0,S549=0),N549,0)</x:f>
        <x:v>0</x:v>
      </x:c>
      <x:c r="Y549" s="23" t="n">
        <x:f>IF(Q549&gt;0,N549,0)</x:f>
        <x:v>0.00135</x:v>
      </x:c>
      <x:c r="Z549" s="460" t="n">
        <x:f>IF(P549&gt;0,N549*S549,0)</x:f>
        <x:v>13.5</x:v>
      </x:c>
      <x:c r="AA549" s="460" t="n">
        <x:f>IF(Q549&gt;0,N549*T549,0)</x:f>
        <x:v>40.5</x:v>
      </x:c>
      <x:c r="AB549" s="460" t="n">
        <x:f>N549*R549</x:f>
        <x:v>67.5</x:v>
      </x:c>
      <x:c r="AC549" s="460" t="n">
        <x:f>IF(N549&gt;0,R549,999999)</x:f>
        <x:v>50000</x:v>
      </x:c>
      <x:c r="AD549" s="460" t="n">
        <x:f>IF(AND(N549&gt;0,P549&gt;0),S549,999999)</x:f>
        <x:v>10000</x:v>
      </x:c>
      <x:c r="AE549" s="460" t="n">
        <x:f>IF(AND(N549&gt;0,Q549&gt;0),T549,999999)</x:f>
        <x:v>30000</x:v>
      </x:c>
      <x:c r="AF549" s="23" t="n">
        <x:f>B549*D549*F549*J549</x:f>
        <x:v>0.00033</x:v>
      </x:c>
      <x:c r="AG549" s="23" t="n">
        <x:f>IF(P549&gt;0,AF549,0)</x:f>
        <x:v>0.00033</x:v>
      </x:c>
      <x:c r="AH549" s="23" t="n">
        <x:f>IF(AND(P549&gt;0,S549&lt;0),AF549,0)</x:f>
        <x:v>0</x:v>
      </x:c>
      <x:c r="AI549" s="23" t="n">
        <x:f>IF(AND(P549&gt;0,S549=0),AF549,0)</x:f>
        <x:v>0</x:v>
      </x:c>
      <x:c r="AJ549" s="23" t="n">
        <x:f>IF(R549&lt;30000,AF549,0)</x:f>
        <x:v>0</x:v>
      </x:c>
      <x:c r="AK549" s="460" t="n">
        <x:f>IF(P549&gt;0,AF549*S549,0)</x:f>
        <x:v>3.3</x:v>
      </x:c>
    </x:row>
    <x:row r="550" ht="22" customHeight="1">
      <x:c r="A550" s="643" t="str">
        <x:v>进取</x:v>
      </x:c>
      <x:c r="B550" s="648" t="n">
        <x:f>'114_降本系数'!B28</x:f>
        <x:v>0.15</x:v>
      </x:c>
      <x:c r="C550" s="643" t="str">
        <x:v>L3</x:v>
      </x:c>
      <x:c r="D550" s="648" t="n">
        <x:f>'130_联合算法'!C20</x:f>
        <x:v>0.1</x:v>
      </x:c>
      <x:c r="E550" s="647" t="n">
        <x:f>'117_价格概率传导'!A8</x:f>
        <x:v>249900</x:v>
      </x:c>
      <x:c r="F550" s="648" t="n">
        <x:f>'117_价格概率传导'!E8</x:f>
        <x:v>0.22</x:v>
      </x:c>
      <x:c r="G550" s="648" t="n">
        <x:f>SUM('117_价格概率传导'!$E$6:$E$7)</x:f>
        <x:v>0.03</x:v>
      </x:c>
      <x:c r="H550" s="648" t="n">
        <x:f>SUM('117_价格概率传导'!$E$6:$E$8)</x:f>
        <x:v>0.25</x:v>
      </x:c>
      <x:c r="I550" s="647" t="n">
        <x:f>'117_价格概率传导'!A19</x:f>
        <x:v>279900</x:v>
      </x:c>
      <x:c r="J550" s="648" t="n">
        <x:f>'117_价格概率传导'!E19</x:f>
        <x:v>0.3</x:v>
      </x:c>
      <x:c r="K550" s="648" t="n">
        <x:f>SUM('117_价格概率传导'!$E$16:$E$18)</x:f>
        <x:v>0.12000000000000001</x:v>
      </x:c>
      <x:c r="L550" s="648" t="n">
        <x:f>SUM('117_价格概率传导'!$E$16:$E$19)</x:f>
        <x:v>0.42</x:v>
      </x:c>
      <x:c r="M550" s="648" t="n">
        <x:f>MAX(0,MIN(H550,L550)-MAX(G550,K550))</x:f>
        <x:v>0.13</x:v>
      </x:c>
      <x:c r="N550" s="648" t="n">
        <x:f>B550*D550*M550</x:f>
        <x:v>0.00195</x:v>
      </x:c>
      <x:c r="O550" s="647" t="n">
        <x:f>MIN(299900,I550+20000)</x:f>
        <x:v>299900</x:v>
      </x:c>
      <x:c r="P550" s="647" t="n">
        <x:f>O550-40000</x:f>
        <x:v>259900</x:v>
      </x:c>
      <x:c r="Q550" s="647" t="n">
        <x:f>O550-20000</x:f>
        <x:v>279900</x:v>
      </x:c>
      <x:c r="R550" s="647" t="n">
        <x:f>O550-E550</x:f>
        <x:v>50000</x:v>
      </x:c>
      <x:c r="S550" s="647" t="n">
        <x:f>IF(P550&gt;0,P550-E550,"")</x:f>
        <x:v>10000</x:v>
      </x:c>
      <x:c r="T550" s="647" t="n">
        <x:f>IF(Q550&gt;0,Q550-E550,"")</x:f>
        <x:v>30000</x:v>
      </x:c>
      <x:c r="U550" s="648" t="n">
        <x:f>IF(R550&lt;30000,N550,0)</x:f>
        <x:v>0</x:v>
      </x:c>
      <x:c r="V550" s="648" t="n">
        <x:f>IF(P550&gt;0,N550,0)</x:f>
        <x:v>0.00195</x:v>
      </x:c>
      <x:c r="W550" s="648" t="n">
        <x:f>IF(AND(P550&gt;0,S550&lt;0),N550,0)</x:f>
        <x:v>0</x:v>
      </x:c>
      <x:c r="X550" s="648" t="n">
        <x:f>IF(AND(P550&gt;0,S550=0),N550,0)</x:f>
        <x:v>0</x:v>
      </x:c>
      <x:c r="Y550" s="648" t="n">
        <x:f>IF(Q550&gt;0,N550,0)</x:f>
        <x:v>0.00195</x:v>
      </x:c>
      <x:c r="Z550" s="647" t="n">
        <x:f>IF(P550&gt;0,N550*S550,0)</x:f>
        <x:v>19.5</x:v>
      </x:c>
      <x:c r="AA550" s="647" t="n">
        <x:f>IF(Q550&gt;0,N550*T550,0)</x:f>
        <x:v>58.5</x:v>
      </x:c>
      <x:c r="AB550" s="647" t="n">
        <x:f>N550*R550</x:f>
        <x:v>97.5</x:v>
      </x:c>
      <x:c r="AC550" s="647" t="n">
        <x:f>IF(N550&gt;0,R550,999999)</x:f>
        <x:v>50000</x:v>
      </x:c>
      <x:c r="AD550" s="647" t="n">
        <x:f>IF(AND(N550&gt;0,P550&gt;0),S550,999999)</x:f>
        <x:v>10000</x:v>
      </x:c>
      <x:c r="AE550" s="647" t="n">
        <x:f>IF(AND(N550&gt;0,Q550&gt;0),T550,999999)</x:f>
        <x:v>30000</x:v>
      </x:c>
      <x:c r="AF550" s="648" t="n">
        <x:f>B550*D550*F550*J550</x:f>
        <x:v>0.00099</x:v>
      </x:c>
      <x:c r="AG550" s="648" t="n">
        <x:f>IF(P550&gt;0,AF550,0)</x:f>
        <x:v>0.00099</x:v>
      </x:c>
      <x:c r="AH550" s="648" t="n">
        <x:f>IF(AND(P550&gt;0,S550&lt;0),AF550,0)</x:f>
        <x:v>0</x:v>
      </x:c>
      <x:c r="AI550" s="648" t="n">
        <x:f>IF(AND(P550&gt;0,S550=0),AF550,0)</x:f>
        <x:v>0</x:v>
      </x:c>
      <x:c r="AJ550" s="648" t="n">
        <x:f>IF(R550&lt;30000,AF550,0)</x:f>
        <x:v>0</x:v>
      </x:c>
      <x:c r="AK550" s="647" t="n">
        <x:f>IF(P550&gt;0,AF550*S550,0)</x:f>
        <x:v>9.9</x:v>
      </x:c>
    </x:row>
    <x:row r="551" ht="22" customHeight="1">
      <x:c r="A551" s="19" t="str">
        <x:v>进取</x:v>
      </x:c>
      <x:c r="B551" s="23" t="n">
        <x:f>'114_降本系数'!B28</x:f>
        <x:v>0.15</x:v>
      </x:c>
      <x:c r="C551" s="19" t="str">
        <x:v>L3</x:v>
      </x:c>
      <x:c r="D551" s="23" t="n">
        <x:f>'130_联合算法'!C20</x:f>
        <x:v>0.1</x:v>
      </x:c>
      <x:c r="E551" s="460" t="n">
        <x:f>'117_价格概率传导'!A8</x:f>
        <x:v>249900</x:v>
      </x:c>
      <x:c r="F551" s="23" t="n">
        <x:f>'117_价格概率传导'!E8</x:f>
        <x:v>0.22</x:v>
      </x:c>
      <x:c r="G551" s="23" t="n">
        <x:f>SUM('117_价格概率传导'!$E$6:$E$7)</x:f>
        <x:v>0.03</x:v>
      </x:c>
      <x:c r="H551" s="23" t="n">
        <x:f>SUM('117_价格概率传导'!$E$6:$E$8)</x:f>
        <x:v>0.25</x:v>
      </x:c>
      <x:c r="I551" s="460" t="n">
        <x:f>'117_价格概率传导'!A20</x:f>
        <x:v>269900</x:v>
      </x:c>
      <x:c r="J551" s="23" t="n">
        <x:f>'117_价格概率传导'!E20</x:f>
        <x:v>0.38</x:v>
      </x:c>
      <x:c r="K551" s="23" t="n">
        <x:f>SUM('117_价格概率传导'!$E$16:$E$19)</x:f>
        <x:v>0.42</x:v>
      </x:c>
      <x:c r="L551" s="23" t="n">
        <x:f>SUM('117_价格概率传导'!$E$16:$E$20)</x:f>
        <x:v>0.8</x:v>
      </x:c>
      <x:c r="M551" s="23" t="n">
        <x:f>MAX(0,MIN(H551,L551)-MAX(G551,K551))</x:f>
        <x:v>0</x:v>
      </x:c>
      <x:c r="N551" s="23" t="n">
        <x:f>B551*D551*M551</x:f>
        <x:v>0</x:v>
      </x:c>
      <x:c r="O551" s="460" t="n">
        <x:f>MIN(299900,I551+20000)</x:f>
        <x:v>289900</x:v>
      </x:c>
      <x:c r="P551" s="460" t="n">
        <x:f>O551-40000</x:f>
        <x:v>249900</x:v>
      </x:c>
      <x:c r="Q551" s="460" t="n">
        <x:f>O551-20000</x:f>
        <x:v>269900</x:v>
      </x:c>
      <x:c r="R551" s="460" t="n">
        <x:f>O551-E551</x:f>
        <x:v>40000</x:v>
      </x:c>
      <x:c r="S551" s="460" t="n">
        <x:f>IF(P551&gt;0,P551-E551,"")</x:f>
        <x:v>0</x:v>
      </x:c>
      <x:c r="T551" s="460" t="n">
        <x:f>IF(Q551&gt;0,Q551-E551,"")</x:f>
        <x:v>20000</x:v>
      </x:c>
      <x:c r="U551" s="23" t="n">
        <x:f>IF(R551&lt;30000,N551,0)</x:f>
        <x:v>0</x:v>
      </x:c>
      <x:c r="V551" s="23" t="n">
        <x:f>IF(P551&gt;0,N551,0)</x:f>
        <x:v>0</x:v>
      </x:c>
      <x:c r="W551" s="23" t="n">
        <x:f>IF(AND(P551&gt;0,S551&lt;0),N551,0)</x:f>
        <x:v>0</x:v>
      </x:c>
      <x:c r="X551" s="23" t="n">
        <x:f>IF(AND(P551&gt;0,S551=0),N551,0)</x:f>
        <x:v>0</x:v>
      </x:c>
      <x:c r="Y551" s="23" t="n">
        <x:f>IF(Q551&gt;0,N551,0)</x:f>
        <x:v>0</x:v>
      </x:c>
      <x:c r="Z551" s="460" t="n">
        <x:f>IF(P551&gt;0,N551*S551,0)</x:f>
        <x:v>0</x:v>
      </x:c>
      <x:c r="AA551" s="460" t="n">
        <x:f>IF(Q551&gt;0,N551*T551,0)</x:f>
        <x:v>0</x:v>
      </x:c>
      <x:c r="AB551" s="460" t="n">
        <x:f>N551*R551</x:f>
        <x:v>0</x:v>
      </x:c>
      <x:c r="AC551" s="460" t="n">
        <x:f>IF(N551&gt;0,R551,999999)</x:f>
        <x:v>999999</x:v>
      </x:c>
      <x:c r="AD551" s="460" t="n">
        <x:f>IF(AND(N551&gt;0,P551&gt;0),S551,999999)</x:f>
        <x:v>999999</x:v>
      </x:c>
      <x:c r="AE551" s="460" t="n">
        <x:f>IF(AND(N551&gt;0,Q551&gt;0),T551,999999)</x:f>
        <x:v>999999</x:v>
      </x:c>
      <x:c r="AF551" s="23" t="n">
        <x:f>B551*D551*F551*J551</x:f>
        <x:v>0.001254</x:v>
      </x:c>
      <x:c r="AG551" s="23" t="n">
        <x:f>IF(P551&gt;0,AF551,0)</x:f>
        <x:v>0.001254</x:v>
      </x:c>
      <x:c r="AH551" s="23" t="n">
        <x:f>IF(AND(P551&gt;0,S551&lt;0),AF551,0)</x:f>
        <x:v>0</x:v>
      </x:c>
      <x:c r="AI551" s="23" t="n">
        <x:f>IF(AND(P551&gt;0,S551=0),AF551,0)</x:f>
        <x:v>0.001254</x:v>
      </x:c>
      <x:c r="AJ551" s="23" t="n">
        <x:f>IF(R551&lt;30000,AF551,0)</x:f>
        <x:v>0</x:v>
      </x:c>
      <x:c r="AK551" s="460" t="n">
        <x:f>IF(P551&gt;0,AF551*S551,0)</x:f>
        <x:v>0</x:v>
      </x:c>
    </x:row>
    <x:row r="552" ht="22" customHeight="1">
      <x:c r="A552" s="643" t="str">
        <x:v>进取</x:v>
      </x:c>
      <x:c r="B552" s="648" t="n">
        <x:f>'114_降本系数'!B28</x:f>
        <x:v>0.15</x:v>
      </x:c>
      <x:c r="C552" s="643" t="str">
        <x:v>L3</x:v>
      </x:c>
      <x:c r="D552" s="648" t="n">
        <x:f>'130_联合算法'!C20</x:f>
        <x:v>0.1</x:v>
      </x:c>
      <x:c r="E552" s="647" t="n">
        <x:f>'117_价格概率传导'!A8</x:f>
        <x:v>249900</x:v>
      </x:c>
      <x:c r="F552" s="648" t="n">
        <x:f>'117_价格概率传导'!E8</x:f>
        <x:v>0.22</x:v>
      </x:c>
      <x:c r="G552" s="648" t="n">
        <x:f>SUM('117_价格概率传导'!$E$6:$E$7)</x:f>
        <x:v>0.03</x:v>
      </x:c>
      <x:c r="H552" s="648" t="n">
        <x:f>SUM('117_价格概率传导'!$E$6:$E$8)</x:f>
        <x:v>0.25</x:v>
      </x:c>
      <x:c r="I552" s="647" t="n">
        <x:f>'117_价格概率传导'!A21</x:f>
        <x:v>259900</x:v>
      </x:c>
      <x:c r="J552" s="648" t="n">
        <x:f>'117_价格概率传导'!E21</x:f>
        <x:v>0.2</x:v>
      </x:c>
      <x:c r="K552" s="648" t="n">
        <x:f>SUM('117_价格概率传导'!$E$16:$E$20)</x:f>
        <x:v>0.8</x:v>
      </x:c>
      <x:c r="L552" s="648" t="n">
        <x:f>SUM('117_价格概率传导'!$E$16:$E$21)</x:f>
        <x:v>1</x:v>
      </x:c>
      <x:c r="M552" s="648" t="n">
        <x:f>MAX(0,MIN(H552,L552)-MAX(G552,K552))</x:f>
        <x:v>0</x:v>
      </x:c>
      <x:c r="N552" s="648" t="n">
        <x:f>B552*D552*M552</x:f>
        <x:v>0</x:v>
      </x:c>
      <x:c r="O552" s="647" t="n">
        <x:f>MIN(299900,I552+20000)</x:f>
        <x:v>279900</x:v>
      </x:c>
      <x:c r="P552" s="647" t="n">
        <x:f>O552-40000</x:f>
        <x:v>239900</x:v>
      </x:c>
      <x:c r="Q552" s="647" t="n">
        <x:f>O552-20000</x:f>
        <x:v>259900</x:v>
      </x:c>
      <x:c r="R552" s="647" t="n">
        <x:f>O552-E552</x:f>
        <x:v>30000</x:v>
      </x:c>
      <x:c r="S552" s="647" t="n">
        <x:f>IF(P552&gt;0,P552-E552,"")</x:f>
        <x:v>-10000</x:v>
      </x:c>
      <x:c r="T552" s="647" t="n">
        <x:f>IF(Q552&gt;0,Q552-E552,"")</x:f>
        <x:v>10000</x:v>
      </x:c>
      <x:c r="U552" s="648" t="n">
        <x:f>IF(R552&lt;30000,N552,0)</x:f>
        <x:v>0</x:v>
      </x:c>
      <x:c r="V552" s="648" t="n">
        <x:f>IF(P552&gt;0,N552,0)</x:f>
        <x:v>0</x:v>
      </x:c>
      <x:c r="W552" s="648" t="n">
        <x:f>IF(AND(P552&gt;0,S552&lt;0),N552,0)</x:f>
        <x:v>0</x:v>
      </x:c>
      <x:c r="X552" s="648" t="n">
        <x:f>IF(AND(P552&gt;0,S552=0),N552,0)</x:f>
        <x:v>0</x:v>
      </x:c>
      <x:c r="Y552" s="648" t="n">
        <x:f>IF(Q552&gt;0,N552,0)</x:f>
        <x:v>0</x:v>
      </x:c>
      <x:c r="Z552" s="647" t="n">
        <x:f>IF(P552&gt;0,N552*S552,0)</x:f>
        <x:v>0</x:v>
      </x:c>
      <x:c r="AA552" s="647" t="n">
        <x:f>IF(Q552&gt;0,N552*T552,0)</x:f>
        <x:v>0</x:v>
      </x:c>
      <x:c r="AB552" s="647" t="n">
        <x:f>N552*R552</x:f>
        <x:v>0</x:v>
      </x:c>
      <x:c r="AC552" s="647" t="n">
        <x:f>IF(N552&gt;0,R552,999999)</x:f>
        <x:v>999999</x:v>
      </x:c>
      <x:c r="AD552" s="647" t="n">
        <x:f>IF(AND(N552&gt;0,P552&gt;0),S552,999999)</x:f>
        <x:v>999999</x:v>
      </x:c>
      <x:c r="AE552" s="647" t="n">
        <x:f>IF(AND(N552&gt;0,Q552&gt;0),T552,999999)</x:f>
        <x:v>999999</x:v>
      </x:c>
      <x:c r="AF552" s="648" t="n">
        <x:f>B552*D552*F552*J552</x:f>
        <x:v>0.00066</x:v>
      </x:c>
      <x:c r="AG552" s="648" t="n">
        <x:f>IF(P552&gt;0,AF552,0)</x:f>
        <x:v>0.00066</x:v>
      </x:c>
      <x:c r="AH552" s="648" t="n">
        <x:f>IF(AND(P552&gt;0,S552&lt;0),AF552,0)</x:f>
        <x:v>0.00066</x:v>
      </x:c>
      <x:c r="AI552" s="648" t="n">
        <x:f>IF(AND(P552&gt;0,S552=0),AF552,0)</x:f>
        <x:v>0</x:v>
      </x:c>
      <x:c r="AJ552" s="648" t="n">
        <x:f>IF(R552&lt;30000,AF552,0)</x:f>
        <x:v>0</x:v>
      </x:c>
      <x:c r="AK552" s="647" t="n">
        <x:f>IF(P552&gt;0,AF552*S552,0)</x:f>
        <x:v>-6.6</x:v>
      </x:c>
    </x:row>
    <x:row r="553" ht="22" customHeight="1">
      <x:c r="A553" s="19" t="str">
        <x:v>进取</x:v>
      </x:c>
      <x:c r="B553" s="23" t="n">
        <x:f>'114_降本系数'!B28</x:f>
        <x:v>0.15</x:v>
      </x:c>
      <x:c r="C553" s="19" t="str">
        <x:v>L3</x:v>
      </x:c>
      <x:c r="D553" s="23" t="n">
        <x:f>'130_联合算法'!C20</x:f>
        <x:v>0.1</x:v>
      </x:c>
      <x:c r="E553" s="460" t="n">
        <x:f>'117_价格概率传导'!A9</x:f>
        <x:v>239900</x:v>
      </x:c>
      <x:c r="F553" s="23" t="n">
        <x:f>'117_价格概率传导'!E9</x:f>
        <x:v>0.32</x:v>
      </x:c>
      <x:c r="G553" s="23" t="n">
        <x:f>SUM('117_价格概率传导'!$E$6:$E$8)</x:f>
        <x:v>0.25</x:v>
      </x:c>
      <x:c r="H553" s="23" t="n">
        <x:f>SUM('117_价格概率传导'!$E$6:$E$9)</x:f>
        <x:v>0.5700000000000001</x:v>
      </x:c>
      <x:c r="I553" s="460" t="n">
        <x:f>'117_价格概率传导'!A16</x:f>
        <x:v>299900</x:v>
      </x:c>
      <x:c r="J553" s="23" t="n">
        <x:f>'117_价格概率传导'!E16</x:f>
        <x:v>0.01</x:v>
      </x:c>
      <x:c r="K553" s="23" t="n">
        <x:f>0</x:f>
        <x:v>0</x:v>
      </x:c>
      <x:c r="L553" s="23" t="n">
        <x:f>SUM('117_价格概率传导'!$E$16:$E$16)</x:f>
        <x:v>0.01</x:v>
      </x:c>
      <x:c r="M553" s="23" t="n">
        <x:f>MAX(0,MIN(H553,L553)-MAX(G553,K553))</x:f>
        <x:v>0</x:v>
      </x:c>
      <x:c r="N553" s="23" t="n">
        <x:f>B553*D553*M553</x:f>
        <x:v>0</x:v>
      </x:c>
      <x:c r="O553" s="460" t="n">
        <x:f>MIN(299900,I553+20000)</x:f>
        <x:v>299900</x:v>
      </x:c>
      <x:c r="P553" s="460" t="n">
        <x:f>O553-40000</x:f>
        <x:v>259900</x:v>
      </x:c>
      <x:c r="Q553" s="460" t="n">
        <x:f>O553-20000</x:f>
        <x:v>279900</x:v>
      </x:c>
      <x:c r="R553" s="460" t="n">
        <x:f>O553-E553</x:f>
        <x:v>60000</x:v>
      </x:c>
      <x:c r="S553" s="460" t="n">
        <x:f>IF(P553&gt;0,P553-E553,"")</x:f>
        <x:v>20000</x:v>
      </x:c>
      <x:c r="T553" s="460" t="n">
        <x:f>IF(Q553&gt;0,Q553-E553,"")</x:f>
        <x:v>40000</x:v>
      </x:c>
      <x:c r="U553" s="23" t="n">
        <x:f>IF(R553&lt;30000,N553,0)</x:f>
        <x:v>0</x:v>
      </x:c>
      <x:c r="V553" s="23" t="n">
        <x:f>IF(P553&gt;0,N553,0)</x:f>
        <x:v>0</x:v>
      </x:c>
      <x:c r="W553" s="23" t="n">
        <x:f>IF(AND(P553&gt;0,S553&lt;0),N553,0)</x:f>
        <x:v>0</x:v>
      </x:c>
      <x:c r="X553" s="23" t="n">
        <x:f>IF(AND(P553&gt;0,S553=0),N553,0)</x:f>
        <x:v>0</x:v>
      </x:c>
      <x:c r="Y553" s="23" t="n">
        <x:f>IF(Q553&gt;0,N553,0)</x:f>
        <x:v>0</x:v>
      </x:c>
      <x:c r="Z553" s="460" t="n">
        <x:f>IF(P553&gt;0,N553*S553,0)</x:f>
        <x:v>0</x:v>
      </x:c>
      <x:c r="AA553" s="460" t="n">
        <x:f>IF(Q553&gt;0,N553*T553,0)</x:f>
        <x:v>0</x:v>
      </x:c>
      <x:c r="AB553" s="460" t="n">
        <x:f>N553*R553</x:f>
        <x:v>0</x:v>
      </x:c>
      <x:c r="AC553" s="460" t="n">
        <x:f>IF(N553&gt;0,R553,999999)</x:f>
        <x:v>999999</x:v>
      </x:c>
      <x:c r="AD553" s="460" t="n">
        <x:f>IF(AND(N553&gt;0,P553&gt;0),S553,999999)</x:f>
        <x:v>999999</x:v>
      </x:c>
      <x:c r="AE553" s="460" t="n">
        <x:f>IF(AND(N553&gt;0,Q553&gt;0),T553,999999)</x:f>
        <x:v>999999</x:v>
      </x:c>
      <x:c r="AF553" s="23" t="n">
        <x:f>B553*D553*F553*J553</x:f>
        <x:v>0.000047999999999999994</x:v>
      </x:c>
      <x:c r="AG553" s="23" t="n">
        <x:f>IF(P553&gt;0,AF553,0)</x:f>
        <x:v>0.000047999999999999994</x:v>
      </x:c>
      <x:c r="AH553" s="23" t="n">
        <x:f>IF(AND(P553&gt;0,S553&lt;0),AF553,0)</x:f>
        <x:v>0</x:v>
      </x:c>
      <x:c r="AI553" s="23" t="n">
        <x:f>IF(AND(P553&gt;0,S553=0),AF553,0)</x:f>
        <x:v>0</x:v>
      </x:c>
      <x:c r="AJ553" s="23" t="n">
        <x:f>IF(R553&lt;30000,AF553,0)</x:f>
        <x:v>0</x:v>
      </x:c>
      <x:c r="AK553" s="460" t="n">
        <x:f>IF(P553&gt;0,AF553*S553,0)</x:f>
        <x:v>0.9599999999999999</x:v>
      </x:c>
    </x:row>
    <x:row r="554" ht="22" customHeight="1">
      <x:c r="A554" s="643" t="str">
        <x:v>进取</x:v>
      </x:c>
      <x:c r="B554" s="648" t="n">
        <x:f>'114_降本系数'!B28</x:f>
        <x:v>0.15</x:v>
      </x:c>
      <x:c r="C554" s="643" t="str">
        <x:v>L3</x:v>
      </x:c>
      <x:c r="D554" s="648" t="n">
        <x:f>'130_联合算法'!C20</x:f>
        <x:v>0.1</x:v>
      </x:c>
      <x:c r="E554" s="647" t="n">
        <x:f>'117_价格概率传导'!A9</x:f>
        <x:v>239900</x:v>
      </x:c>
      <x:c r="F554" s="648" t="n">
        <x:f>'117_价格概率传导'!E9</x:f>
        <x:v>0.32</x:v>
      </x:c>
      <x:c r="G554" s="648" t="n">
        <x:f>SUM('117_价格概率传导'!$E$6:$E$8)</x:f>
        <x:v>0.25</x:v>
      </x:c>
      <x:c r="H554" s="648" t="n">
        <x:f>SUM('117_价格概率传导'!$E$6:$E$9)</x:f>
        <x:v>0.5700000000000001</x:v>
      </x:c>
      <x:c r="I554" s="647" t="n">
        <x:f>'117_价格概率传导'!A17</x:f>
        <x:v>293900</x:v>
      </x:c>
      <x:c r="J554" s="648" t="n">
        <x:f>'117_价格概率传导'!E17</x:f>
        <x:v>0.01</x:v>
      </x:c>
      <x:c r="K554" s="648" t="n">
        <x:f>SUM('117_价格概率传导'!$E$16:$E$16)</x:f>
        <x:v>0.01</x:v>
      </x:c>
      <x:c r="L554" s="648" t="n">
        <x:f>SUM('117_价格概率传导'!$E$16:$E$17)</x:f>
        <x:v>0.02</x:v>
      </x:c>
      <x:c r="M554" s="648" t="n">
        <x:f>MAX(0,MIN(H554,L554)-MAX(G554,K554))</x:f>
        <x:v>0</x:v>
      </x:c>
      <x:c r="N554" s="648" t="n">
        <x:f>B554*D554*M554</x:f>
        <x:v>0</x:v>
      </x:c>
      <x:c r="O554" s="647" t="n">
        <x:f>MIN(299900,I554+20000)</x:f>
        <x:v>299900</x:v>
      </x:c>
      <x:c r="P554" s="647" t="n">
        <x:f>O554-40000</x:f>
        <x:v>259900</x:v>
      </x:c>
      <x:c r="Q554" s="647" t="n">
        <x:f>O554-20000</x:f>
        <x:v>279900</x:v>
      </x:c>
      <x:c r="R554" s="647" t="n">
        <x:f>O554-E554</x:f>
        <x:v>60000</x:v>
      </x:c>
      <x:c r="S554" s="647" t="n">
        <x:f>IF(P554&gt;0,P554-E554,"")</x:f>
        <x:v>20000</x:v>
      </x:c>
      <x:c r="T554" s="647" t="n">
        <x:f>IF(Q554&gt;0,Q554-E554,"")</x:f>
        <x:v>40000</x:v>
      </x:c>
      <x:c r="U554" s="648" t="n">
        <x:f>IF(R554&lt;30000,N554,0)</x:f>
        <x:v>0</x:v>
      </x:c>
      <x:c r="V554" s="648" t="n">
        <x:f>IF(P554&gt;0,N554,0)</x:f>
        <x:v>0</x:v>
      </x:c>
      <x:c r="W554" s="648" t="n">
        <x:f>IF(AND(P554&gt;0,S554&lt;0),N554,0)</x:f>
        <x:v>0</x:v>
      </x:c>
      <x:c r="X554" s="648" t="n">
        <x:f>IF(AND(P554&gt;0,S554=0),N554,0)</x:f>
        <x:v>0</x:v>
      </x:c>
      <x:c r="Y554" s="648" t="n">
        <x:f>IF(Q554&gt;0,N554,0)</x:f>
        <x:v>0</x:v>
      </x:c>
      <x:c r="Z554" s="647" t="n">
        <x:f>IF(P554&gt;0,N554*S554,0)</x:f>
        <x:v>0</x:v>
      </x:c>
      <x:c r="AA554" s="647" t="n">
        <x:f>IF(Q554&gt;0,N554*T554,0)</x:f>
        <x:v>0</x:v>
      </x:c>
      <x:c r="AB554" s="647" t="n">
        <x:f>N554*R554</x:f>
        <x:v>0</x:v>
      </x:c>
      <x:c r="AC554" s="647" t="n">
        <x:f>IF(N554&gt;0,R554,999999)</x:f>
        <x:v>999999</x:v>
      </x:c>
      <x:c r="AD554" s="647" t="n">
        <x:f>IF(AND(N554&gt;0,P554&gt;0),S554,999999)</x:f>
        <x:v>999999</x:v>
      </x:c>
      <x:c r="AE554" s="647" t="n">
        <x:f>IF(AND(N554&gt;0,Q554&gt;0),T554,999999)</x:f>
        <x:v>999999</x:v>
      </x:c>
      <x:c r="AF554" s="648" t="n">
        <x:f>B554*D554*F554*J554</x:f>
        <x:v>0.000047999999999999994</x:v>
      </x:c>
      <x:c r="AG554" s="648" t="n">
        <x:f>IF(P554&gt;0,AF554,0)</x:f>
        <x:v>0.000047999999999999994</x:v>
      </x:c>
      <x:c r="AH554" s="648" t="n">
        <x:f>IF(AND(P554&gt;0,S554&lt;0),AF554,0)</x:f>
        <x:v>0</x:v>
      </x:c>
      <x:c r="AI554" s="648" t="n">
        <x:f>IF(AND(P554&gt;0,S554=0),AF554,0)</x:f>
        <x:v>0</x:v>
      </x:c>
      <x:c r="AJ554" s="648" t="n">
        <x:f>IF(R554&lt;30000,AF554,0)</x:f>
        <x:v>0</x:v>
      </x:c>
      <x:c r="AK554" s="647" t="n">
        <x:f>IF(P554&gt;0,AF554*S554,0)</x:f>
        <x:v>0.9599999999999999</x:v>
      </x:c>
    </x:row>
    <x:row r="555" ht="22" customHeight="1">
      <x:c r="A555" s="19" t="str">
        <x:v>进取</x:v>
      </x:c>
      <x:c r="B555" s="23" t="n">
        <x:f>'114_降本系数'!B28</x:f>
        <x:v>0.15</x:v>
      </x:c>
      <x:c r="C555" s="19" t="str">
        <x:v>L3</x:v>
      </x:c>
      <x:c r="D555" s="23" t="n">
        <x:f>'130_联合算法'!C20</x:f>
        <x:v>0.1</x:v>
      </x:c>
      <x:c r="E555" s="460" t="n">
        <x:f>'117_价格概率传导'!A9</x:f>
        <x:v>239900</x:v>
      </x:c>
      <x:c r="F555" s="23" t="n">
        <x:f>'117_价格概率传导'!E9</x:f>
        <x:v>0.32</x:v>
      </x:c>
      <x:c r="G555" s="23" t="n">
        <x:f>SUM('117_价格概率传导'!$E$6:$E$8)</x:f>
        <x:v>0.25</x:v>
      </x:c>
      <x:c r="H555" s="23" t="n">
        <x:f>SUM('117_价格概率传导'!$E$6:$E$9)</x:f>
        <x:v>0.5700000000000001</x:v>
      </x:c>
      <x:c r="I555" s="460" t="n">
        <x:f>'117_价格概率传导'!A18</x:f>
        <x:v>289900</x:v>
      </x:c>
      <x:c r="J555" s="23" t="n">
        <x:f>'117_价格概率传导'!E18</x:f>
        <x:v>0.1</x:v>
      </x:c>
      <x:c r="K555" s="23" t="n">
        <x:f>SUM('117_价格概率传导'!$E$16:$E$17)</x:f>
        <x:v>0.02</x:v>
      </x:c>
      <x:c r="L555" s="23" t="n">
        <x:f>SUM('117_价格概率传导'!$E$16:$E$18)</x:f>
        <x:v>0.12000000000000001</x:v>
      </x:c>
      <x:c r="M555" s="23" t="n">
        <x:f>MAX(0,MIN(H555,L555)-MAX(G555,K555))</x:f>
        <x:v>0</x:v>
      </x:c>
      <x:c r="N555" s="23" t="n">
        <x:f>B555*D555*M555</x:f>
        <x:v>0</x:v>
      </x:c>
      <x:c r="O555" s="460" t="n">
        <x:f>MIN(299900,I555+20000)</x:f>
        <x:v>299900</x:v>
      </x:c>
      <x:c r="P555" s="460" t="n">
        <x:f>O555-40000</x:f>
        <x:v>259900</x:v>
      </x:c>
      <x:c r="Q555" s="460" t="n">
        <x:f>O555-20000</x:f>
        <x:v>279900</x:v>
      </x:c>
      <x:c r="R555" s="460" t="n">
        <x:f>O555-E555</x:f>
        <x:v>60000</x:v>
      </x:c>
      <x:c r="S555" s="460" t="n">
        <x:f>IF(P555&gt;0,P555-E555,"")</x:f>
        <x:v>20000</x:v>
      </x:c>
      <x:c r="T555" s="460" t="n">
        <x:f>IF(Q555&gt;0,Q555-E555,"")</x:f>
        <x:v>40000</x:v>
      </x:c>
      <x:c r="U555" s="23" t="n">
        <x:f>IF(R555&lt;30000,N555,0)</x:f>
        <x:v>0</x:v>
      </x:c>
      <x:c r="V555" s="23" t="n">
        <x:f>IF(P555&gt;0,N555,0)</x:f>
        <x:v>0</x:v>
      </x:c>
      <x:c r="W555" s="23" t="n">
        <x:f>IF(AND(P555&gt;0,S555&lt;0),N555,0)</x:f>
        <x:v>0</x:v>
      </x:c>
      <x:c r="X555" s="23" t="n">
        <x:f>IF(AND(P555&gt;0,S555=0),N555,0)</x:f>
        <x:v>0</x:v>
      </x:c>
      <x:c r="Y555" s="23" t="n">
        <x:f>IF(Q555&gt;0,N555,0)</x:f>
        <x:v>0</x:v>
      </x:c>
      <x:c r="Z555" s="460" t="n">
        <x:f>IF(P555&gt;0,N555*S555,0)</x:f>
        <x:v>0</x:v>
      </x:c>
      <x:c r="AA555" s="460" t="n">
        <x:f>IF(Q555&gt;0,N555*T555,0)</x:f>
        <x:v>0</x:v>
      </x:c>
      <x:c r="AB555" s="460" t="n">
        <x:f>N555*R555</x:f>
        <x:v>0</x:v>
      </x:c>
      <x:c r="AC555" s="460" t="n">
        <x:f>IF(N555&gt;0,R555,999999)</x:f>
        <x:v>999999</x:v>
      </x:c>
      <x:c r="AD555" s="460" t="n">
        <x:f>IF(AND(N555&gt;0,P555&gt;0),S555,999999)</x:f>
        <x:v>999999</x:v>
      </x:c>
      <x:c r="AE555" s="460" t="n">
        <x:f>IF(AND(N555&gt;0,Q555&gt;0),T555,999999)</x:f>
        <x:v>999999</x:v>
      </x:c>
      <x:c r="AF555" s="23" t="n">
        <x:f>B555*D555*F555*J555</x:f>
        <x:v>0.00047999999999999996</x:v>
      </x:c>
      <x:c r="AG555" s="23" t="n">
        <x:f>IF(P555&gt;0,AF555,0)</x:f>
        <x:v>0.00047999999999999996</x:v>
      </x:c>
      <x:c r="AH555" s="23" t="n">
        <x:f>IF(AND(P555&gt;0,S555&lt;0),AF555,0)</x:f>
        <x:v>0</x:v>
      </x:c>
      <x:c r="AI555" s="23" t="n">
        <x:f>IF(AND(P555&gt;0,S555=0),AF555,0)</x:f>
        <x:v>0</x:v>
      </x:c>
      <x:c r="AJ555" s="23" t="n">
        <x:f>IF(R555&lt;30000,AF555,0)</x:f>
        <x:v>0</x:v>
      </x:c>
      <x:c r="AK555" s="460" t="n">
        <x:f>IF(P555&gt;0,AF555*S555,0)</x:f>
        <x:v>9.6</x:v>
      </x:c>
    </x:row>
    <x:row r="556" ht="22" customHeight="1">
      <x:c r="A556" s="643" t="str">
        <x:v>进取</x:v>
      </x:c>
      <x:c r="B556" s="648" t="n">
        <x:f>'114_降本系数'!B28</x:f>
        <x:v>0.15</x:v>
      </x:c>
      <x:c r="C556" s="643" t="str">
        <x:v>L3</x:v>
      </x:c>
      <x:c r="D556" s="648" t="n">
        <x:f>'130_联合算法'!C20</x:f>
        <x:v>0.1</x:v>
      </x:c>
      <x:c r="E556" s="647" t="n">
        <x:f>'117_价格概率传导'!A9</x:f>
        <x:v>239900</x:v>
      </x:c>
      <x:c r="F556" s="648" t="n">
        <x:f>'117_价格概率传导'!E9</x:f>
        <x:v>0.32</x:v>
      </x:c>
      <x:c r="G556" s="648" t="n">
        <x:f>SUM('117_价格概率传导'!$E$6:$E$8)</x:f>
        <x:v>0.25</x:v>
      </x:c>
      <x:c r="H556" s="648" t="n">
        <x:f>SUM('117_价格概率传导'!$E$6:$E$9)</x:f>
        <x:v>0.5700000000000001</x:v>
      </x:c>
      <x:c r="I556" s="647" t="n">
        <x:f>'117_价格概率传导'!A19</x:f>
        <x:v>279900</x:v>
      </x:c>
      <x:c r="J556" s="648" t="n">
        <x:f>'117_价格概率传导'!E19</x:f>
        <x:v>0.3</x:v>
      </x:c>
      <x:c r="K556" s="648" t="n">
        <x:f>SUM('117_价格概率传导'!$E$16:$E$18)</x:f>
        <x:v>0.12000000000000001</x:v>
      </x:c>
      <x:c r="L556" s="648" t="n">
        <x:f>SUM('117_价格概率传导'!$E$16:$E$19)</x:f>
        <x:v>0.42</x:v>
      </x:c>
      <x:c r="M556" s="648" t="n">
        <x:f>MAX(0,MIN(H556,L556)-MAX(G556,K556))</x:f>
        <x:v>0.16999999999999998</x:v>
      </x:c>
      <x:c r="N556" s="648" t="n">
        <x:f>B556*D556*M556</x:f>
        <x:v>0.0025499999999999997</x:v>
      </x:c>
      <x:c r="O556" s="647" t="n">
        <x:f>MIN(299900,I556+20000)</x:f>
        <x:v>299900</x:v>
      </x:c>
      <x:c r="P556" s="647" t="n">
        <x:f>O556-40000</x:f>
        <x:v>259900</x:v>
      </x:c>
      <x:c r="Q556" s="647" t="n">
        <x:f>O556-20000</x:f>
        <x:v>279900</x:v>
      </x:c>
      <x:c r="R556" s="647" t="n">
        <x:f>O556-E556</x:f>
        <x:v>60000</x:v>
      </x:c>
      <x:c r="S556" s="647" t="n">
        <x:f>IF(P556&gt;0,P556-E556,"")</x:f>
        <x:v>20000</x:v>
      </x:c>
      <x:c r="T556" s="647" t="n">
        <x:f>IF(Q556&gt;0,Q556-E556,"")</x:f>
        <x:v>40000</x:v>
      </x:c>
      <x:c r="U556" s="648" t="n">
        <x:f>IF(R556&lt;30000,N556,0)</x:f>
        <x:v>0</x:v>
      </x:c>
      <x:c r="V556" s="648" t="n">
        <x:f>IF(P556&gt;0,N556,0)</x:f>
        <x:v>0.0025499999999999997</x:v>
      </x:c>
      <x:c r="W556" s="648" t="n">
        <x:f>IF(AND(P556&gt;0,S556&lt;0),N556,0)</x:f>
        <x:v>0</x:v>
      </x:c>
      <x:c r="X556" s="648" t="n">
        <x:f>IF(AND(P556&gt;0,S556=0),N556,0)</x:f>
        <x:v>0</x:v>
      </x:c>
      <x:c r="Y556" s="648" t="n">
        <x:f>IF(Q556&gt;0,N556,0)</x:f>
        <x:v>0.0025499999999999997</x:v>
      </x:c>
      <x:c r="Z556" s="647" t="n">
        <x:f>IF(P556&gt;0,N556*S556,0)</x:f>
        <x:v>50.99999999999999</x:v>
      </x:c>
      <x:c r="AA556" s="647" t="n">
        <x:f>IF(Q556&gt;0,N556*T556,0)</x:f>
        <x:v>101.99999999999999</x:v>
      </x:c>
      <x:c r="AB556" s="647" t="n">
        <x:f>N556*R556</x:f>
        <x:v>152.99999999999997</x:v>
      </x:c>
      <x:c r="AC556" s="647" t="n">
        <x:f>IF(N556&gt;0,R556,999999)</x:f>
        <x:v>60000</x:v>
      </x:c>
      <x:c r="AD556" s="647" t="n">
        <x:f>IF(AND(N556&gt;0,P556&gt;0),S556,999999)</x:f>
        <x:v>20000</x:v>
      </x:c>
      <x:c r="AE556" s="647" t="n">
        <x:f>IF(AND(N556&gt;0,Q556&gt;0),T556,999999)</x:f>
        <x:v>40000</x:v>
      </x:c>
      <x:c r="AF556" s="648" t="n">
        <x:f>B556*D556*F556*J556</x:f>
        <x:v>0.0014399999999999999</x:v>
      </x:c>
      <x:c r="AG556" s="648" t="n">
        <x:f>IF(P556&gt;0,AF556,0)</x:f>
        <x:v>0.0014399999999999999</x:v>
      </x:c>
      <x:c r="AH556" s="648" t="n">
        <x:f>IF(AND(P556&gt;0,S556&lt;0),AF556,0)</x:f>
        <x:v>0</x:v>
      </x:c>
      <x:c r="AI556" s="648" t="n">
        <x:f>IF(AND(P556&gt;0,S556=0),AF556,0)</x:f>
        <x:v>0</x:v>
      </x:c>
      <x:c r="AJ556" s="648" t="n">
        <x:f>IF(R556&lt;30000,AF556,0)</x:f>
        <x:v>0</x:v>
      </x:c>
      <x:c r="AK556" s="647" t="n">
        <x:f>IF(P556&gt;0,AF556*S556,0)</x:f>
        <x:v>28.799999999999997</x:v>
      </x:c>
    </x:row>
    <x:row r="557" ht="22" customHeight="1">
      <x:c r="A557" s="19" t="str">
        <x:v>进取</x:v>
      </x:c>
      <x:c r="B557" s="23" t="n">
        <x:f>'114_降本系数'!B28</x:f>
        <x:v>0.15</x:v>
      </x:c>
      <x:c r="C557" s="19" t="str">
        <x:v>L3</x:v>
      </x:c>
      <x:c r="D557" s="23" t="n">
        <x:f>'130_联合算法'!C20</x:f>
        <x:v>0.1</x:v>
      </x:c>
      <x:c r="E557" s="460" t="n">
        <x:f>'117_价格概率传导'!A9</x:f>
        <x:v>239900</x:v>
      </x:c>
      <x:c r="F557" s="23" t="n">
        <x:f>'117_价格概率传导'!E9</x:f>
        <x:v>0.32</x:v>
      </x:c>
      <x:c r="G557" s="23" t="n">
        <x:f>SUM('117_价格概率传导'!$E$6:$E$8)</x:f>
        <x:v>0.25</x:v>
      </x:c>
      <x:c r="H557" s="23" t="n">
        <x:f>SUM('117_价格概率传导'!$E$6:$E$9)</x:f>
        <x:v>0.5700000000000001</x:v>
      </x:c>
      <x:c r="I557" s="460" t="n">
        <x:f>'117_价格概率传导'!A20</x:f>
        <x:v>269900</x:v>
      </x:c>
      <x:c r="J557" s="23" t="n">
        <x:f>'117_价格概率传导'!E20</x:f>
        <x:v>0.38</x:v>
      </x:c>
      <x:c r="K557" s="23" t="n">
        <x:f>SUM('117_价格概率传导'!$E$16:$E$19)</x:f>
        <x:v>0.42</x:v>
      </x:c>
      <x:c r="L557" s="23" t="n">
        <x:f>SUM('117_价格概率传导'!$E$16:$E$20)</x:f>
        <x:v>0.8</x:v>
      </x:c>
      <x:c r="M557" s="23" t="n">
        <x:f>MAX(0,MIN(H557,L557)-MAX(G557,K557))</x:f>
        <x:v>0.15000000000000008</x:v>
      </x:c>
      <x:c r="N557" s="23" t="n">
        <x:f>B557*D557*M557</x:f>
        <x:v>0.002250000000000001</x:v>
      </x:c>
      <x:c r="O557" s="460" t="n">
        <x:f>MIN(299900,I557+20000)</x:f>
        <x:v>289900</x:v>
      </x:c>
      <x:c r="P557" s="460" t="n">
        <x:f>O557-40000</x:f>
        <x:v>249900</x:v>
      </x:c>
      <x:c r="Q557" s="460" t="n">
        <x:f>O557-20000</x:f>
        <x:v>269900</x:v>
      </x:c>
      <x:c r="R557" s="460" t="n">
        <x:f>O557-E557</x:f>
        <x:v>50000</x:v>
      </x:c>
      <x:c r="S557" s="460" t="n">
        <x:f>IF(P557&gt;0,P557-E557,"")</x:f>
        <x:v>10000</x:v>
      </x:c>
      <x:c r="T557" s="460" t="n">
        <x:f>IF(Q557&gt;0,Q557-E557,"")</x:f>
        <x:v>30000</x:v>
      </x:c>
      <x:c r="U557" s="23" t="n">
        <x:f>IF(R557&lt;30000,N557,0)</x:f>
        <x:v>0</x:v>
      </x:c>
      <x:c r="V557" s="23" t="n">
        <x:f>IF(P557&gt;0,N557,0)</x:f>
        <x:v>0.002250000000000001</x:v>
      </x:c>
      <x:c r="W557" s="23" t="n">
        <x:f>IF(AND(P557&gt;0,S557&lt;0),N557,0)</x:f>
        <x:v>0</x:v>
      </x:c>
      <x:c r="X557" s="23" t="n">
        <x:f>IF(AND(P557&gt;0,S557=0),N557,0)</x:f>
        <x:v>0</x:v>
      </x:c>
      <x:c r="Y557" s="23" t="n">
        <x:f>IF(Q557&gt;0,N557,0)</x:f>
        <x:v>0.002250000000000001</x:v>
      </x:c>
      <x:c r="Z557" s="460" t="n">
        <x:f>IF(P557&gt;0,N557*S557,0)</x:f>
        <x:v>22.50000000000001</x:v>
      </x:c>
      <x:c r="AA557" s="460" t="n">
        <x:f>IF(Q557&gt;0,N557*T557,0)</x:f>
        <x:v>67.50000000000003</x:v>
      </x:c>
      <x:c r="AB557" s="460" t="n">
        <x:f>N557*R557</x:f>
        <x:v>112.50000000000006</x:v>
      </x:c>
      <x:c r="AC557" s="460" t="n">
        <x:f>IF(N557&gt;0,R557,999999)</x:f>
        <x:v>50000</x:v>
      </x:c>
      <x:c r="AD557" s="460" t="n">
        <x:f>IF(AND(N557&gt;0,P557&gt;0),S557,999999)</x:f>
        <x:v>10000</x:v>
      </x:c>
      <x:c r="AE557" s="460" t="n">
        <x:f>IF(AND(N557&gt;0,Q557&gt;0),T557,999999)</x:f>
        <x:v>30000</x:v>
      </x:c>
      <x:c r="AF557" s="23" t="n">
        <x:f>B557*D557*F557*J557</x:f>
        <x:v>0.0018239999999999999</x:v>
      </x:c>
      <x:c r="AG557" s="23" t="n">
        <x:f>IF(P557&gt;0,AF557,0)</x:f>
        <x:v>0.0018239999999999999</x:v>
      </x:c>
      <x:c r="AH557" s="23" t="n">
        <x:f>IF(AND(P557&gt;0,S557&lt;0),AF557,0)</x:f>
        <x:v>0</x:v>
      </x:c>
      <x:c r="AI557" s="23" t="n">
        <x:f>IF(AND(P557&gt;0,S557=0),AF557,0)</x:f>
        <x:v>0</x:v>
      </x:c>
      <x:c r="AJ557" s="23" t="n">
        <x:f>IF(R557&lt;30000,AF557,0)</x:f>
        <x:v>0</x:v>
      </x:c>
      <x:c r="AK557" s="460" t="n">
        <x:f>IF(P557&gt;0,AF557*S557,0)</x:f>
        <x:v>18.24</x:v>
      </x:c>
    </x:row>
    <x:row r="558" ht="22" customHeight="1">
      <x:c r="A558" s="643" t="str">
        <x:v>进取</x:v>
      </x:c>
      <x:c r="B558" s="648" t="n">
        <x:f>'114_降本系数'!B28</x:f>
        <x:v>0.15</x:v>
      </x:c>
      <x:c r="C558" s="643" t="str">
        <x:v>L3</x:v>
      </x:c>
      <x:c r="D558" s="648" t="n">
        <x:f>'130_联合算法'!C20</x:f>
        <x:v>0.1</x:v>
      </x:c>
      <x:c r="E558" s="647" t="n">
        <x:f>'117_价格概率传导'!A9</x:f>
        <x:v>239900</x:v>
      </x:c>
      <x:c r="F558" s="648" t="n">
        <x:f>'117_价格概率传导'!E9</x:f>
        <x:v>0.32</x:v>
      </x:c>
      <x:c r="G558" s="648" t="n">
        <x:f>SUM('117_价格概率传导'!$E$6:$E$8)</x:f>
        <x:v>0.25</x:v>
      </x:c>
      <x:c r="H558" s="648" t="n">
        <x:f>SUM('117_价格概率传导'!$E$6:$E$9)</x:f>
        <x:v>0.5700000000000001</x:v>
      </x:c>
      <x:c r="I558" s="647" t="n">
        <x:f>'117_价格概率传导'!A21</x:f>
        <x:v>259900</x:v>
      </x:c>
      <x:c r="J558" s="648" t="n">
        <x:f>'117_价格概率传导'!E21</x:f>
        <x:v>0.2</x:v>
      </x:c>
      <x:c r="K558" s="648" t="n">
        <x:f>SUM('117_价格概率传导'!$E$16:$E$20)</x:f>
        <x:v>0.8</x:v>
      </x:c>
      <x:c r="L558" s="648" t="n">
        <x:f>SUM('117_价格概率传导'!$E$16:$E$21)</x:f>
        <x:v>1</x:v>
      </x:c>
      <x:c r="M558" s="648" t="n">
        <x:f>MAX(0,MIN(H558,L558)-MAX(G558,K558))</x:f>
        <x:v>0</x:v>
      </x:c>
      <x:c r="N558" s="648" t="n">
        <x:f>B558*D558*M558</x:f>
        <x:v>0</x:v>
      </x:c>
      <x:c r="O558" s="647" t="n">
        <x:f>MIN(299900,I558+20000)</x:f>
        <x:v>279900</x:v>
      </x:c>
      <x:c r="P558" s="647" t="n">
        <x:f>O558-40000</x:f>
        <x:v>239900</x:v>
      </x:c>
      <x:c r="Q558" s="647" t="n">
        <x:f>O558-20000</x:f>
        <x:v>259900</x:v>
      </x:c>
      <x:c r="R558" s="647" t="n">
        <x:f>O558-E558</x:f>
        <x:v>40000</x:v>
      </x:c>
      <x:c r="S558" s="647" t="n">
        <x:f>IF(P558&gt;0,P558-E558,"")</x:f>
        <x:v>0</x:v>
      </x:c>
      <x:c r="T558" s="647" t="n">
        <x:f>IF(Q558&gt;0,Q558-E558,"")</x:f>
        <x:v>20000</x:v>
      </x:c>
      <x:c r="U558" s="648" t="n">
        <x:f>IF(R558&lt;30000,N558,0)</x:f>
        <x:v>0</x:v>
      </x:c>
      <x:c r="V558" s="648" t="n">
        <x:f>IF(P558&gt;0,N558,0)</x:f>
        <x:v>0</x:v>
      </x:c>
      <x:c r="W558" s="648" t="n">
        <x:f>IF(AND(P558&gt;0,S558&lt;0),N558,0)</x:f>
        <x:v>0</x:v>
      </x:c>
      <x:c r="X558" s="648" t="n">
        <x:f>IF(AND(P558&gt;0,S558=0),N558,0)</x:f>
        <x:v>0</x:v>
      </x:c>
      <x:c r="Y558" s="648" t="n">
        <x:f>IF(Q558&gt;0,N558,0)</x:f>
        <x:v>0</x:v>
      </x:c>
      <x:c r="Z558" s="647" t="n">
        <x:f>IF(P558&gt;0,N558*S558,0)</x:f>
        <x:v>0</x:v>
      </x:c>
      <x:c r="AA558" s="647" t="n">
        <x:f>IF(Q558&gt;0,N558*T558,0)</x:f>
        <x:v>0</x:v>
      </x:c>
      <x:c r="AB558" s="647" t="n">
        <x:f>N558*R558</x:f>
        <x:v>0</x:v>
      </x:c>
      <x:c r="AC558" s="647" t="n">
        <x:f>IF(N558&gt;0,R558,999999)</x:f>
        <x:v>999999</x:v>
      </x:c>
      <x:c r="AD558" s="647" t="n">
        <x:f>IF(AND(N558&gt;0,P558&gt;0),S558,999999)</x:f>
        <x:v>999999</x:v>
      </x:c>
      <x:c r="AE558" s="647" t="n">
        <x:f>IF(AND(N558&gt;0,Q558&gt;0),T558,999999)</x:f>
        <x:v>999999</x:v>
      </x:c>
      <x:c r="AF558" s="648" t="n">
        <x:f>B558*D558*F558*J558</x:f>
        <x:v>0.0009599999999999999</x:v>
      </x:c>
      <x:c r="AG558" s="648" t="n">
        <x:f>IF(P558&gt;0,AF558,0)</x:f>
        <x:v>0.0009599999999999999</x:v>
      </x:c>
      <x:c r="AH558" s="648" t="n">
        <x:f>IF(AND(P558&gt;0,S558&lt;0),AF558,0)</x:f>
        <x:v>0</x:v>
      </x:c>
      <x:c r="AI558" s="648" t="n">
        <x:f>IF(AND(P558&gt;0,S558=0),AF558,0)</x:f>
        <x:v>0.0009599999999999999</x:v>
      </x:c>
      <x:c r="AJ558" s="648" t="n">
        <x:f>IF(R558&lt;30000,AF558,0)</x:f>
        <x:v>0</x:v>
      </x:c>
      <x:c r="AK558" s="647" t="n">
        <x:f>IF(P558&gt;0,AF558*S558,0)</x:f>
        <x:v>0</x:v>
      </x:c>
    </x:row>
    <x:row r="559" ht="22" customHeight="1">
      <x:c r="A559" s="19" t="str">
        <x:v>进取</x:v>
      </x:c>
      <x:c r="B559" s="23" t="n">
        <x:f>'114_降本系数'!B28</x:f>
        <x:v>0.15</x:v>
      </x:c>
      <x:c r="C559" s="19" t="str">
        <x:v>L3</x:v>
      </x:c>
      <x:c r="D559" s="23" t="n">
        <x:f>'130_联合算法'!C20</x:f>
        <x:v>0.1</x:v>
      </x:c>
      <x:c r="E559" s="460" t="n">
        <x:f>'117_价格概率传导'!A10</x:f>
        <x:v>229900</x:v>
      </x:c>
      <x:c r="F559" s="23" t="n">
        <x:f>'117_价格概率传导'!E10</x:f>
        <x:v>0.28</x:v>
      </x:c>
      <x:c r="G559" s="23" t="n">
        <x:f>SUM('117_价格概率传导'!$E$6:$E$9)</x:f>
        <x:v>0.5700000000000001</x:v>
      </x:c>
      <x:c r="H559" s="23" t="n">
        <x:f>SUM('117_价格概率传导'!$E$6:$E$10)</x:f>
        <x:v>0.8500000000000001</x:v>
      </x:c>
      <x:c r="I559" s="460" t="n">
        <x:f>'117_价格概率传导'!A16</x:f>
        <x:v>299900</x:v>
      </x:c>
      <x:c r="J559" s="23" t="n">
        <x:f>'117_价格概率传导'!E16</x:f>
        <x:v>0.01</x:v>
      </x:c>
      <x:c r="K559" s="23" t="n">
        <x:f>0</x:f>
        <x:v>0</x:v>
      </x:c>
      <x:c r="L559" s="23" t="n">
        <x:f>SUM('117_价格概率传导'!$E$16:$E$16)</x:f>
        <x:v>0.01</x:v>
      </x:c>
      <x:c r="M559" s="23" t="n">
        <x:f>MAX(0,MIN(H559,L559)-MAX(G559,K559))</x:f>
        <x:v>0</x:v>
      </x:c>
      <x:c r="N559" s="23" t="n">
        <x:f>B559*D559*M559</x:f>
        <x:v>0</x:v>
      </x:c>
      <x:c r="O559" s="460" t="n">
        <x:f>MIN(299900,I559+20000)</x:f>
        <x:v>299900</x:v>
      </x:c>
      <x:c r="P559" s="460" t="n">
        <x:f>O559-40000</x:f>
        <x:v>259900</x:v>
      </x:c>
      <x:c r="Q559" s="460" t="n">
        <x:f>O559-20000</x:f>
        <x:v>279900</x:v>
      </x:c>
      <x:c r="R559" s="460" t="n">
        <x:f>O559-E559</x:f>
        <x:v>70000</x:v>
      </x:c>
      <x:c r="S559" s="460" t="n">
        <x:f>IF(P559&gt;0,P559-E559,"")</x:f>
        <x:v>30000</x:v>
      </x:c>
      <x:c r="T559" s="460" t="n">
        <x:f>IF(Q559&gt;0,Q559-E559,"")</x:f>
        <x:v>50000</x:v>
      </x:c>
      <x:c r="U559" s="23" t="n">
        <x:f>IF(R559&lt;30000,N559,0)</x:f>
        <x:v>0</x:v>
      </x:c>
      <x:c r="V559" s="23" t="n">
        <x:f>IF(P559&gt;0,N559,0)</x:f>
        <x:v>0</x:v>
      </x:c>
      <x:c r="W559" s="23" t="n">
        <x:f>IF(AND(P559&gt;0,S559&lt;0),N559,0)</x:f>
        <x:v>0</x:v>
      </x:c>
      <x:c r="X559" s="23" t="n">
        <x:f>IF(AND(P559&gt;0,S559=0),N559,0)</x:f>
        <x:v>0</x:v>
      </x:c>
      <x:c r="Y559" s="23" t="n">
        <x:f>IF(Q559&gt;0,N559,0)</x:f>
        <x:v>0</x:v>
      </x:c>
      <x:c r="Z559" s="460" t="n">
        <x:f>IF(P559&gt;0,N559*S559,0)</x:f>
        <x:v>0</x:v>
      </x:c>
      <x:c r="AA559" s="460" t="n">
        <x:f>IF(Q559&gt;0,N559*T559,0)</x:f>
        <x:v>0</x:v>
      </x:c>
      <x:c r="AB559" s="460" t="n">
        <x:f>N559*R559</x:f>
        <x:v>0</x:v>
      </x:c>
      <x:c r="AC559" s="460" t="n">
        <x:f>IF(N559&gt;0,R559,999999)</x:f>
        <x:v>999999</x:v>
      </x:c>
      <x:c r="AD559" s="460" t="n">
        <x:f>IF(AND(N559&gt;0,P559&gt;0),S559,999999)</x:f>
        <x:v>999999</x:v>
      </x:c>
      <x:c r="AE559" s="460" t="n">
        <x:f>IF(AND(N559&gt;0,Q559&gt;0),T559,999999)</x:f>
        <x:v>999999</x:v>
      </x:c>
      <x:c r="AF559" s="23" t="n">
        <x:f>B559*D559*F559*J559</x:f>
        <x:v>0.000042000000000000004</x:v>
      </x:c>
      <x:c r="AG559" s="23" t="n">
        <x:f>IF(P559&gt;0,AF559,0)</x:f>
        <x:v>0.000042000000000000004</x:v>
      </x:c>
      <x:c r="AH559" s="23" t="n">
        <x:f>IF(AND(P559&gt;0,S559&lt;0),AF559,0)</x:f>
        <x:v>0</x:v>
      </x:c>
      <x:c r="AI559" s="23" t="n">
        <x:f>IF(AND(P559&gt;0,S559=0),AF559,0)</x:f>
        <x:v>0</x:v>
      </x:c>
      <x:c r="AJ559" s="23" t="n">
        <x:f>IF(R559&lt;30000,AF559,0)</x:f>
        <x:v>0</x:v>
      </x:c>
      <x:c r="AK559" s="460" t="n">
        <x:f>IF(P559&gt;0,AF559*S559,0)</x:f>
        <x:v>1.2600000000000002</x:v>
      </x:c>
    </x:row>
    <x:row r="560" ht="22" customHeight="1">
      <x:c r="A560" s="643" t="str">
        <x:v>进取</x:v>
      </x:c>
      <x:c r="B560" s="648" t="n">
        <x:f>'114_降本系数'!B28</x:f>
        <x:v>0.15</x:v>
      </x:c>
      <x:c r="C560" s="643" t="str">
        <x:v>L3</x:v>
      </x:c>
      <x:c r="D560" s="648" t="n">
        <x:f>'130_联合算法'!C20</x:f>
        <x:v>0.1</x:v>
      </x:c>
      <x:c r="E560" s="647" t="n">
        <x:f>'117_价格概率传导'!A10</x:f>
        <x:v>229900</x:v>
      </x:c>
      <x:c r="F560" s="648" t="n">
        <x:f>'117_价格概率传导'!E10</x:f>
        <x:v>0.28</x:v>
      </x:c>
      <x:c r="G560" s="648" t="n">
        <x:f>SUM('117_价格概率传导'!$E$6:$E$9)</x:f>
        <x:v>0.5700000000000001</x:v>
      </x:c>
      <x:c r="H560" s="648" t="n">
        <x:f>SUM('117_价格概率传导'!$E$6:$E$10)</x:f>
        <x:v>0.8500000000000001</x:v>
      </x:c>
      <x:c r="I560" s="647" t="n">
        <x:f>'117_价格概率传导'!A17</x:f>
        <x:v>293900</x:v>
      </x:c>
      <x:c r="J560" s="648" t="n">
        <x:f>'117_价格概率传导'!E17</x:f>
        <x:v>0.01</x:v>
      </x:c>
      <x:c r="K560" s="648" t="n">
        <x:f>SUM('117_价格概率传导'!$E$16:$E$16)</x:f>
        <x:v>0.01</x:v>
      </x:c>
      <x:c r="L560" s="648" t="n">
        <x:f>SUM('117_价格概率传导'!$E$16:$E$17)</x:f>
        <x:v>0.02</x:v>
      </x:c>
      <x:c r="M560" s="648" t="n">
        <x:f>MAX(0,MIN(H560,L560)-MAX(G560,K560))</x:f>
        <x:v>0</x:v>
      </x:c>
      <x:c r="N560" s="648" t="n">
        <x:f>B560*D560*M560</x:f>
        <x:v>0</x:v>
      </x:c>
      <x:c r="O560" s="647" t="n">
        <x:f>MIN(299900,I560+20000)</x:f>
        <x:v>299900</x:v>
      </x:c>
      <x:c r="P560" s="647" t="n">
        <x:f>O560-40000</x:f>
        <x:v>259900</x:v>
      </x:c>
      <x:c r="Q560" s="647" t="n">
        <x:f>O560-20000</x:f>
        <x:v>279900</x:v>
      </x:c>
      <x:c r="R560" s="647" t="n">
        <x:f>O560-E560</x:f>
        <x:v>70000</x:v>
      </x:c>
      <x:c r="S560" s="647" t="n">
        <x:f>IF(P560&gt;0,P560-E560,"")</x:f>
        <x:v>30000</x:v>
      </x:c>
      <x:c r="T560" s="647" t="n">
        <x:f>IF(Q560&gt;0,Q560-E560,"")</x:f>
        <x:v>50000</x:v>
      </x:c>
      <x:c r="U560" s="648" t="n">
        <x:f>IF(R560&lt;30000,N560,0)</x:f>
        <x:v>0</x:v>
      </x:c>
      <x:c r="V560" s="648" t="n">
        <x:f>IF(P560&gt;0,N560,0)</x:f>
        <x:v>0</x:v>
      </x:c>
      <x:c r="W560" s="648" t="n">
        <x:f>IF(AND(P560&gt;0,S560&lt;0),N560,0)</x:f>
        <x:v>0</x:v>
      </x:c>
      <x:c r="X560" s="648" t="n">
        <x:f>IF(AND(P560&gt;0,S560=0),N560,0)</x:f>
        <x:v>0</x:v>
      </x:c>
      <x:c r="Y560" s="648" t="n">
        <x:f>IF(Q560&gt;0,N560,0)</x:f>
        <x:v>0</x:v>
      </x:c>
      <x:c r="Z560" s="647" t="n">
        <x:f>IF(P560&gt;0,N560*S560,0)</x:f>
        <x:v>0</x:v>
      </x:c>
      <x:c r="AA560" s="647" t="n">
        <x:f>IF(Q560&gt;0,N560*T560,0)</x:f>
        <x:v>0</x:v>
      </x:c>
      <x:c r="AB560" s="647" t="n">
        <x:f>N560*R560</x:f>
        <x:v>0</x:v>
      </x:c>
      <x:c r="AC560" s="647" t="n">
        <x:f>IF(N560&gt;0,R560,999999)</x:f>
        <x:v>999999</x:v>
      </x:c>
      <x:c r="AD560" s="647" t="n">
        <x:f>IF(AND(N560&gt;0,P560&gt;0),S560,999999)</x:f>
        <x:v>999999</x:v>
      </x:c>
      <x:c r="AE560" s="647" t="n">
        <x:f>IF(AND(N560&gt;0,Q560&gt;0),T560,999999)</x:f>
        <x:v>999999</x:v>
      </x:c>
      <x:c r="AF560" s="648" t="n">
        <x:f>B560*D560*F560*J560</x:f>
        <x:v>0.000042000000000000004</x:v>
      </x:c>
      <x:c r="AG560" s="648" t="n">
        <x:f>IF(P560&gt;0,AF560,0)</x:f>
        <x:v>0.000042000000000000004</x:v>
      </x:c>
      <x:c r="AH560" s="648" t="n">
        <x:f>IF(AND(P560&gt;0,S560&lt;0),AF560,0)</x:f>
        <x:v>0</x:v>
      </x:c>
      <x:c r="AI560" s="648" t="n">
        <x:f>IF(AND(P560&gt;0,S560=0),AF560,0)</x:f>
        <x:v>0</x:v>
      </x:c>
      <x:c r="AJ560" s="648" t="n">
        <x:f>IF(R560&lt;30000,AF560,0)</x:f>
        <x:v>0</x:v>
      </x:c>
      <x:c r="AK560" s="647" t="n">
        <x:f>IF(P560&gt;0,AF560*S560,0)</x:f>
        <x:v>1.2600000000000002</x:v>
      </x:c>
    </x:row>
    <x:row r="561" ht="22" customHeight="1">
      <x:c r="A561" s="19" t="str">
        <x:v>进取</x:v>
      </x:c>
      <x:c r="B561" s="23" t="n">
        <x:f>'114_降本系数'!B28</x:f>
        <x:v>0.15</x:v>
      </x:c>
      <x:c r="C561" s="19" t="str">
        <x:v>L3</x:v>
      </x:c>
      <x:c r="D561" s="23" t="n">
        <x:f>'130_联合算法'!C20</x:f>
        <x:v>0.1</x:v>
      </x:c>
      <x:c r="E561" s="460" t="n">
        <x:f>'117_价格概率传导'!A10</x:f>
        <x:v>229900</x:v>
      </x:c>
      <x:c r="F561" s="23" t="n">
        <x:f>'117_价格概率传导'!E10</x:f>
        <x:v>0.28</x:v>
      </x:c>
      <x:c r="G561" s="23" t="n">
        <x:f>SUM('117_价格概率传导'!$E$6:$E$9)</x:f>
        <x:v>0.5700000000000001</x:v>
      </x:c>
      <x:c r="H561" s="23" t="n">
        <x:f>SUM('117_价格概率传导'!$E$6:$E$10)</x:f>
        <x:v>0.8500000000000001</x:v>
      </x:c>
      <x:c r="I561" s="460" t="n">
        <x:f>'117_价格概率传导'!A18</x:f>
        <x:v>289900</x:v>
      </x:c>
      <x:c r="J561" s="23" t="n">
        <x:f>'117_价格概率传导'!E18</x:f>
        <x:v>0.1</x:v>
      </x:c>
      <x:c r="K561" s="23" t="n">
        <x:f>SUM('117_价格概率传导'!$E$16:$E$17)</x:f>
        <x:v>0.02</x:v>
      </x:c>
      <x:c r="L561" s="23" t="n">
        <x:f>SUM('117_价格概率传导'!$E$16:$E$18)</x:f>
        <x:v>0.12000000000000001</x:v>
      </x:c>
      <x:c r="M561" s="23" t="n">
        <x:f>MAX(0,MIN(H561,L561)-MAX(G561,K561))</x:f>
        <x:v>0</x:v>
      </x:c>
      <x:c r="N561" s="23" t="n">
        <x:f>B561*D561*M561</x:f>
        <x:v>0</x:v>
      </x:c>
      <x:c r="O561" s="460" t="n">
        <x:f>MIN(299900,I561+20000)</x:f>
        <x:v>299900</x:v>
      </x:c>
      <x:c r="P561" s="460" t="n">
        <x:f>O561-40000</x:f>
        <x:v>259900</x:v>
      </x:c>
      <x:c r="Q561" s="460" t="n">
        <x:f>O561-20000</x:f>
        <x:v>279900</x:v>
      </x:c>
      <x:c r="R561" s="460" t="n">
        <x:f>O561-E561</x:f>
        <x:v>70000</x:v>
      </x:c>
      <x:c r="S561" s="460" t="n">
        <x:f>IF(P561&gt;0,P561-E561,"")</x:f>
        <x:v>30000</x:v>
      </x:c>
      <x:c r="T561" s="460" t="n">
        <x:f>IF(Q561&gt;0,Q561-E561,"")</x:f>
        <x:v>50000</x:v>
      </x:c>
      <x:c r="U561" s="23" t="n">
        <x:f>IF(R561&lt;30000,N561,0)</x:f>
        <x:v>0</x:v>
      </x:c>
      <x:c r="V561" s="23" t="n">
        <x:f>IF(P561&gt;0,N561,0)</x:f>
        <x:v>0</x:v>
      </x:c>
      <x:c r="W561" s="23" t="n">
        <x:f>IF(AND(P561&gt;0,S561&lt;0),N561,0)</x:f>
        <x:v>0</x:v>
      </x:c>
      <x:c r="X561" s="23" t="n">
        <x:f>IF(AND(P561&gt;0,S561=0),N561,0)</x:f>
        <x:v>0</x:v>
      </x:c>
      <x:c r="Y561" s="23" t="n">
        <x:f>IF(Q561&gt;0,N561,0)</x:f>
        <x:v>0</x:v>
      </x:c>
      <x:c r="Z561" s="460" t="n">
        <x:f>IF(P561&gt;0,N561*S561,0)</x:f>
        <x:v>0</x:v>
      </x:c>
      <x:c r="AA561" s="460" t="n">
        <x:f>IF(Q561&gt;0,N561*T561,0)</x:f>
        <x:v>0</x:v>
      </x:c>
      <x:c r="AB561" s="460" t="n">
        <x:f>N561*R561</x:f>
        <x:v>0</x:v>
      </x:c>
      <x:c r="AC561" s="460" t="n">
        <x:f>IF(N561&gt;0,R561,999999)</x:f>
        <x:v>999999</x:v>
      </x:c>
      <x:c r="AD561" s="460" t="n">
        <x:f>IF(AND(N561&gt;0,P561&gt;0),S561,999999)</x:f>
        <x:v>999999</x:v>
      </x:c>
      <x:c r="AE561" s="460" t="n">
        <x:f>IF(AND(N561&gt;0,Q561&gt;0),T561,999999)</x:f>
        <x:v>999999</x:v>
      </x:c>
      <x:c r="AF561" s="23" t="n">
        <x:f>B561*D561*F561*J561</x:f>
        <x:v>0.00042000000000000007</x:v>
      </x:c>
      <x:c r="AG561" s="23" t="n">
        <x:f>IF(P561&gt;0,AF561,0)</x:f>
        <x:v>0.00042000000000000007</x:v>
      </x:c>
      <x:c r="AH561" s="23" t="n">
        <x:f>IF(AND(P561&gt;0,S561&lt;0),AF561,0)</x:f>
        <x:v>0</x:v>
      </x:c>
      <x:c r="AI561" s="23" t="n">
        <x:f>IF(AND(P561&gt;0,S561=0),AF561,0)</x:f>
        <x:v>0</x:v>
      </x:c>
      <x:c r="AJ561" s="23" t="n">
        <x:f>IF(R561&lt;30000,AF561,0)</x:f>
        <x:v>0</x:v>
      </x:c>
      <x:c r="AK561" s="460" t="n">
        <x:f>IF(P561&gt;0,AF561*S561,0)</x:f>
        <x:v>12.600000000000001</x:v>
      </x:c>
    </x:row>
    <x:row r="562" ht="22" customHeight="1">
      <x:c r="A562" s="643" t="str">
        <x:v>进取</x:v>
      </x:c>
      <x:c r="B562" s="648" t="n">
        <x:f>'114_降本系数'!B28</x:f>
        <x:v>0.15</x:v>
      </x:c>
      <x:c r="C562" s="643" t="str">
        <x:v>L3</x:v>
      </x:c>
      <x:c r="D562" s="648" t="n">
        <x:f>'130_联合算法'!C20</x:f>
        <x:v>0.1</x:v>
      </x:c>
      <x:c r="E562" s="647" t="n">
        <x:f>'117_价格概率传导'!A10</x:f>
        <x:v>229900</x:v>
      </x:c>
      <x:c r="F562" s="648" t="n">
        <x:f>'117_价格概率传导'!E10</x:f>
        <x:v>0.28</x:v>
      </x:c>
      <x:c r="G562" s="648" t="n">
        <x:f>SUM('117_价格概率传导'!$E$6:$E$9)</x:f>
        <x:v>0.5700000000000001</x:v>
      </x:c>
      <x:c r="H562" s="648" t="n">
        <x:f>SUM('117_价格概率传导'!$E$6:$E$10)</x:f>
        <x:v>0.8500000000000001</x:v>
      </x:c>
      <x:c r="I562" s="647" t="n">
        <x:f>'117_价格概率传导'!A19</x:f>
        <x:v>279900</x:v>
      </x:c>
      <x:c r="J562" s="648" t="n">
        <x:f>'117_价格概率传导'!E19</x:f>
        <x:v>0.3</x:v>
      </x:c>
      <x:c r="K562" s="648" t="n">
        <x:f>SUM('117_价格概率传导'!$E$16:$E$18)</x:f>
        <x:v>0.12000000000000001</x:v>
      </x:c>
      <x:c r="L562" s="648" t="n">
        <x:f>SUM('117_价格概率传导'!$E$16:$E$19)</x:f>
        <x:v>0.42</x:v>
      </x:c>
      <x:c r="M562" s="648" t="n">
        <x:f>MAX(0,MIN(H562,L562)-MAX(G562,K562))</x:f>
        <x:v>0</x:v>
      </x:c>
      <x:c r="N562" s="648" t="n">
        <x:f>B562*D562*M562</x:f>
        <x:v>0</x:v>
      </x:c>
      <x:c r="O562" s="647" t="n">
        <x:f>MIN(299900,I562+20000)</x:f>
        <x:v>299900</x:v>
      </x:c>
      <x:c r="P562" s="647" t="n">
        <x:f>O562-40000</x:f>
        <x:v>259900</x:v>
      </x:c>
      <x:c r="Q562" s="647" t="n">
        <x:f>O562-20000</x:f>
        <x:v>279900</x:v>
      </x:c>
      <x:c r="R562" s="647" t="n">
        <x:f>O562-E562</x:f>
        <x:v>70000</x:v>
      </x:c>
      <x:c r="S562" s="647" t="n">
        <x:f>IF(P562&gt;0,P562-E562,"")</x:f>
        <x:v>30000</x:v>
      </x:c>
      <x:c r="T562" s="647" t="n">
        <x:f>IF(Q562&gt;0,Q562-E562,"")</x:f>
        <x:v>50000</x:v>
      </x:c>
      <x:c r="U562" s="648" t="n">
        <x:f>IF(R562&lt;30000,N562,0)</x:f>
        <x:v>0</x:v>
      </x:c>
      <x:c r="V562" s="648" t="n">
        <x:f>IF(P562&gt;0,N562,0)</x:f>
        <x:v>0</x:v>
      </x:c>
      <x:c r="W562" s="648" t="n">
        <x:f>IF(AND(P562&gt;0,S562&lt;0),N562,0)</x:f>
        <x:v>0</x:v>
      </x:c>
      <x:c r="X562" s="648" t="n">
        <x:f>IF(AND(P562&gt;0,S562=0),N562,0)</x:f>
        <x:v>0</x:v>
      </x:c>
      <x:c r="Y562" s="648" t="n">
        <x:f>IF(Q562&gt;0,N562,0)</x:f>
        <x:v>0</x:v>
      </x:c>
      <x:c r="Z562" s="647" t="n">
        <x:f>IF(P562&gt;0,N562*S562,0)</x:f>
        <x:v>0</x:v>
      </x:c>
      <x:c r="AA562" s="647" t="n">
        <x:f>IF(Q562&gt;0,N562*T562,0)</x:f>
        <x:v>0</x:v>
      </x:c>
      <x:c r="AB562" s="647" t="n">
        <x:f>N562*R562</x:f>
        <x:v>0</x:v>
      </x:c>
      <x:c r="AC562" s="647" t="n">
        <x:f>IF(N562&gt;0,R562,999999)</x:f>
        <x:v>999999</x:v>
      </x:c>
      <x:c r="AD562" s="647" t="n">
        <x:f>IF(AND(N562&gt;0,P562&gt;0),S562,999999)</x:f>
        <x:v>999999</x:v>
      </x:c>
      <x:c r="AE562" s="647" t="n">
        <x:f>IF(AND(N562&gt;0,Q562&gt;0),T562,999999)</x:f>
        <x:v>999999</x:v>
      </x:c>
      <x:c r="AF562" s="648" t="n">
        <x:f>B562*D562*F562*J562</x:f>
        <x:v>0.00126</x:v>
      </x:c>
      <x:c r="AG562" s="648" t="n">
        <x:f>IF(P562&gt;0,AF562,0)</x:f>
        <x:v>0.00126</x:v>
      </x:c>
      <x:c r="AH562" s="648" t="n">
        <x:f>IF(AND(P562&gt;0,S562&lt;0),AF562,0)</x:f>
        <x:v>0</x:v>
      </x:c>
      <x:c r="AI562" s="648" t="n">
        <x:f>IF(AND(P562&gt;0,S562=0),AF562,0)</x:f>
        <x:v>0</x:v>
      </x:c>
      <x:c r="AJ562" s="648" t="n">
        <x:f>IF(R562&lt;30000,AF562,0)</x:f>
        <x:v>0</x:v>
      </x:c>
      <x:c r="AK562" s="647" t="n">
        <x:f>IF(P562&gt;0,AF562*S562,0)</x:f>
        <x:v>37.800000000000004</x:v>
      </x:c>
    </x:row>
    <x:row r="563" ht="22" customHeight="1">
      <x:c r="A563" s="19" t="str">
        <x:v>进取</x:v>
      </x:c>
      <x:c r="B563" s="23" t="n">
        <x:f>'114_降本系数'!B28</x:f>
        <x:v>0.15</x:v>
      </x:c>
      <x:c r="C563" s="19" t="str">
        <x:v>L3</x:v>
      </x:c>
      <x:c r="D563" s="23" t="n">
        <x:f>'130_联合算法'!C20</x:f>
        <x:v>0.1</x:v>
      </x:c>
      <x:c r="E563" s="460" t="n">
        <x:f>'117_价格概率传导'!A10</x:f>
        <x:v>229900</x:v>
      </x:c>
      <x:c r="F563" s="23" t="n">
        <x:f>'117_价格概率传导'!E10</x:f>
        <x:v>0.28</x:v>
      </x:c>
      <x:c r="G563" s="23" t="n">
        <x:f>SUM('117_价格概率传导'!$E$6:$E$9)</x:f>
        <x:v>0.5700000000000001</x:v>
      </x:c>
      <x:c r="H563" s="23" t="n">
        <x:f>SUM('117_价格概率传导'!$E$6:$E$10)</x:f>
        <x:v>0.8500000000000001</x:v>
      </x:c>
      <x:c r="I563" s="460" t="n">
        <x:f>'117_价格概率传导'!A20</x:f>
        <x:v>269900</x:v>
      </x:c>
      <x:c r="J563" s="23" t="n">
        <x:f>'117_价格概率传导'!E20</x:f>
        <x:v>0.38</x:v>
      </x:c>
      <x:c r="K563" s="23" t="n">
        <x:f>SUM('117_价格概率传导'!$E$16:$E$19)</x:f>
        <x:v>0.42</x:v>
      </x:c>
      <x:c r="L563" s="23" t="n">
        <x:f>SUM('117_价格概率传导'!$E$16:$E$20)</x:f>
        <x:v>0.8</x:v>
      </x:c>
      <x:c r="M563" s="23" t="n">
        <x:f>MAX(0,MIN(H563,L563)-MAX(G563,K563))</x:f>
        <x:v>0.22999999999999998</x:v>
      </x:c>
      <x:c r="N563" s="23" t="n">
        <x:f>B563*D563*M563</x:f>
        <x:v>0.0034499999999999995</x:v>
      </x:c>
      <x:c r="O563" s="460" t="n">
        <x:f>MIN(299900,I563+20000)</x:f>
        <x:v>289900</x:v>
      </x:c>
      <x:c r="P563" s="460" t="n">
        <x:f>O563-40000</x:f>
        <x:v>249900</x:v>
      </x:c>
      <x:c r="Q563" s="460" t="n">
        <x:f>O563-20000</x:f>
        <x:v>269900</x:v>
      </x:c>
      <x:c r="R563" s="460" t="n">
        <x:f>O563-E563</x:f>
        <x:v>60000</x:v>
      </x:c>
      <x:c r="S563" s="460" t="n">
        <x:f>IF(P563&gt;0,P563-E563,"")</x:f>
        <x:v>20000</x:v>
      </x:c>
      <x:c r="T563" s="460" t="n">
        <x:f>IF(Q563&gt;0,Q563-E563,"")</x:f>
        <x:v>40000</x:v>
      </x:c>
      <x:c r="U563" s="23" t="n">
        <x:f>IF(R563&lt;30000,N563,0)</x:f>
        <x:v>0</x:v>
      </x:c>
      <x:c r="V563" s="23" t="n">
        <x:f>IF(P563&gt;0,N563,0)</x:f>
        <x:v>0.0034499999999999995</x:v>
      </x:c>
      <x:c r="W563" s="23" t="n">
        <x:f>IF(AND(P563&gt;0,S563&lt;0),N563,0)</x:f>
        <x:v>0</x:v>
      </x:c>
      <x:c r="X563" s="23" t="n">
        <x:f>IF(AND(P563&gt;0,S563=0),N563,0)</x:f>
        <x:v>0</x:v>
      </x:c>
      <x:c r="Y563" s="23" t="n">
        <x:f>IF(Q563&gt;0,N563,0)</x:f>
        <x:v>0.0034499999999999995</x:v>
      </x:c>
      <x:c r="Z563" s="460" t="n">
        <x:f>IF(P563&gt;0,N563*S563,0)</x:f>
        <x:v>68.99999999999999</x:v>
      </x:c>
      <x:c r="AA563" s="460" t="n">
        <x:f>IF(Q563&gt;0,N563*T563,0)</x:f>
        <x:v>137.99999999999997</x:v>
      </x:c>
      <x:c r="AB563" s="460" t="n">
        <x:f>N563*R563</x:f>
        <x:v>206.99999999999997</x:v>
      </x:c>
      <x:c r="AC563" s="460" t="n">
        <x:f>IF(N563&gt;0,R563,999999)</x:f>
        <x:v>60000</x:v>
      </x:c>
      <x:c r="AD563" s="460" t="n">
        <x:f>IF(AND(N563&gt;0,P563&gt;0),S563,999999)</x:f>
        <x:v>20000</x:v>
      </x:c>
      <x:c r="AE563" s="460" t="n">
        <x:f>IF(AND(N563&gt;0,Q563&gt;0),T563,999999)</x:f>
        <x:v>40000</x:v>
      </x:c>
      <x:c r="AF563" s="23" t="n">
        <x:f>B563*D563*F563*J563</x:f>
        <x:v>0.0015960000000000002</x:v>
      </x:c>
      <x:c r="AG563" s="23" t="n">
        <x:f>IF(P563&gt;0,AF563,0)</x:f>
        <x:v>0.0015960000000000002</x:v>
      </x:c>
      <x:c r="AH563" s="23" t="n">
        <x:f>IF(AND(P563&gt;0,S563&lt;0),AF563,0)</x:f>
        <x:v>0</x:v>
      </x:c>
      <x:c r="AI563" s="23" t="n">
        <x:f>IF(AND(P563&gt;0,S563=0),AF563,0)</x:f>
        <x:v>0</x:v>
      </x:c>
      <x:c r="AJ563" s="23" t="n">
        <x:f>IF(R563&lt;30000,AF563,0)</x:f>
        <x:v>0</x:v>
      </x:c>
      <x:c r="AK563" s="460" t="n">
        <x:f>IF(P563&gt;0,AF563*S563,0)</x:f>
        <x:v>31.920000000000005</x:v>
      </x:c>
    </x:row>
    <x:row r="564" ht="22" customHeight="1">
      <x:c r="A564" s="643" t="str">
        <x:v>进取</x:v>
      </x:c>
      <x:c r="B564" s="648" t="n">
        <x:f>'114_降本系数'!B28</x:f>
        <x:v>0.15</x:v>
      </x:c>
      <x:c r="C564" s="643" t="str">
        <x:v>L3</x:v>
      </x:c>
      <x:c r="D564" s="648" t="n">
        <x:f>'130_联合算法'!C20</x:f>
        <x:v>0.1</x:v>
      </x:c>
      <x:c r="E564" s="647" t="n">
        <x:f>'117_价格概率传导'!A10</x:f>
        <x:v>229900</x:v>
      </x:c>
      <x:c r="F564" s="648" t="n">
        <x:f>'117_价格概率传导'!E10</x:f>
        <x:v>0.28</x:v>
      </x:c>
      <x:c r="G564" s="648" t="n">
        <x:f>SUM('117_价格概率传导'!$E$6:$E$9)</x:f>
        <x:v>0.5700000000000001</x:v>
      </x:c>
      <x:c r="H564" s="648" t="n">
        <x:f>SUM('117_价格概率传导'!$E$6:$E$10)</x:f>
        <x:v>0.8500000000000001</x:v>
      </x:c>
      <x:c r="I564" s="647" t="n">
        <x:f>'117_价格概率传导'!A21</x:f>
        <x:v>259900</x:v>
      </x:c>
      <x:c r="J564" s="648" t="n">
        <x:f>'117_价格概率传导'!E21</x:f>
        <x:v>0.2</x:v>
      </x:c>
      <x:c r="K564" s="648" t="n">
        <x:f>SUM('117_价格概率传导'!$E$16:$E$20)</x:f>
        <x:v>0.8</x:v>
      </x:c>
      <x:c r="L564" s="648" t="n">
        <x:f>SUM('117_价格概率传导'!$E$16:$E$21)</x:f>
        <x:v>1</x:v>
      </x:c>
      <x:c r="M564" s="648" t="n">
        <x:f>MAX(0,MIN(H564,L564)-MAX(G564,K564))</x:f>
        <x:v>0.050000000000000044</x:v>
      </x:c>
      <x:c r="N564" s="648" t="n">
        <x:f>B564*D564*M564</x:f>
        <x:v>0.0007500000000000007</x:v>
      </x:c>
      <x:c r="O564" s="647" t="n">
        <x:f>MIN(299900,I564+20000)</x:f>
        <x:v>279900</x:v>
      </x:c>
      <x:c r="P564" s="647" t="n">
        <x:f>O564-40000</x:f>
        <x:v>239900</x:v>
      </x:c>
      <x:c r="Q564" s="647" t="n">
        <x:f>O564-20000</x:f>
        <x:v>259900</x:v>
      </x:c>
      <x:c r="R564" s="647" t="n">
        <x:f>O564-E564</x:f>
        <x:v>50000</x:v>
      </x:c>
      <x:c r="S564" s="647" t="n">
        <x:f>IF(P564&gt;0,P564-E564,"")</x:f>
        <x:v>10000</x:v>
      </x:c>
      <x:c r="T564" s="647" t="n">
        <x:f>IF(Q564&gt;0,Q564-E564,"")</x:f>
        <x:v>30000</x:v>
      </x:c>
      <x:c r="U564" s="648" t="n">
        <x:f>IF(R564&lt;30000,N564,0)</x:f>
        <x:v>0</x:v>
      </x:c>
      <x:c r="V564" s="648" t="n">
        <x:f>IF(P564&gt;0,N564,0)</x:f>
        <x:v>0.0007500000000000007</x:v>
      </x:c>
      <x:c r="W564" s="648" t="n">
        <x:f>IF(AND(P564&gt;0,S564&lt;0),N564,0)</x:f>
        <x:v>0</x:v>
      </x:c>
      <x:c r="X564" s="648" t="n">
        <x:f>IF(AND(P564&gt;0,S564=0),N564,0)</x:f>
        <x:v>0</x:v>
      </x:c>
      <x:c r="Y564" s="648" t="n">
        <x:f>IF(Q564&gt;0,N564,0)</x:f>
        <x:v>0.0007500000000000007</x:v>
      </x:c>
      <x:c r="Z564" s="647" t="n">
        <x:f>IF(P564&gt;0,N564*S564,0)</x:f>
        <x:v>7.500000000000007</x:v>
      </x:c>
      <x:c r="AA564" s="647" t="n">
        <x:f>IF(Q564&gt;0,N564*T564,0)</x:f>
        <x:v>22.50000000000002</x:v>
      </x:c>
      <x:c r="AB564" s="647" t="n">
        <x:f>N564*R564</x:f>
        <x:v>37.500000000000036</x:v>
      </x:c>
      <x:c r="AC564" s="647" t="n">
        <x:f>IF(N564&gt;0,R564,999999)</x:f>
        <x:v>50000</x:v>
      </x:c>
      <x:c r="AD564" s="647" t="n">
        <x:f>IF(AND(N564&gt;0,P564&gt;0),S564,999999)</x:f>
        <x:v>10000</x:v>
      </x:c>
      <x:c r="AE564" s="647" t="n">
        <x:f>IF(AND(N564&gt;0,Q564&gt;0),T564,999999)</x:f>
        <x:v>30000</x:v>
      </x:c>
      <x:c r="AF564" s="648" t="n">
        <x:f>B564*D564*F564*J564</x:f>
        <x:v>0.0008400000000000001</x:v>
      </x:c>
      <x:c r="AG564" s="648" t="n">
        <x:f>IF(P564&gt;0,AF564,0)</x:f>
        <x:v>0.0008400000000000001</x:v>
      </x:c>
      <x:c r="AH564" s="648" t="n">
        <x:f>IF(AND(P564&gt;0,S564&lt;0),AF564,0)</x:f>
        <x:v>0</x:v>
      </x:c>
      <x:c r="AI564" s="648" t="n">
        <x:f>IF(AND(P564&gt;0,S564=0),AF564,0)</x:f>
        <x:v>0</x:v>
      </x:c>
      <x:c r="AJ564" s="648" t="n">
        <x:f>IF(R564&lt;30000,AF564,0)</x:f>
        <x:v>0</x:v>
      </x:c>
      <x:c r="AK564" s="647" t="n">
        <x:f>IF(P564&gt;0,AF564*S564,0)</x:f>
        <x:v>8.400000000000002</x:v>
      </x:c>
    </x:row>
    <x:row r="565" ht="22" customHeight="1">
      <x:c r="A565" s="19" t="str">
        <x:v>进取</x:v>
      </x:c>
      <x:c r="B565" s="23" t="n">
        <x:f>'114_降本系数'!B28</x:f>
        <x:v>0.15</x:v>
      </x:c>
      <x:c r="C565" s="19" t="str">
        <x:v>L3</x:v>
      </x:c>
      <x:c r="D565" s="23" t="n">
        <x:f>'130_联合算法'!C20</x:f>
        <x:v>0.1</x:v>
      </x:c>
      <x:c r="E565" s="460" t="n">
        <x:f>'117_价格概率传导'!A11</x:f>
        <x:v>219900</x:v>
      </x:c>
      <x:c r="F565" s="23" t="n">
        <x:f>'117_价格概率传导'!E11</x:f>
        <x:v>0.15</x:v>
      </x:c>
      <x:c r="G565" s="23" t="n">
        <x:f>SUM('117_价格概率传导'!$E$6:$E$10)</x:f>
        <x:v>0.8500000000000001</x:v>
      </x:c>
      <x:c r="H565" s="23" t="n">
        <x:f>SUM('117_价格概率传导'!$E$6:$E$11)</x:f>
        <x:v>1</x:v>
      </x:c>
      <x:c r="I565" s="460" t="n">
        <x:f>'117_价格概率传导'!A16</x:f>
        <x:v>299900</x:v>
      </x:c>
      <x:c r="J565" s="23" t="n">
        <x:f>'117_价格概率传导'!E16</x:f>
        <x:v>0.01</x:v>
      </x:c>
      <x:c r="K565" s="23" t="n">
        <x:f>0</x:f>
        <x:v>0</x:v>
      </x:c>
      <x:c r="L565" s="23" t="n">
        <x:f>SUM('117_价格概率传导'!$E$16:$E$16)</x:f>
        <x:v>0.01</x:v>
      </x:c>
      <x:c r="M565" s="23" t="n">
        <x:f>MAX(0,MIN(H565,L565)-MAX(G565,K565))</x:f>
        <x:v>0</x:v>
      </x:c>
      <x:c r="N565" s="23" t="n">
        <x:f>B565*D565*M565</x:f>
        <x:v>0</x:v>
      </x:c>
      <x:c r="O565" s="460" t="n">
        <x:f>MIN(299900,I565+20000)</x:f>
        <x:v>299900</x:v>
      </x:c>
      <x:c r="P565" s="460" t="n">
        <x:f>O565-40000</x:f>
        <x:v>259900</x:v>
      </x:c>
      <x:c r="Q565" s="460" t="n">
        <x:f>O565-20000</x:f>
        <x:v>279900</x:v>
      </x:c>
      <x:c r="R565" s="460" t="n">
        <x:f>O565-E565</x:f>
        <x:v>80000</x:v>
      </x:c>
      <x:c r="S565" s="460" t="n">
        <x:f>IF(P565&gt;0,P565-E565,"")</x:f>
        <x:v>40000</x:v>
      </x:c>
      <x:c r="T565" s="460" t="n">
        <x:f>IF(Q565&gt;0,Q565-E565,"")</x:f>
        <x:v>60000</x:v>
      </x:c>
      <x:c r="U565" s="23" t="n">
        <x:f>IF(R565&lt;30000,N565,0)</x:f>
        <x:v>0</x:v>
      </x:c>
      <x:c r="V565" s="23" t="n">
        <x:f>IF(P565&gt;0,N565,0)</x:f>
        <x:v>0</x:v>
      </x:c>
      <x:c r="W565" s="23" t="n">
        <x:f>IF(AND(P565&gt;0,S565&lt;0),N565,0)</x:f>
        <x:v>0</x:v>
      </x:c>
      <x:c r="X565" s="23" t="n">
        <x:f>IF(AND(P565&gt;0,S565=0),N565,0)</x:f>
        <x:v>0</x:v>
      </x:c>
      <x:c r="Y565" s="23" t="n">
        <x:f>IF(Q565&gt;0,N565,0)</x:f>
        <x:v>0</x:v>
      </x:c>
      <x:c r="Z565" s="460" t="n">
        <x:f>IF(P565&gt;0,N565*S565,0)</x:f>
        <x:v>0</x:v>
      </x:c>
      <x:c r="AA565" s="460" t="n">
        <x:f>IF(Q565&gt;0,N565*T565,0)</x:f>
        <x:v>0</x:v>
      </x:c>
      <x:c r="AB565" s="460" t="n">
        <x:f>N565*R565</x:f>
        <x:v>0</x:v>
      </x:c>
      <x:c r="AC565" s="460" t="n">
        <x:f>IF(N565&gt;0,R565,999999)</x:f>
        <x:v>999999</x:v>
      </x:c>
      <x:c r="AD565" s="460" t="n">
        <x:f>IF(AND(N565&gt;0,P565&gt;0),S565,999999)</x:f>
        <x:v>999999</x:v>
      </x:c>
      <x:c r="AE565" s="460" t="n">
        <x:f>IF(AND(N565&gt;0,Q565&gt;0),T565,999999)</x:f>
        <x:v>999999</x:v>
      </x:c>
      <x:c r="AF565" s="23" t="n">
        <x:f>B565*D565*F565*J565</x:f>
        <x:v>0.000022499999999999998</x:v>
      </x:c>
      <x:c r="AG565" s="23" t="n">
        <x:f>IF(P565&gt;0,AF565,0)</x:f>
        <x:v>0.000022499999999999998</x:v>
      </x:c>
      <x:c r="AH565" s="23" t="n">
        <x:f>IF(AND(P565&gt;0,S565&lt;0),AF565,0)</x:f>
        <x:v>0</x:v>
      </x:c>
      <x:c r="AI565" s="23" t="n">
        <x:f>IF(AND(P565&gt;0,S565=0),AF565,0)</x:f>
        <x:v>0</x:v>
      </x:c>
      <x:c r="AJ565" s="23" t="n">
        <x:f>IF(R565&lt;30000,AF565,0)</x:f>
        <x:v>0</x:v>
      </x:c>
      <x:c r="AK565" s="460" t="n">
        <x:f>IF(P565&gt;0,AF565*S565,0)</x:f>
        <x:v>0.8999999999999999</x:v>
      </x:c>
    </x:row>
    <x:row r="566" ht="22" customHeight="1">
      <x:c r="A566" s="643" t="str">
        <x:v>进取</x:v>
      </x:c>
      <x:c r="B566" s="648" t="n">
        <x:f>'114_降本系数'!B28</x:f>
        <x:v>0.15</x:v>
      </x:c>
      <x:c r="C566" s="643" t="str">
        <x:v>L3</x:v>
      </x:c>
      <x:c r="D566" s="648" t="n">
        <x:f>'130_联合算法'!C20</x:f>
        <x:v>0.1</x:v>
      </x:c>
      <x:c r="E566" s="647" t="n">
        <x:f>'117_价格概率传导'!A11</x:f>
        <x:v>219900</x:v>
      </x:c>
      <x:c r="F566" s="648" t="n">
        <x:f>'117_价格概率传导'!E11</x:f>
        <x:v>0.15</x:v>
      </x:c>
      <x:c r="G566" s="648" t="n">
        <x:f>SUM('117_价格概率传导'!$E$6:$E$10)</x:f>
        <x:v>0.8500000000000001</x:v>
      </x:c>
      <x:c r="H566" s="648" t="n">
        <x:f>SUM('117_价格概率传导'!$E$6:$E$11)</x:f>
        <x:v>1</x:v>
      </x:c>
      <x:c r="I566" s="647" t="n">
        <x:f>'117_价格概率传导'!A17</x:f>
        <x:v>293900</x:v>
      </x:c>
      <x:c r="J566" s="648" t="n">
        <x:f>'117_价格概率传导'!E17</x:f>
        <x:v>0.01</x:v>
      </x:c>
      <x:c r="K566" s="648" t="n">
        <x:f>SUM('117_价格概率传导'!$E$16:$E$16)</x:f>
        <x:v>0.01</x:v>
      </x:c>
      <x:c r="L566" s="648" t="n">
        <x:f>SUM('117_价格概率传导'!$E$16:$E$17)</x:f>
        <x:v>0.02</x:v>
      </x:c>
      <x:c r="M566" s="648" t="n">
        <x:f>MAX(0,MIN(H566,L566)-MAX(G566,K566))</x:f>
        <x:v>0</x:v>
      </x:c>
      <x:c r="N566" s="648" t="n">
        <x:f>B566*D566*M566</x:f>
        <x:v>0</x:v>
      </x:c>
      <x:c r="O566" s="647" t="n">
        <x:f>MIN(299900,I566+20000)</x:f>
        <x:v>299900</x:v>
      </x:c>
      <x:c r="P566" s="647" t="n">
        <x:f>O566-40000</x:f>
        <x:v>259900</x:v>
      </x:c>
      <x:c r="Q566" s="647" t="n">
        <x:f>O566-20000</x:f>
        <x:v>279900</x:v>
      </x:c>
      <x:c r="R566" s="647" t="n">
        <x:f>O566-E566</x:f>
        <x:v>80000</x:v>
      </x:c>
      <x:c r="S566" s="647" t="n">
        <x:f>IF(P566&gt;0,P566-E566,"")</x:f>
        <x:v>40000</x:v>
      </x:c>
      <x:c r="T566" s="647" t="n">
        <x:f>IF(Q566&gt;0,Q566-E566,"")</x:f>
        <x:v>60000</x:v>
      </x:c>
      <x:c r="U566" s="648" t="n">
        <x:f>IF(R566&lt;30000,N566,0)</x:f>
        <x:v>0</x:v>
      </x:c>
      <x:c r="V566" s="648" t="n">
        <x:f>IF(P566&gt;0,N566,0)</x:f>
        <x:v>0</x:v>
      </x:c>
      <x:c r="W566" s="648" t="n">
        <x:f>IF(AND(P566&gt;0,S566&lt;0),N566,0)</x:f>
        <x:v>0</x:v>
      </x:c>
      <x:c r="X566" s="648" t="n">
        <x:f>IF(AND(P566&gt;0,S566=0),N566,0)</x:f>
        <x:v>0</x:v>
      </x:c>
      <x:c r="Y566" s="648" t="n">
        <x:f>IF(Q566&gt;0,N566,0)</x:f>
        <x:v>0</x:v>
      </x:c>
      <x:c r="Z566" s="647" t="n">
        <x:f>IF(P566&gt;0,N566*S566,0)</x:f>
        <x:v>0</x:v>
      </x:c>
      <x:c r="AA566" s="647" t="n">
        <x:f>IF(Q566&gt;0,N566*T566,0)</x:f>
        <x:v>0</x:v>
      </x:c>
      <x:c r="AB566" s="647" t="n">
        <x:f>N566*R566</x:f>
        <x:v>0</x:v>
      </x:c>
      <x:c r="AC566" s="647" t="n">
        <x:f>IF(N566&gt;0,R566,999999)</x:f>
        <x:v>999999</x:v>
      </x:c>
      <x:c r="AD566" s="647" t="n">
        <x:f>IF(AND(N566&gt;0,P566&gt;0),S566,999999)</x:f>
        <x:v>999999</x:v>
      </x:c>
      <x:c r="AE566" s="647" t="n">
        <x:f>IF(AND(N566&gt;0,Q566&gt;0),T566,999999)</x:f>
        <x:v>999999</x:v>
      </x:c>
      <x:c r="AF566" s="648" t="n">
        <x:f>B566*D566*F566*J566</x:f>
        <x:v>0.000022499999999999998</x:v>
      </x:c>
      <x:c r="AG566" s="648" t="n">
        <x:f>IF(P566&gt;0,AF566,0)</x:f>
        <x:v>0.000022499999999999998</x:v>
      </x:c>
      <x:c r="AH566" s="648" t="n">
        <x:f>IF(AND(P566&gt;0,S566&lt;0),AF566,0)</x:f>
        <x:v>0</x:v>
      </x:c>
      <x:c r="AI566" s="648" t="n">
        <x:f>IF(AND(P566&gt;0,S566=0),AF566,0)</x:f>
        <x:v>0</x:v>
      </x:c>
      <x:c r="AJ566" s="648" t="n">
        <x:f>IF(R566&lt;30000,AF566,0)</x:f>
        <x:v>0</x:v>
      </x:c>
      <x:c r="AK566" s="647" t="n">
        <x:f>IF(P566&gt;0,AF566*S566,0)</x:f>
        <x:v>0.8999999999999999</x:v>
      </x:c>
    </x:row>
    <x:row r="567" ht="22" customHeight="1">
      <x:c r="A567" s="19" t="str">
        <x:v>进取</x:v>
      </x:c>
      <x:c r="B567" s="23" t="n">
        <x:f>'114_降本系数'!B28</x:f>
        <x:v>0.15</x:v>
      </x:c>
      <x:c r="C567" s="19" t="str">
        <x:v>L3</x:v>
      </x:c>
      <x:c r="D567" s="23" t="n">
        <x:f>'130_联合算法'!C20</x:f>
        <x:v>0.1</x:v>
      </x:c>
      <x:c r="E567" s="460" t="n">
        <x:f>'117_价格概率传导'!A11</x:f>
        <x:v>219900</x:v>
      </x:c>
      <x:c r="F567" s="23" t="n">
        <x:f>'117_价格概率传导'!E11</x:f>
        <x:v>0.15</x:v>
      </x:c>
      <x:c r="G567" s="23" t="n">
        <x:f>SUM('117_价格概率传导'!$E$6:$E$10)</x:f>
        <x:v>0.8500000000000001</x:v>
      </x:c>
      <x:c r="H567" s="23" t="n">
        <x:f>SUM('117_价格概率传导'!$E$6:$E$11)</x:f>
        <x:v>1</x:v>
      </x:c>
      <x:c r="I567" s="460" t="n">
        <x:f>'117_价格概率传导'!A18</x:f>
        <x:v>289900</x:v>
      </x:c>
      <x:c r="J567" s="23" t="n">
        <x:f>'117_价格概率传导'!E18</x:f>
        <x:v>0.1</x:v>
      </x:c>
      <x:c r="K567" s="23" t="n">
        <x:f>SUM('117_价格概率传导'!$E$16:$E$17)</x:f>
        <x:v>0.02</x:v>
      </x:c>
      <x:c r="L567" s="23" t="n">
        <x:f>SUM('117_价格概率传导'!$E$16:$E$18)</x:f>
        <x:v>0.12000000000000001</x:v>
      </x:c>
      <x:c r="M567" s="23" t="n">
        <x:f>MAX(0,MIN(H567,L567)-MAX(G567,K567))</x:f>
        <x:v>0</x:v>
      </x:c>
      <x:c r="N567" s="23" t="n">
        <x:f>B567*D567*M567</x:f>
        <x:v>0</x:v>
      </x:c>
      <x:c r="O567" s="460" t="n">
        <x:f>MIN(299900,I567+20000)</x:f>
        <x:v>299900</x:v>
      </x:c>
      <x:c r="P567" s="460" t="n">
        <x:f>O567-40000</x:f>
        <x:v>259900</x:v>
      </x:c>
      <x:c r="Q567" s="460" t="n">
        <x:f>O567-20000</x:f>
        <x:v>279900</x:v>
      </x:c>
      <x:c r="R567" s="460" t="n">
        <x:f>O567-E567</x:f>
        <x:v>80000</x:v>
      </x:c>
      <x:c r="S567" s="460" t="n">
        <x:f>IF(P567&gt;0,P567-E567,"")</x:f>
        <x:v>40000</x:v>
      </x:c>
      <x:c r="T567" s="460" t="n">
        <x:f>IF(Q567&gt;0,Q567-E567,"")</x:f>
        <x:v>60000</x:v>
      </x:c>
      <x:c r="U567" s="23" t="n">
        <x:f>IF(R567&lt;30000,N567,0)</x:f>
        <x:v>0</x:v>
      </x:c>
      <x:c r="V567" s="23" t="n">
        <x:f>IF(P567&gt;0,N567,0)</x:f>
        <x:v>0</x:v>
      </x:c>
      <x:c r="W567" s="23" t="n">
        <x:f>IF(AND(P567&gt;0,S567&lt;0),N567,0)</x:f>
        <x:v>0</x:v>
      </x:c>
      <x:c r="X567" s="23" t="n">
        <x:f>IF(AND(P567&gt;0,S567=0),N567,0)</x:f>
        <x:v>0</x:v>
      </x:c>
      <x:c r="Y567" s="23" t="n">
        <x:f>IF(Q567&gt;0,N567,0)</x:f>
        <x:v>0</x:v>
      </x:c>
      <x:c r="Z567" s="460" t="n">
        <x:f>IF(P567&gt;0,N567*S567,0)</x:f>
        <x:v>0</x:v>
      </x:c>
      <x:c r="AA567" s="460" t="n">
        <x:f>IF(Q567&gt;0,N567*T567,0)</x:f>
        <x:v>0</x:v>
      </x:c>
      <x:c r="AB567" s="460" t="n">
        <x:f>N567*R567</x:f>
        <x:v>0</x:v>
      </x:c>
      <x:c r="AC567" s="460" t="n">
        <x:f>IF(N567&gt;0,R567,999999)</x:f>
        <x:v>999999</x:v>
      </x:c>
      <x:c r="AD567" s="460" t="n">
        <x:f>IF(AND(N567&gt;0,P567&gt;0),S567,999999)</x:f>
        <x:v>999999</x:v>
      </x:c>
      <x:c r="AE567" s="460" t="n">
        <x:f>IF(AND(N567&gt;0,Q567&gt;0),T567,999999)</x:f>
        <x:v>999999</x:v>
      </x:c>
      <x:c r="AF567" s="23" t="n">
        <x:f>B567*D567*F567*J567</x:f>
        <x:v>0.000225</x:v>
      </x:c>
      <x:c r="AG567" s="23" t="n">
        <x:f>IF(P567&gt;0,AF567,0)</x:f>
        <x:v>0.000225</x:v>
      </x:c>
      <x:c r="AH567" s="23" t="n">
        <x:f>IF(AND(P567&gt;0,S567&lt;0),AF567,0)</x:f>
        <x:v>0</x:v>
      </x:c>
      <x:c r="AI567" s="23" t="n">
        <x:f>IF(AND(P567&gt;0,S567=0),AF567,0)</x:f>
        <x:v>0</x:v>
      </x:c>
      <x:c r="AJ567" s="23" t="n">
        <x:f>IF(R567&lt;30000,AF567,0)</x:f>
        <x:v>0</x:v>
      </x:c>
      <x:c r="AK567" s="460" t="n">
        <x:f>IF(P567&gt;0,AF567*S567,0)</x:f>
        <x:v>9</x:v>
      </x:c>
    </x:row>
    <x:row r="568" ht="22" customHeight="1">
      <x:c r="A568" s="643" t="str">
        <x:v>进取</x:v>
      </x:c>
      <x:c r="B568" s="648" t="n">
        <x:f>'114_降本系数'!B28</x:f>
        <x:v>0.15</x:v>
      </x:c>
      <x:c r="C568" s="643" t="str">
        <x:v>L3</x:v>
      </x:c>
      <x:c r="D568" s="648" t="n">
        <x:f>'130_联合算法'!C20</x:f>
        <x:v>0.1</x:v>
      </x:c>
      <x:c r="E568" s="647" t="n">
        <x:f>'117_价格概率传导'!A11</x:f>
        <x:v>219900</x:v>
      </x:c>
      <x:c r="F568" s="648" t="n">
        <x:f>'117_价格概率传导'!E11</x:f>
        <x:v>0.15</x:v>
      </x:c>
      <x:c r="G568" s="648" t="n">
        <x:f>SUM('117_价格概率传导'!$E$6:$E$10)</x:f>
        <x:v>0.8500000000000001</x:v>
      </x:c>
      <x:c r="H568" s="648" t="n">
        <x:f>SUM('117_价格概率传导'!$E$6:$E$11)</x:f>
        <x:v>1</x:v>
      </x:c>
      <x:c r="I568" s="647" t="n">
        <x:f>'117_价格概率传导'!A19</x:f>
        <x:v>279900</x:v>
      </x:c>
      <x:c r="J568" s="648" t="n">
        <x:f>'117_价格概率传导'!E19</x:f>
        <x:v>0.3</x:v>
      </x:c>
      <x:c r="K568" s="648" t="n">
        <x:f>SUM('117_价格概率传导'!$E$16:$E$18)</x:f>
        <x:v>0.12000000000000001</x:v>
      </x:c>
      <x:c r="L568" s="648" t="n">
        <x:f>SUM('117_价格概率传导'!$E$16:$E$19)</x:f>
        <x:v>0.42</x:v>
      </x:c>
      <x:c r="M568" s="648" t="n">
        <x:f>MAX(0,MIN(H568,L568)-MAX(G568,K568))</x:f>
        <x:v>0</x:v>
      </x:c>
      <x:c r="N568" s="648" t="n">
        <x:f>B568*D568*M568</x:f>
        <x:v>0</x:v>
      </x:c>
      <x:c r="O568" s="647" t="n">
        <x:f>MIN(299900,I568+20000)</x:f>
        <x:v>299900</x:v>
      </x:c>
      <x:c r="P568" s="647" t="n">
        <x:f>O568-40000</x:f>
        <x:v>259900</x:v>
      </x:c>
      <x:c r="Q568" s="647" t="n">
        <x:f>O568-20000</x:f>
        <x:v>279900</x:v>
      </x:c>
      <x:c r="R568" s="647" t="n">
        <x:f>O568-E568</x:f>
        <x:v>80000</x:v>
      </x:c>
      <x:c r="S568" s="647" t="n">
        <x:f>IF(P568&gt;0,P568-E568,"")</x:f>
        <x:v>40000</x:v>
      </x:c>
      <x:c r="T568" s="647" t="n">
        <x:f>IF(Q568&gt;0,Q568-E568,"")</x:f>
        <x:v>60000</x:v>
      </x:c>
      <x:c r="U568" s="648" t="n">
        <x:f>IF(R568&lt;30000,N568,0)</x:f>
        <x:v>0</x:v>
      </x:c>
      <x:c r="V568" s="648" t="n">
        <x:f>IF(P568&gt;0,N568,0)</x:f>
        <x:v>0</x:v>
      </x:c>
      <x:c r="W568" s="648" t="n">
        <x:f>IF(AND(P568&gt;0,S568&lt;0),N568,0)</x:f>
        <x:v>0</x:v>
      </x:c>
      <x:c r="X568" s="648" t="n">
        <x:f>IF(AND(P568&gt;0,S568=0),N568,0)</x:f>
        <x:v>0</x:v>
      </x:c>
      <x:c r="Y568" s="648" t="n">
        <x:f>IF(Q568&gt;0,N568,0)</x:f>
        <x:v>0</x:v>
      </x:c>
      <x:c r="Z568" s="647" t="n">
        <x:f>IF(P568&gt;0,N568*S568,0)</x:f>
        <x:v>0</x:v>
      </x:c>
      <x:c r="AA568" s="647" t="n">
        <x:f>IF(Q568&gt;0,N568*T568,0)</x:f>
        <x:v>0</x:v>
      </x:c>
      <x:c r="AB568" s="647" t="n">
        <x:f>N568*R568</x:f>
        <x:v>0</x:v>
      </x:c>
      <x:c r="AC568" s="647" t="n">
        <x:f>IF(N568&gt;0,R568,999999)</x:f>
        <x:v>999999</x:v>
      </x:c>
      <x:c r="AD568" s="647" t="n">
        <x:f>IF(AND(N568&gt;0,P568&gt;0),S568,999999)</x:f>
        <x:v>999999</x:v>
      </x:c>
      <x:c r="AE568" s="647" t="n">
        <x:f>IF(AND(N568&gt;0,Q568&gt;0),T568,999999)</x:f>
        <x:v>999999</x:v>
      </x:c>
      <x:c r="AF568" s="648" t="n">
        <x:f>B568*D568*F568*J568</x:f>
        <x:v>0.0006749999999999999</x:v>
      </x:c>
      <x:c r="AG568" s="648" t="n">
        <x:f>IF(P568&gt;0,AF568,0)</x:f>
        <x:v>0.0006749999999999999</x:v>
      </x:c>
      <x:c r="AH568" s="648" t="n">
        <x:f>IF(AND(P568&gt;0,S568&lt;0),AF568,0)</x:f>
        <x:v>0</x:v>
      </x:c>
      <x:c r="AI568" s="648" t="n">
        <x:f>IF(AND(P568&gt;0,S568=0),AF568,0)</x:f>
        <x:v>0</x:v>
      </x:c>
      <x:c r="AJ568" s="648" t="n">
        <x:f>IF(R568&lt;30000,AF568,0)</x:f>
        <x:v>0</x:v>
      </x:c>
      <x:c r="AK568" s="647" t="n">
        <x:f>IF(P568&gt;0,AF568*S568,0)</x:f>
        <x:v>26.999999999999996</x:v>
      </x:c>
    </x:row>
    <x:row r="569" ht="22" customHeight="1">
      <x:c r="A569" s="19" t="str">
        <x:v>进取</x:v>
      </x:c>
      <x:c r="B569" s="23" t="n">
        <x:f>'114_降本系数'!B28</x:f>
        <x:v>0.15</x:v>
      </x:c>
      <x:c r="C569" s="19" t="str">
        <x:v>L3</x:v>
      </x:c>
      <x:c r="D569" s="23" t="n">
        <x:f>'130_联合算法'!C20</x:f>
        <x:v>0.1</x:v>
      </x:c>
      <x:c r="E569" s="460" t="n">
        <x:f>'117_价格概率传导'!A11</x:f>
        <x:v>219900</x:v>
      </x:c>
      <x:c r="F569" s="23" t="n">
        <x:f>'117_价格概率传导'!E11</x:f>
        <x:v>0.15</x:v>
      </x:c>
      <x:c r="G569" s="23" t="n">
        <x:f>SUM('117_价格概率传导'!$E$6:$E$10)</x:f>
        <x:v>0.8500000000000001</x:v>
      </x:c>
      <x:c r="H569" s="23" t="n">
        <x:f>SUM('117_价格概率传导'!$E$6:$E$11)</x:f>
        <x:v>1</x:v>
      </x:c>
      <x:c r="I569" s="460" t="n">
        <x:f>'117_价格概率传导'!A20</x:f>
        <x:v>269900</x:v>
      </x:c>
      <x:c r="J569" s="23" t="n">
        <x:f>'117_价格概率传导'!E20</x:f>
        <x:v>0.38</x:v>
      </x:c>
      <x:c r="K569" s="23" t="n">
        <x:f>SUM('117_价格概率传导'!$E$16:$E$19)</x:f>
        <x:v>0.42</x:v>
      </x:c>
      <x:c r="L569" s="23" t="n">
        <x:f>SUM('117_价格概率传导'!$E$16:$E$20)</x:f>
        <x:v>0.8</x:v>
      </x:c>
      <x:c r="M569" s="23" t="n">
        <x:f>MAX(0,MIN(H569,L569)-MAX(G569,K569))</x:f>
        <x:v>0</x:v>
      </x:c>
      <x:c r="N569" s="23" t="n">
        <x:f>B569*D569*M569</x:f>
        <x:v>0</x:v>
      </x:c>
      <x:c r="O569" s="460" t="n">
        <x:f>MIN(299900,I569+20000)</x:f>
        <x:v>289900</x:v>
      </x:c>
      <x:c r="P569" s="460" t="n">
        <x:f>O569-40000</x:f>
        <x:v>249900</x:v>
      </x:c>
      <x:c r="Q569" s="460" t="n">
        <x:f>O569-20000</x:f>
        <x:v>269900</x:v>
      </x:c>
      <x:c r="R569" s="460" t="n">
        <x:f>O569-E569</x:f>
        <x:v>70000</x:v>
      </x:c>
      <x:c r="S569" s="460" t="n">
        <x:f>IF(P569&gt;0,P569-E569,"")</x:f>
        <x:v>30000</x:v>
      </x:c>
      <x:c r="T569" s="460" t="n">
        <x:f>IF(Q569&gt;0,Q569-E569,"")</x:f>
        <x:v>50000</x:v>
      </x:c>
      <x:c r="U569" s="23" t="n">
        <x:f>IF(R569&lt;30000,N569,0)</x:f>
        <x:v>0</x:v>
      </x:c>
      <x:c r="V569" s="23" t="n">
        <x:f>IF(P569&gt;0,N569,0)</x:f>
        <x:v>0</x:v>
      </x:c>
      <x:c r="W569" s="23" t="n">
        <x:f>IF(AND(P569&gt;0,S569&lt;0),N569,0)</x:f>
        <x:v>0</x:v>
      </x:c>
      <x:c r="X569" s="23" t="n">
        <x:f>IF(AND(P569&gt;0,S569=0),N569,0)</x:f>
        <x:v>0</x:v>
      </x:c>
      <x:c r="Y569" s="23" t="n">
        <x:f>IF(Q569&gt;0,N569,0)</x:f>
        <x:v>0</x:v>
      </x:c>
      <x:c r="Z569" s="460" t="n">
        <x:f>IF(P569&gt;0,N569*S569,0)</x:f>
        <x:v>0</x:v>
      </x:c>
      <x:c r="AA569" s="460" t="n">
        <x:f>IF(Q569&gt;0,N569*T569,0)</x:f>
        <x:v>0</x:v>
      </x:c>
      <x:c r="AB569" s="460" t="n">
        <x:f>N569*R569</x:f>
        <x:v>0</x:v>
      </x:c>
      <x:c r="AC569" s="460" t="n">
        <x:f>IF(N569&gt;0,R569,999999)</x:f>
        <x:v>999999</x:v>
      </x:c>
      <x:c r="AD569" s="460" t="n">
        <x:f>IF(AND(N569&gt;0,P569&gt;0),S569,999999)</x:f>
        <x:v>999999</x:v>
      </x:c>
      <x:c r="AE569" s="460" t="n">
        <x:f>IF(AND(N569&gt;0,Q569&gt;0),T569,999999)</x:f>
        <x:v>999999</x:v>
      </x:c>
      <x:c r="AF569" s="23" t="n">
        <x:f>B569*D569*F569*J569</x:f>
        <x:v>0.000855</x:v>
      </x:c>
      <x:c r="AG569" s="23" t="n">
        <x:f>IF(P569&gt;0,AF569,0)</x:f>
        <x:v>0.000855</x:v>
      </x:c>
      <x:c r="AH569" s="23" t="n">
        <x:f>IF(AND(P569&gt;0,S569&lt;0),AF569,0)</x:f>
        <x:v>0</x:v>
      </x:c>
      <x:c r="AI569" s="23" t="n">
        <x:f>IF(AND(P569&gt;0,S569=0),AF569,0)</x:f>
        <x:v>0</x:v>
      </x:c>
      <x:c r="AJ569" s="23" t="n">
        <x:f>IF(R569&lt;30000,AF569,0)</x:f>
        <x:v>0</x:v>
      </x:c>
      <x:c r="AK569" s="460" t="n">
        <x:f>IF(P569&gt;0,AF569*S569,0)</x:f>
        <x:v>25.65</x:v>
      </x:c>
    </x:row>
    <x:row r="570" ht="22" customHeight="1">
      <x:c r="A570" s="643" t="str">
        <x:v>进取</x:v>
      </x:c>
      <x:c r="B570" s="648" t="n">
        <x:f>'114_降本系数'!B28</x:f>
        <x:v>0.15</x:v>
      </x:c>
      <x:c r="C570" s="643" t="str">
        <x:v>L3</x:v>
      </x:c>
      <x:c r="D570" s="648" t="n">
        <x:f>'130_联合算法'!C20</x:f>
        <x:v>0.1</x:v>
      </x:c>
      <x:c r="E570" s="647" t="n">
        <x:f>'117_价格概率传导'!A11</x:f>
        <x:v>219900</x:v>
      </x:c>
      <x:c r="F570" s="648" t="n">
        <x:f>'117_价格概率传导'!E11</x:f>
        <x:v>0.15</x:v>
      </x:c>
      <x:c r="G570" s="648" t="n">
        <x:f>SUM('117_价格概率传导'!$E$6:$E$10)</x:f>
        <x:v>0.8500000000000001</x:v>
      </x:c>
      <x:c r="H570" s="648" t="n">
        <x:f>SUM('117_价格概率传导'!$E$6:$E$11)</x:f>
        <x:v>1</x:v>
      </x:c>
      <x:c r="I570" s="647" t="n">
        <x:f>'117_价格概率传导'!A21</x:f>
        <x:v>259900</x:v>
      </x:c>
      <x:c r="J570" s="648" t="n">
        <x:f>'117_价格概率传导'!E21</x:f>
        <x:v>0.2</x:v>
      </x:c>
      <x:c r="K570" s="648" t="n">
        <x:f>SUM('117_价格概率传导'!$E$16:$E$20)</x:f>
        <x:v>0.8</x:v>
      </x:c>
      <x:c r="L570" s="648" t="n">
        <x:f>SUM('117_价格概率传导'!$E$16:$E$21)</x:f>
        <x:v>1</x:v>
      </x:c>
      <x:c r="M570" s="648" t="n">
        <x:f>MAX(0,MIN(H570,L570)-MAX(G570,K570))</x:f>
        <x:v>0.1499999999999999</x:v>
      </x:c>
      <x:c r="N570" s="648" t="n">
        <x:f>B570*D570*M570</x:f>
        <x:v>0.0022499999999999985</x:v>
      </x:c>
      <x:c r="O570" s="647" t="n">
        <x:f>MIN(299900,I570+20000)</x:f>
        <x:v>279900</x:v>
      </x:c>
      <x:c r="P570" s="647" t="n">
        <x:f>O570-40000</x:f>
        <x:v>239900</x:v>
      </x:c>
      <x:c r="Q570" s="647" t="n">
        <x:f>O570-20000</x:f>
        <x:v>259900</x:v>
      </x:c>
      <x:c r="R570" s="647" t="n">
        <x:f>O570-E570</x:f>
        <x:v>60000</x:v>
      </x:c>
      <x:c r="S570" s="647" t="n">
        <x:f>IF(P570&gt;0,P570-E570,"")</x:f>
        <x:v>20000</x:v>
      </x:c>
      <x:c r="T570" s="647" t="n">
        <x:f>IF(Q570&gt;0,Q570-E570,"")</x:f>
        <x:v>40000</x:v>
      </x:c>
      <x:c r="U570" s="648" t="n">
        <x:f>IF(R570&lt;30000,N570,0)</x:f>
        <x:v>0</x:v>
      </x:c>
      <x:c r="V570" s="648" t="n">
        <x:f>IF(P570&gt;0,N570,0)</x:f>
        <x:v>0.0022499999999999985</x:v>
      </x:c>
      <x:c r="W570" s="648" t="n">
        <x:f>IF(AND(P570&gt;0,S570&lt;0),N570,0)</x:f>
        <x:v>0</x:v>
      </x:c>
      <x:c r="X570" s="648" t="n">
        <x:f>IF(AND(P570&gt;0,S570=0),N570,0)</x:f>
        <x:v>0</x:v>
      </x:c>
      <x:c r="Y570" s="648" t="n">
        <x:f>IF(Q570&gt;0,N570,0)</x:f>
        <x:v>0.0022499999999999985</x:v>
      </x:c>
      <x:c r="Z570" s="647" t="n">
        <x:f>IF(P570&gt;0,N570*S570,0)</x:f>
        <x:v>44.99999999999997</x:v>
      </x:c>
      <x:c r="AA570" s="647" t="n">
        <x:f>IF(Q570&gt;0,N570*T570,0)</x:f>
        <x:v>89.99999999999994</x:v>
      </x:c>
      <x:c r="AB570" s="647" t="n">
        <x:f>N570*R570</x:f>
        <x:v>134.99999999999991</x:v>
      </x:c>
      <x:c r="AC570" s="647" t="n">
        <x:f>IF(N570&gt;0,R570,999999)</x:f>
        <x:v>60000</x:v>
      </x:c>
      <x:c r="AD570" s="647" t="n">
        <x:f>IF(AND(N570&gt;0,P570&gt;0),S570,999999)</x:f>
        <x:v>20000</x:v>
      </x:c>
      <x:c r="AE570" s="647" t="n">
        <x:f>IF(AND(N570&gt;0,Q570&gt;0),T570,999999)</x:f>
        <x:v>40000</x:v>
      </x:c>
      <x:c r="AF570" s="648" t="n">
        <x:f>B570*D570*F570*J570</x:f>
        <x:v>0.00045</x:v>
      </x:c>
      <x:c r="AG570" s="648" t="n">
        <x:f>IF(P570&gt;0,AF570,0)</x:f>
        <x:v>0.00045</x:v>
      </x:c>
      <x:c r="AH570" s="648" t="n">
        <x:f>IF(AND(P570&gt;0,S570&lt;0),AF570,0)</x:f>
        <x:v>0</x:v>
      </x:c>
      <x:c r="AI570" s="648" t="n">
        <x:f>IF(AND(P570&gt;0,S570=0),AF570,0)</x:f>
        <x:v>0</x:v>
      </x:c>
      <x:c r="AJ570" s="648" t="n">
        <x:f>IF(R570&lt;30000,AF570,0)</x:f>
        <x:v>0</x:v>
      </x:c>
      <x:c r="AK570" s="647" t="n">
        <x:f>IF(P570&gt;0,AF570*S570,0)</x:f>
        <x:v>9</x:v>
      </x:c>
    </x:row>
  </x:sheetData>
  <x:mergeCells>
    <x:mergeCell ref="A1:L1"/>
    <x:mergeCell ref="A2:L2"/>
    <x:mergeCell ref="A3:L3"/>
    <x:mergeCell ref="A29:AK29"/>
  </x:mergeCells>
  <x:conditionalFormatting sqref="D6:D17">
    <x:cfRule type="containsText" dxfId="3835" priority="1" operator="containsText" text="PASS"/>
    <x:cfRule type="containsText" dxfId="3836" priority="2" operator="containsText" text="SIGNED"/>
    <x:cfRule type="containsText" dxfId="3837" priority="3" operator="containsText" text="CONFIRMED"/>
    <x:cfRule type="containsText" dxfId="3838" priority="4" operator="containsText" text="OFFICIAL"/>
    <x:cfRule type="containsText" dxfId="3839" priority="5" operator="containsText" text="FINAL"/>
    <x:cfRule type="containsText" dxfId="3840" priority="6" operator="containsText" text="READY"/>
    <x:cfRule type="containsText" dxfId="3841" priority="7" operator="containsText" text="MODEL"/>
    <x:cfRule type="containsText" dxfId="3842" priority="8" operator="containsText" text="CONDITIONAL"/>
    <x:cfRule type="containsText" dxfId="3843" priority="9" operator="containsText" text="PREDICTED"/>
    <x:cfRule type="containsText" dxfId="3844" priority="10" operator="containsText" text="MEDIUM"/>
    <x:cfRule type="containsText" dxfId="3845" priority="11" operator="containsText" text="WORKING"/>
    <x:cfRule type="containsText" dxfId="3846" priority="12" operator="containsText" text="WATCH"/>
    <x:cfRule type="containsText" dxfId="3847" priority="13" operator="containsText" text="EXCLUDED"/>
    <x:cfRule type="containsText" dxfId="3848" priority="14" operator="containsText" text="SEPARATE"/>
    <x:cfRule type="containsText" dxfId="3849" priority="15" operator="containsText" text="REGULATORY"/>
    <x:cfRule type="containsText" dxfId="3850" priority="16" operator="containsText" text="FAIL"/>
    <x:cfRule type="containsText" dxfId="3851" priority="17" operator="containsText" text="BLOCKED"/>
    <x:cfRule type="containsText" dxfId="3852" priority="18" operator="containsText" text="LOW"/>
  </x:conditionalFormatting>
  <x:conditionalFormatting sqref="I6:I11">
    <x:cfRule type="containsText" dxfId="3853" priority="19" operator="containsText" text="PASS"/>
    <x:cfRule type="containsText" dxfId="3854" priority="20" operator="containsText" text="SIGNED"/>
    <x:cfRule type="containsText" dxfId="3855" priority="21" operator="containsText" text="CONFIRMED"/>
    <x:cfRule type="containsText" dxfId="3856" priority="22" operator="containsText" text="OFFICIAL"/>
    <x:cfRule type="containsText" dxfId="3857" priority="23" operator="containsText" text="FINAL"/>
    <x:cfRule type="containsText" dxfId="3858" priority="24" operator="containsText" text="READY"/>
    <x:cfRule type="containsText" dxfId="3859" priority="25" operator="containsText" text="MODEL"/>
    <x:cfRule type="containsText" dxfId="3860" priority="26" operator="containsText" text="CONDITIONAL"/>
    <x:cfRule type="containsText" dxfId="3861" priority="27" operator="containsText" text="PREDICTED"/>
    <x:cfRule type="containsText" dxfId="3862" priority="28" operator="containsText" text="MEDIUM"/>
    <x:cfRule type="containsText" dxfId="3863" priority="29" operator="containsText" text="WORKING"/>
    <x:cfRule type="containsText" dxfId="3864" priority="30" operator="containsText" text="WATCH"/>
    <x:cfRule type="containsText" dxfId="3865" priority="31" operator="containsText" text="EXCLUDED"/>
    <x:cfRule type="containsText" dxfId="3866" priority="32" operator="containsText" text="SEPARATE"/>
    <x:cfRule type="containsText" dxfId="3867" priority="33" operator="containsText" text="REGULATORY"/>
    <x:cfRule type="containsText" dxfId="3868" priority="34" operator="containsText" text="FAIL"/>
    <x:cfRule type="containsText" dxfId="3869" priority="35" operator="containsText" text="BLOCKED"/>
    <x:cfRule type="containsText" dxfId="3870" priority="36" operator="containsText" text="LOW"/>
  </x:conditionalFormatting>
  <x:pageMargins left="0.7" right="0.7" top="0.75" bottom="0.75" header="0.3" footer="0.3"/>
</x:worksheet>
</file>

<file path=xl/worksheets/sheet13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5" hidden="0" customWidth="1"/>
    <x:col min="3" max="3" width="16" hidden="0" customWidth="1"/>
    <x:col min="4" max="4" width="16" hidden="0" customWidth="1"/>
    <x:col min="5" max="5" width="16" hidden="0" customWidth="1"/>
    <x:col min="6" max="6" width="14" hidden="0" customWidth="1"/>
    <x:col min="7" max="7" width="18" hidden="0" customWidth="1"/>
    <x:col min="8" max="8" width="16" hidden="0" customWidth="1"/>
    <x:col min="9" max="9" width="17" hidden="0" customWidth="1"/>
    <x:col min="10" max="10" width="17" hidden="0" customWidth="1"/>
    <x:col min="11" max="11" width="17" hidden="0" customWidth="1"/>
    <x:col min="12" max="12" width="17" hidden="0" customWidth="1"/>
    <x:col min="13" max="13" width="23" hidden="0" customWidth="1"/>
    <x:col min="14" max="14" width="31" hidden="0" customWidth="1"/>
  </x:cols>
  <x:sheetData>
    <x:row r="1" ht="30" customHeight="1">
      <x:c r="A1" s="630" t="str">
        <x:v>137｜低价尾与敏感性：更低有路径，但精确权重不是统计概率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</x:row>
    <x:row r="2" ht="22" customHeight="1">
      <x:c r="A2" s="633" t="str">
        <x:v>回答“还能不能更低”｜供应链、竞争与阵容分别作为条件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</x:row>
    <x:row r="3" ht="92" customHeight="1">
      <x:c r="A3" s="637" t="str">
        <x:v>旧中心模型给出N70 Max≤23.99约47.8%、N90 Max≤26.99约18.0%，这些数字用于相对比较，不是现实频率。最稳健的结论只有：更低不是零可能；但越过中心价1—2万元通常需要更强成本传导、竞争压力或低SKU承担起售价，不能从单一电池降本直接推出。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</x:row>
    <x:row r="5" ht="52" customHeight="1">
      <x:c r="A5" s="642" t="str">
        <x:v>对象</x:v>
      </x:c>
      <x:c r="B5" s="642" t="str">
        <x:v>阈值</x:v>
      </x:c>
      <x:c r="C5" s="642" t="str">
        <x:v>中心权重</x:v>
      </x:c>
      <x:c r="D5" s="642" t="str">
        <x:v>含义</x:v>
      </x:c>
      <x:c r="E5" s="642" t="str">
        <x:v>主要成立条件</x:v>
      </x:c>
      <x:c r="F5" s="642" t="str">
        <x:v>不成立条件</x:v>
      </x:c>
      <x:c r="G5" s="642" t="str">
        <x:v>状态</x:v>
      </x:c>
    </x:row>
    <x:row r="6" ht="56" customHeight="1">
      <x:c r="A6" s="19" t="str">
        <x:v>N70 Max</x:v>
      </x:c>
      <x:c r="B6" s="19" t="str">
        <x:v>≤23.99</x:v>
      </x:c>
      <x:c r="C6" s="23" t="n">
        <x:f>'131_N70最终分布'!B21</x:f>
        <x:v>0.478</x:v>
      </x:c>
      <x:c r="D6" s="19" t="str">
        <x:v>降2万或更多</x:v>
      </x:c>
      <x:c r="E6" s="19" t="str">
        <x:v>供应链传导+竞品压力</x:v>
      </x:c>
      <x:c r="F6" s="19" t="str">
        <x:v>订单极强/配置上调</x:v>
      </x:c>
      <x:c r="G6" s="19" t="str">
        <x:v>LOW_PRICE_NONZERO</x:v>
      </x:c>
    </x:row>
    <x:row r="7" ht="56" customHeight="1">
      <x:c r="A7" s="643" t="str">
        <x:v>N70 Max</x:v>
      </x:c>
      <x:c r="B7" s="643" t="str">
        <x:v>≤22.99</x:v>
      </x:c>
      <x:c r="C7" s="648" t="n">
        <x:f>'131_N70最终分布'!B22</x:f>
        <x:v>0.16899999999999998</x:v>
      </x:c>
      <x:c r="D7" s="643" t="str">
        <x:v>降3万或更多</x:v>
      </x:c>
      <x:c r="E7" s="643" t="str">
        <x:v>强进攻</x:v>
      </x:c>
      <x:c r="F7" s="643" t="str">
        <x:v>利润/产能优先</x:v>
      </x:c>
      <x:c r="G7" s="643" t="str">
        <x:v>STRONG_TAIL</x:v>
      </x:c>
    </x:row>
    <x:row r="8" ht="56" customHeight="1">
      <x:c r="A8" s="19" t="str">
        <x:v>N70 Max</x:v>
      </x:c>
      <x:c r="B8" s="19" t="str">
        <x:v>≤21.99</x:v>
      </x:c>
      <x:c r="C8" s="23" t="n">
        <x:f>'117_价格概率传导'!F11</x:f>
        <x:v>0.040999999999999995</x:v>
      </x:c>
      <x:c r="D8" s="19" t="str">
        <x:v>降4万</x:v>
      </x:c>
      <x:c r="E8" s="19" t="str">
        <x:v>战略尾部</x:v>
      </x:c>
      <x:c r="F8" s="19" t="str">
        <x:v>正常中心</x:v>
      </x:c>
      <x:c r="G8" s="19" t="str">
        <x:v>EXTREME_TAIL</x:v>
      </x:c>
    </x:row>
    <x:row r="9" ht="56" customHeight="1">
      <x:c r="A9" s="643" t="str">
        <x:v>N90 Max</x:v>
      </x:c>
      <x:c r="B9" s="643" t="str">
        <x:v>≤27.99</x:v>
      </x:c>
      <x:c r="C9" s="648" t="n">
        <x:f>SUM('133_N90价格边际'!B6:B8)</x:f>
        <x:v>0.46364999999999995</x:v>
      </x:c>
      <x:c r="D9" s="643" t="str">
        <x:v>双峰以下</x:v>
      </x:c>
      <x:c r="E9" s="643" t="str">
        <x:v>仅Max阵容更支持</x:v>
      </x:c>
      <x:c r="F9" s="643" t="str">
        <x:v>有低价SKU</x:v>
      </x:c>
      <x:c r="G9" s="643" t="str">
        <x:v>CENTRAL_SPLIT</x:v>
      </x:c>
    </x:row>
    <x:row r="10" ht="56" customHeight="1">
      <x:c r="A10" s="19" t="str">
        <x:v>N90 Max</x:v>
      </x:c>
      <x:c r="B10" s="19" t="str">
        <x:v>≤26.99</x:v>
      </x:c>
      <x:c r="C10" s="23" t="n">
        <x:f>SUM('133_N90价格边际'!B6:B7)</x:f>
        <x:v>0.17985</x:v>
      </x:c>
      <x:c r="D10" s="19" t="str">
        <x:v>降3万或更多</x:v>
      </x:c>
      <x:c r="E10" s="19" t="str">
        <x:v>仅Max+强传导</x:v>
      </x:c>
      <x:c r="F10" s="19" t="str">
        <x:v>Max需保利润锚</x:v>
      </x:c>
      <x:c r="G10" s="19" t="str">
        <x:v>STRONG_TAIL</x:v>
      </x:c>
    </x:row>
    <x:row r="11" ht="56" customHeight="1">
      <x:c r="A11" s="643" t="str">
        <x:v>N90 Max</x:v>
      </x:c>
      <x:c r="B11" s="643" t="str">
        <x:v>≤25.99</x:v>
      </x:c>
      <x:c r="C11" s="648" t="n">
        <x:f>'133_N90价格边际'!B6</x:f>
        <x:v>0.0423</x:v>
      </x:c>
      <x:c r="D11" s="643" t="str">
        <x:v>降4万</x:v>
      </x:c>
      <x:c r="E11" s="643" t="str">
        <x:v>极强进攻</x:v>
      </x:c>
      <x:c r="F11" s="643" t="str">
        <x:v>低SKU已存在</x:v>
      </x:c>
      <x:c r="G11" s="643" t="str">
        <x:v>EXTREME_TAIL</x:v>
      </x:c>
    </x:row>
    <x:row r="12" ht="56" customHeight="1">
      <x:c r="A12" s="19" t="str">
        <x:v>N90 Standard｜存在</x:v>
      </x:c>
      <x:c r="B12" s="19" t="str">
        <x:v>≤24.99</x:v>
      </x:c>
      <x:c r="C12" s="23" t="n">
        <x:f>SUM('133_N90价格边际'!H6:H7)</x:f>
        <x:v>0.19478571428571428</x:v>
      </x:c>
      <x:c r="D12" s="19" t="str">
        <x:v>低于条件中心1万+</x:v>
      </x:c>
      <x:c r="E12" s="19" t="str">
        <x:v>整组价格下移</x:v>
      </x:c>
      <x:c r="F12" s="19" t="str">
        <x:v>N70 Max仍高位</x:v>
      </x:c>
      <x:c r="G12" s="19" t="str">
        <x:v>FENCE_STRESS</x:v>
      </x:c>
    </x:row>
    <x:row r="13" ht="56" customHeight="1">
      <x:c r="A13" s="643" t="str">
        <x:v>N90 Pro｜存在</x:v>
      </x:c>
      <x:c r="B13" s="643" t="str">
        <x:v>≤26.99</x:v>
      </x:c>
      <x:c r="C13" s="648" t="n">
        <x:f>SUM('133_N90价格边际'!L6:L7)</x:f>
        <x:v>0.28800000000000003</x:v>
      </x:c>
      <x:c r="D13" s="643" t="str">
        <x:v>低于27.99中心</x:v>
      </x:c>
      <x:c r="E13" s="643" t="str">
        <x:v>全系下移</x:v>
      </x:c>
      <x:c r="F13" s="643" t="str">
        <x:v>Max保持29.99</x:v>
      </x:c>
      <x:c r="G13" s="643" t="str">
        <x:v>LOW_TAIL</x:v>
      </x:c>
    </x:row>
    <x:row r="14" ht="56" customHeight="1">
      <x:c r="A14" s="19" t="str">
        <x:v>N90升顶｜商品化</x:v>
      </x:c>
      <x:c r="B14" s="19" t="str">
        <x:v>≤29.99</x:v>
      </x:c>
      <x:c r="C14" s="23" t="n">
        <x:f>SUM('133_N90价格边际'!B6:B8)</x:f>
        <x:v>0.46364999999999995</x:v>
      </x:c>
      <x:c r="D14" s="19" t="str">
        <x:v>Max低位+约2万</x:v>
      </x:c>
      <x:c r="E14" s="19" t="str">
        <x:v>仅Max阵容/较低NRE</x:v>
      </x:c>
      <x:c r="F14" s="19" t="str">
        <x:v>低量定制</x:v>
      </x:c>
      <x:c r="G14" s="19" t="str">
        <x:v>CONDITIONAL_TAIL</x:v>
      </x:c>
    </x:row>
    <x:row r="17" ht="24" customHeight="1">
      <x:c r="A17" s="646" t="str">
        <x:v>阵容结构敏感性（只改变阵容叶权重，价格核保持不变）</x:v>
      </x:c>
      <x:c r="B17" s="646"/>
      <x:c r="C17" s="646"/>
      <x:c r="D17" s="646"/>
      <x:c r="E17" s="646"/>
      <x:c r="F17" s="646"/>
      <x:c r="G17" s="646"/>
      <x:c r="H17" s="646"/>
      <x:c r="I17" s="646"/>
      <x:c r="J17" s="646"/>
      <x:c r="K17" s="646"/>
      <x:c r="L17" s="646"/>
      <x:c r="M17" s="646"/>
      <x:c r="N17" s="646"/>
    </x:row>
    <x:row r="18" ht="58" customHeight="1">
      <x:c r="A18" s="642" t="str">
        <x:v>结构情景</x:v>
      </x:c>
      <x:c r="B18" s="642" t="str">
        <x:v>仅Max</x:v>
      </x:c>
      <x:c r="C18" s="642" t="str">
        <x:v>Std+Max主</x:v>
      </x:c>
      <x:c r="D18" s="642" t="str">
        <x:v>Std+Max备</x:v>
      </x:c>
      <x:c r="E18" s="642" t="str">
        <x:v>Pro+Max</x:v>
      </x:c>
      <x:c r="F18" s="642" t="str">
        <x:v>三档</x:v>
      </x:c>
      <x:c r="G18" s="642" t="str">
        <x:v>P(Standard)</x:v>
      </x:c>
      <x:c r="H18" s="642" t="str">
        <x:v>P(Pro)</x:v>
      </x:c>
      <x:c r="I18" s="642" t="str">
        <x:v>Max 25.99</x:v>
      </x:c>
      <x:c r="J18" s="642" t="str">
        <x:v>Max 26.99</x:v>
      </x:c>
      <x:c r="K18" s="642" t="str">
        <x:v>Max 27.99</x:v>
      </x:c>
      <x:c r="L18" s="642" t="str">
        <x:v>Max 28.99</x:v>
      </x:c>
      <x:c r="M18" s="642" t="str">
        <x:v>Max 29.99/29.39</x:v>
      </x:c>
      <x:c r="N18" s="642" t="str">
        <x:v>判读</x:v>
      </x:c>
    </x:row>
    <x:row r="19" ht="52" customHeight="1">
      <x:c r="A19" s="19" t="str">
        <x:v>宽松扩展</x:v>
      </x:c>
      <x:c r="B19" s="23" t="n">
        <x:v>0.5</x:v>
      </x:c>
      <x:c r="C19" s="23" t="n">
        <x:v>0.18</x:v>
      </x:c>
      <x:c r="D19" s="23" t="n">
        <x:v>0.12</x:v>
      </x:c>
      <x:c r="E19" s="23" t="n">
        <x:v>0.05</x:v>
      </x:c>
      <x:c r="F19" s="23" t="n">
        <x:v>0.15</x:v>
      </x:c>
      <x:c r="G19" s="23" t="n">
        <x:f>C19+D19+F19</x:f>
        <x:v>0.44999999999999996</x:v>
      </x:c>
      <x:c r="H19" s="23" t="n">
        <x:f>E19+F19</x:f>
        <x:v>0.2</x:v>
      </x:c>
      <x:c r="I19" s="23" t="n">
        <x:f>B19*'133_N90价格边际'!C6+C19*SUMIF('132_N90联合叶节点'!$H$12:$H$17,259900,'132_N90联合叶节点'!$G$12:$G$17)/15%+D19*SUMIF('132_N90联合叶节点'!$H$18:$H$23,259900,'132_N90联合叶节点'!$G$18:$G$23)/10%+E19*SUMIF('132_N90联合叶节点'!$H$24:$H$29,259900,'132_N90联合叶节点'!$G$24:$G$29)/5%+F19*SUMIF('132_N90联合叶节点'!$H$30:$H$35,259900,'132_N90联合叶节点'!$G$30:$G$35)/10%</x:f>
        <x:v>0.03525</x:v>
      </x:c>
      <x:c r="J19" s="23" t="n">
        <x:f>B19*'133_N90价格边际'!C7+C19*SUMIF('132_N90联合叶节点'!$H$12:$H$17,269900,'132_N90联合叶节点'!$G$12:$G$17)/15%+D19*SUMIF('132_N90联合叶节点'!$H$18:$H$23,269900,'132_N90联合叶节点'!$G$18:$G$23)/10%+E19*SUMIF('132_N90联合叶节点'!$H$24:$H$29,269900,'132_N90联合叶节点'!$G$24:$G$29)/5%+F19*SUMIF('132_N90联合叶节点'!$H$30:$H$35,269900,'132_N90联合叶节点'!$G$30:$G$35)/10%</x:f>
        <x:v>0.11721000000000001</x:v>
      </x:c>
      <x:c r="K19" s="23" t="n">
        <x:f>B19*'133_N90价格边际'!C8+C19*SUMIF('132_N90联合叶节点'!$H$12:$H$17,279900,'132_N90联合叶节点'!$G$12:$G$17)/15%+D19*SUMIF('132_N90联合叶节点'!$H$18:$H$23,279900,'132_N90联合叶节点'!$G$18:$G$23)/10%+E19*SUMIF('132_N90联合叶节点'!$H$24:$H$29,279900,'132_N90联合叶节点'!$G$24:$G$29)/5%+F19*SUMIF('132_N90联合叶节点'!$H$30:$H$35,279900,'132_N90联合叶节点'!$G$30:$G$35)/10%</x:f>
        <x:v>0.25364</x:v>
      </x:c>
      <x:c r="L19" s="23" t="n">
        <x:f>B19*'133_N90价格边际'!C9+C19*SUMIF('132_N90联合叶节点'!$H$12:$H$17,289900,'132_N90联合叶节点'!$G$12:$G$17)/15%+D19*SUMIF('132_N90联合叶节点'!$H$18:$H$23,289900,'132_N90联合叶节点'!$G$18:$G$23)/10%+E19*SUMIF('132_N90联合叶节点'!$H$24:$H$29,289900,'132_N90联合叶节点'!$G$24:$G$29)/5%+F19*SUMIF('132_N90联合叶节点'!$H$30:$H$35,289900,'132_N90联合叶节点'!$G$30:$G$35)/10%</x:f>
        <x:v>0.29009</x:v>
      </x:c>
      <x:c r="M19" s="23" t="n">
        <x:f>B19*'133_N90价格边际'!C11+C19*SUMIF('132_N90联合叶节点'!$H$12:$H$17,299900,'132_N90联合叶节点'!$G$12:$G$17)/15%+D19*SUMIF('132_N90联合叶节点'!$H$18:$H$23,299900,'132_N90联合叶节点'!$G$18:$G$23)/10%+E19*SUMIF('132_N90联合叶节点'!$H$24:$H$29,299900,'132_N90联合叶节点'!$G$24:$G$29)/5%+F19*SUMIF('132_N90联合叶节点'!$H$30:$H$35,299900,'132_N90联合叶节点'!$G$30:$G$35)/10%+B19*'133_N90价格边际'!C10+C19*SUMIF('132_N90联合叶节点'!$H$12:$H$17,293900,'132_N90联合叶节点'!$G$12:$G$17)/15%+D19*SUMIF('132_N90联合叶节点'!$H$18:$H$23,293900,'132_N90联合叶节点'!$G$18:$G$23)/10%+E19*SUMIF('132_N90联合叶节点'!$H$24:$H$29,293900,'132_N90联合叶节点'!$G$24:$G$29)/5%+F19*SUMIF('132_N90联合叶节点'!$H$30:$H$35,293900,'132_N90联合叶节点'!$G$30:$G$35)/10%</x:f>
        <x:v>0.30380999999999997</x:v>
      </x:c>
      <x:c r="N19" s="19" t="str">
        <x:v>更多版本</x:v>
      </x:c>
    </x:row>
    <x:row r="20" ht="52" customHeight="1">
      <x:c r="A20" s="643" t="str">
        <x:v>旧中心</x:v>
      </x:c>
      <x:c r="B20" s="648" t="n">
        <x:v>0.6</x:v>
      </x:c>
      <x:c r="C20" s="648" t="n">
        <x:v>0.15</x:v>
      </x:c>
      <x:c r="D20" s="648" t="n">
        <x:v>0.1</x:v>
      </x:c>
      <x:c r="E20" s="648" t="n">
        <x:v>0.05</x:v>
      </x:c>
      <x:c r="F20" s="648" t="n">
        <x:v>0.1</x:v>
      </x:c>
      <x:c r="G20" s="648" t="n">
        <x:f>C20+D20+F20</x:f>
        <x:v>0.35</x:v>
      </x:c>
      <x:c r="H20" s="648" t="n">
        <x:f>E20+F20</x:f>
        <x:v>0.15000000000000002</x:v>
      </x:c>
      <x:c r="I20" s="648" t="n">
        <x:f>B20*'133_N90价格边际'!C6+C20*SUMIF('132_N90联合叶节点'!$H$12:$H$17,259900,'132_N90联合叶节点'!$G$12:$G$17)/15%+D20*SUMIF('132_N90联合叶节点'!$H$18:$H$23,259900,'132_N90联合叶节点'!$G$18:$G$23)/10%+E20*SUMIF('132_N90联合叶节点'!$H$24:$H$29,259900,'132_N90联合叶节点'!$G$24:$G$29)/5%+F20*SUMIF('132_N90联合叶节点'!$H$30:$H$35,259900,'132_N90联合叶节点'!$G$30:$G$35)/10%</x:f>
        <x:v>0.0423</x:v>
      </x:c>
      <x:c r="J20" s="648" t="n">
        <x:f>B20*'133_N90价格边际'!C7+C20*SUMIF('132_N90联合叶节点'!$H$12:$H$17,269900,'132_N90联合叶节点'!$G$12:$G$17)/15%+D20*SUMIF('132_N90联合叶节点'!$H$18:$H$23,269900,'132_N90联合叶节点'!$G$18:$G$23)/10%+E20*SUMIF('132_N90联合叶节点'!$H$24:$H$29,269900,'132_N90联合叶节点'!$G$24:$G$29)/5%+F20*SUMIF('132_N90联合叶节点'!$H$30:$H$35,269900,'132_N90联合叶节点'!$G$30:$G$35)/10%</x:f>
        <x:v>0.13755</x:v>
      </x:c>
      <x:c r="K20" s="648" t="n">
        <x:f>B20*'133_N90价格边际'!C8+C20*SUMIF('132_N90联合叶节点'!$H$12:$H$17,279900,'132_N90联合叶节点'!$G$12:$G$17)/15%+D20*SUMIF('132_N90联合叶节点'!$H$18:$H$23,279900,'132_N90联合叶节点'!$G$18:$G$23)/10%+E20*SUMIF('132_N90联合叶节点'!$H$24:$H$29,279900,'132_N90联合叶节点'!$G$24:$G$29)/5%+F20*SUMIF('132_N90联合叶节点'!$H$30:$H$35,279900,'132_N90联合叶节点'!$G$30:$G$35)/10%</x:f>
        <x:v>0.28379999999999994</x:v>
      </x:c>
      <x:c r="L20" s="648" t="n">
        <x:f>B20*'133_N90价格边际'!C9+C20*SUMIF('132_N90联合叶节点'!$H$12:$H$17,289900,'132_N90联合叶节点'!$G$12:$G$17)/15%+D20*SUMIF('132_N90联合叶节点'!$H$18:$H$23,289900,'132_N90联合叶节点'!$G$18:$G$23)/10%+E20*SUMIF('132_N90联合叶节点'!$H$24:$H$29,289900,'132_N90联合叶节点'!$G$24:$G$29)/5%+F20*SUMIF('132_N90联合叶节点'!$H$30:$H$35,289900,'132_N90联合叶节点'!$G$30:$G$35)/10%</x:f>
        <x:v>0.28285</x:v>
      </x:c>
      <x:c r="M20" s="648" t="n">
        <x:f>B20*'133_N90价格边际'!C11+C20*SUMIF('132_N90联合叶节点'!$H$12:$H$17,299900,'132_N90联合叶节点'!$G$12:$G$17)/15%+D20*SUMIF('132_N90联合叶节点'!$H$18:$H$23,299900,'132_N90联合叶节点'!$G$18:$G$23)/10%+E20*SUMIF('132_N90联合叶节点'!$H$24:$H$29,299900,'132_N90联合叶节点'!$G$24:$G$29)/5%+F20*SUMIF('132_N90联合叶节点'!$H$30:$H$35,299900,'132_N90联合叶节点'!$G$30:$G$35)/10%+B20*'133_N90价格边际'!C10+C20*SUMIF('132_N90联合叶节点'!$H$12:$H$17,293900,'132_N90联合叶节点'!$G$12:$G$17)/15%+D20*SUMIF('132_N90联合叶节点'!$H$18:$H$23,293900,'132_N90联合叶节点'!$G$18:$G$23)/10%+E20*SUMIF('132_N90联合叶节点'!$H$24:$H$29,293900,'132_N90联合叶节点'!$G$24:$G$29)/5%+F20*SUMIF('132_N90联合叶节点'!$H$30:$H$35,293900,'132_N90联合叶节点'!$G$30:$G$35)/10%</x:f>
        <x:v>0.2535</x:v>
      </x:c>
      <x:c r="N20" s="643" t="str">
        <x:v>历史敏感性；已退出正文主模型</x:v>
      </x:c>
    </x:row>
    <x:row r="21" ht="52" customHeight="1">
      <x:c r="A21" s="19" t="str">
        <x:v>小米梯度严格</x:v>
      </x:c>
      <x:c r="B21" s="23" t="n">
        <x:v>0.65</x:v>
      </x:c>
      <x:c r="C21" s="23" t="n">
        <x:v>0.15</x:v>
      </x:c>
      <x:c r="D21" s="23" t="n">
        <x:v>0.1</x:v>
      </x:c>
      <x:c r="E21" s="23" t="n">
        <x:v>0.05</x:v>
      </x:c>
      <x:c r="F21" s="23" t="n">
        <x:v>0.05</x:v>
      </x:c>
      <x:c r="G21" s="23" t="n">
        <x:f>C21+D21+F21</x:f>
        <x:v>0.3</x:v>
      </x:c>
      <x:c r="H21" s="23" t="n">
        <x:f>E21+F21</x:f>
        <x:v>0.1</x:v>
      </x:c>
      <x:c r="I21" s="23" t="n">
        <x:f>B21*'133_N90价格边际'!C6+C21*SUMIF('132_N90联合叶节点'!$H$12:$H$17,259900,'132_N90联合叶节点'!$G$12:$G$17)/15%+D21*SUMIF('132_N90联合叶节点'!$H$18:$H$23,259900,'132_N90联合叶节点'!$G$18:$G$23)/10%+E21*SUMIF('132_N90联合叶节点'!$H$24:$H$29,259900,'132_N90联合叶节点'!$G$24:$G$29)/5%+F21*SUMIF('132_N90联合叶节点'!$H$30:$H$35,259900,'132_N90联合叶节点'!$G$30:$G$35)/10%</x:f>
        <x:v>0.045825</x:v>
      </x:c>
      <x:c r="J21" s="23" t="n">
        <x:f>B21*'133_N90价格边际'!C7+C21*SUMIF('132_N90联合叶节点'!$H$12:$H$17,269900,'132_N90联合叶节点'!$G$12:$G$17)/15%+D21*SUMIF('132_N90联合叶节点'!$H$18:$H$23,269900,'132_N90联合叶节点'!$G$18:$G$23)/10%+E21*SUMIF('132_N90联合叶节点'!$H$24:$H$29,269900,'132_N90联合叶节点'!$G$24:$G$29)/5%+F21*SUMIF('132_N90联合叶节点'!$H$30:$H$35,269900,'132_N90联合叶节点'!$G$30:$G$35)/10%</x:f>
        <x:v>0.14842500000000003</x:v>
      </x:c>
      <x:c r="K21" s="23" t="n">
        <x:f>B21*'133_N90价格边际'!C8+C21*SUMIF('132_N90联合叶节点'!$H$12:$H$17,279900,'132_N90联合叶节点'!$G$12:$G$17)/15%+D21*SUMIF('132_N90联合叶节点'!$H$18:$H$23,279900,'132_N90联合叶节点'!$G$18:$G$23)/10%+E21*SUMIF('132_N90联合叶节点'!$H$24:$H$29,279900,'132_N90联合叶节点'!$G$24:$G$29)/5%+F21*SUMIF('132_N90联合叶节点'!$H$30:$H$35,279900,'132_N90联合叶节点'!$G$30:$G$35)/10%</x:f>
        <x:v>0.30035</x:v>
      </x:c>
      <x:c r="L21" s="23" t="n">
        <x:f>B21*'133_N90价格边际'!C9+C21*SUMIF('132_N90联合叶节点'!$H$12:$H$17,289900,'132_N90联合叶节点'!$G$12:$G$17)/15%+D21*SUMIF('132_N90联合叶节点'!$H$18:$H$23,289900,'132_N90联合叶节点'!$G$18:$G$23)/10%+E21*SUMIF('132_N90联合叶节点'!$H$24:$H$29,289900,'132_N90联合叶节点'!$G$24:$G$29)/5%+F21*SUMIF('132_N90联合叶节点'!$H$30:$H$35,289900,'132_N90联合叶节点'!$G$30:$G$35)/10%</x:f>
        <x:v>0.28417500000000007</x:v>
      </x:c>
      <x:c r="M21" s="23" t="n">
        <x:f>B21*'133_N90价格边际'!C11+C21*SUMIF('132_N90联合叶节点'!$H$12:$H$17,299900,'132_N90联合叶节点'!$G$12:$G$17)/15%+D21*SUMIF('132_N90联合叶节点'!$H$18:$H$23,299900,'132_N90联合叶节点'!$G$18:$G$23)/10%+E21*SUMIF('132_N90联合叶节点'!$H$24:$H$29,299900,'132_N90联合叶节点'!$G$24:$G$29)/5%+F21*SUMIF('132_N90联合叶节点'!$H$30:$H$35,299900,'132_N90联合叶节点'!$G$30:$G$35)/10%+B21*'133_N90价格边际'!C10+C21*SUMIF('132_N90联合叶节点'!$H$12:$H$17,293900,'132_N90联合叶节点'!$G$12:$G$17)/15%+D21*SUMIF('132_N90联合叶节点'!$H$18:$H$23,293900,'132_N90联合叶节点'!$G$18:$G$23)/10%+E21*SUMIF('132_N90联合叶节点'!$H$24:$H$29,293900,'132_N90联合叶节点'!$G$24:$G$29)/5%+F21*SUMIF('132_N90联合叶节点'!$H$30:$H$35,293900,'132_N90联合叶节点'!$G$30:$G$35)/10%</x:f>
        <x:v>0.221225</x:v>
      </x:c>
      <x:c r="N21" s="19" t="str">
        <x:v>三档降权</x:v>
      </x:c>
    </x:row>
  </x:sheetData>
  <x:mergeCells>
    <x:mergeCell ref="A1:N1"/>
    <x:mergeCell ref="A2:N2"/>
    <x:mergeCell ref="A3:N3"/>
    <x:mergeCell ref="A17:N17"/>
  </x:mergeCells>
  <x:conditionalFormatting sqref="G6:G14">
    <x:cfRule type="containsText" dxfId="3871" priority="1" operator="containsText" text="PASS"/>
    <x:cfRule type="containsText" dxfId="3872" priority="2" operator="containsText" text="SIGNED"/>
    <x:cfRule type="containsText" dxfId="3873" priority="3" operator="containsText" text="CONFIRMED"/>
    <x:cfRule type="containsText" dxfId="3874" priority="4" operator="containsText" text="OFFICIAL"/>
    <x:cfRule type="containsText" dxfId="3875" priority="5" operator="containsText" text="FINAL"/>
    <x:cfRule type="containsText" dxfId="3876" priority="6" operator="containsText" text="READY"/>
    <x:cfRule type="containsText" dxfId="3877" priority="7" operator="containsText" text="MODEL"/>
    <x:cfRule type="containsText" dxfId="3878" priority="8" operator="containsText" text="CONDITIONAL"/>
    <x:cfRule type="containsText" dxfId="3879" priority="9" operator="containsText" text="PREDICTED"/>
    <x:cfRule type="containsText" dxfId="3880" priority="10" operator="containsText" text="MEDIUM"/>
    <x:cfRule type="containsText" dxfId="3881" priority="11" operator="containsText" text="WORKING"/>
    <x:cfRule type="containsText" dxfId="3882" priority="12" operator="containsText" text="WATCH"/>
    <x:cfRule type="containsText" dxfId="3883" priority="13" operator="containsText" text="EXCLUDED"/>
    <x:cfRule type="containsText" dxfId="3884" priority="14" operator="containsText" text="SEPARATE"/>
    <x:cfRule type="containsText" dxfId="3885" priority="15" operator="containsText" text="REGULATORY"/>
    <x:cfRule type="containsText" dxfId="3886" priority="16" operator="containsText" text="FAIL"/>
    <x:cfRule type="containsText" dxfId="3887" priority="17" operator="containsText" text="BLOCKED"/>
    <x:cfRule type="containsText" dxfId="3888" priority="18" operator="containsText" text="LOW"/>
  </x:conditionalFormatting>
  <x:pageMargins left="0.7" right="0.7" top="0.75" bottom="0.75" header="0.3" footer="0.3"/>
</x:worksheet>
</file>

<file path=xl/worksheets/sheet14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8" hidden="0" customWidth="1"/>
    <x:col min="3" max="3" width="18" hidden="0" customWidth="1"/>
    <x:col min="4" max="4" width="18" hidden="0" customWidth="1"/>
    <x:col min="5" max="5" width="13" hidden="0" customWidth="1"/>
    <x:col min="6" max="6" width="25" hidden="0" customWidth="1"/>
    <x:col min="7" max="7" width="20" hidden="0" customWidth="1"/>
    <x:col min="8" max="8" width="34" hidden="0" customWidth="1"/>
    <x:col min="9" max="9" width="39" hidden="0" customWidth="1"/>
    <x:col min="10" max="10" width="28" hidden="0" customWidth="1"/>
    <x:col min="11" max="11" width="17" hidden="0" customWidth="1"/>
    <x:col min="12" max="12" width="30" hidden="0" customWidth="1"/>
    <x:col min="13" max="13" width="24" hidden="0" customWidth="1"/>
    <x:col min="14" max="14" width="25" hidden="0" customWidth="1"/>
  </x:cols>
  <x:sheetData>
    <x:row r="1" ht="30" customHeight="1">
      <x:c r="A1" s="630" t="str">
        <x:v>138｜N90 Max升顶候选：独立专用车，规模化中心不按+5万元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</x:row>
    <x:row r="2" ht="22" customHeight="1">
      <x:c r="A2" s="633" t="str">
        <x:v>监管事实 × 旧工程成本桥 × 修正后的商业溢价围栏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</x:row>
    <x:row r="3" ht="92" customHeight="1">
      <x:c r="A3" s="637" t="str">
        <x:v>升顶申报车是5座“文化生活服务车”，比固定顶高100mm、重约40kg，并明确配备升降车顶和车顶床板供人员休息；尚未披露承重、睡眠人数与升起高度。旧工程桥中位全成本约2.58万元、含税技术价差约2.91万元；计入5座布局、删天幕信用与规模化后，主工作围栏仍为Max+1—3万元、中心+2万元，低量专用车则可能更高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</x:row>
    <x:row r="5" ht="60" customHeight="1">
      <x:c r="A5" s="642" t="str">
        <x:v>项目</x:v>
      </x:c>
      <x:c r="B5" s="642" t="str">
        <x:v>Low</x:v>
      </x:c>
      <x:c r="C5" s="642" t="str">
        <x:v>Mid</x:v>
      </x:c>
      <x:c r="D5" s="642" t="str">
        <x:v>High</x:v>
      </x:c>
      <x:c r="E5" s="642" t="str">
        <x:v>单位</x:v>
      </x:c>
      <x:c r="F5" s="642" t="str">
        <x:v>证据</x:v>
      </x:c>
      <x:c r="G5" s="642" t="str">
        <x:v>中心是否采用</x:v>
      </x:c>
      <x:c r="H5" s="642" t="str">
        <x:v>可以说</x:v>
      </x:c>
      <x:c r="I5" s="642" t="str">
        <x:v>不能说</x:v>
      </x:c>
      <x:c r="J5" s="642" t="str">
        <x:v>价格作用</x:v>
      </x:c>
      <x:c r="K5" s="642" t="str">
        <x:v>置信</x:v>
      </x:c>
      <x:c r="L5" s="642" t="str">
        <x:v>商品化门槛</x:v>
      </x:c>
      <x:c r="M5" s="642" t="str">
        <x:v>更新触发</x:v>
      </x:c>
      <x:c r="N5" s="642" t="str">
        <x:v>状态</x:v>
      </x:c>
    </x:row>
    <x:row r="6" ht="64" customHeight="1">
      <x:c r="A6" s="19" t="str">
        <x:v>相对固定顶车高</x:v>
      </x:c>
      <x:c r="B6" s="460" t="n">
        <x:v>100</x:v>
      </x:c>
      <x:c r="C6" s="460" t="n">
        <x:v>100</x:v>
      </x:c>
      <x:c r="D6" s="460" t="n">
        <x:v>100</x:v>
      </x:c>
      <x:c r="E6" s="19" t="str">
        <x:v>mm</x:v>
      </x:c>
      <x:c r="F6" s="19" t="str">
        <x:v>MIIT</x:v>
      </x:c>
      <x:c r="G6" s="19" t="str">
        <x:v>YES_FACT</x:v>
      </x:c>
      <x:c r="H6" s="19" t="str">
        <x:v>升顶车高1925mm；配车顶床板</x:v>
      </x:c>
      <x:c r="I6" s="19" t="str">
        <x:v>床板承重/人数/尺寸已锁</x:v>
      </x:c>
      <x:c r="J6" s="19" t="str">
        <x:v>结构事实</x:v>
      </x:c>
      <x:c r="K6" s="19" t="str">
        <x:v>HIGH</x:v>
      </x:c>
      <x:c r="L6" s="19" t="str">
        <x:v>无</x:v>
      </x:c>
      <x:c r="M6" s="19" t="str">
        <x:v>公告更新</x:v>
      </x:c>
      <x:c r="N6" s="19" t="str">
        <x:v>REGULATORY</x:v>
      </x:c>
    </x:row>
    <x:row r="7" ht="64" customHeight="1">
      <x:c r="A7" s="643" t="str">
        <x:v>相对固定顶整备质量</x:v>
      </x:c>
      <x:c r="B7" s="647" t="n">
        <x:v>40</x:v>
      </x:c>
      <x:c r="C7" s="647" t="n">
        <x:v>40</x:v>
      </x:c>
      <x:c r="D7" s="647" t="n">
        <x:v>40</x:v>
      </x:c>
      <x:c r="E7" s="643" t="str">
        <x:v>kg</x:v>
      </x:c>
      <x:c r="F7" s="643" t="str">
        <x:v>MIIT</x:v>
      </x:c>
      <x:c r="G7" s="643" t="str">
        <x:v>YES_FACT</x:v>
      </x:c>
      <x:c r="H7" s="643" t="str">
        <x:v>整备质量约2840kg</x:v>
      </x:c>
      <x:c r="I7" s="643" t="str">
        <x:v>仅凭40kg推出成本</x:v>
      </x:c>
      <x:c r="J7" s="643" t="str">
        <x:v>结构事实</x:v>
      </x:c>
      <x:c r="K7" s="643" t="str">
        <x:v>HIGH</x:v>
      </x:c>
      <x:c r="L7" s="643" t="str">
        <x:v>无</x:v>
      </x:c>
      <x:c r="M7" s="643" t="str">
        <x:v>公告更新</x:v>
      </x:c>
      <x:c r="N7" s="643" t="str">
        <x:v>REGULATORY</x:v>
      </x:c>
    </x:row>
    <x:row r="8" ht="64" customHeight="1">
      <x:c r="A8" s="19" t="str">
        <x:v>旧桥可变成本</x:v>
      </x:c>
      <x:c r="B8" s="460" t="n">
        <x:f>'79_工程情景汇总'!C15</x:f>
        <x:v>7611</x:v>
      </x:c>
      <x:c r="C8" s="460" t="n">
        <x:f>'79_工程情景汇总'!D15</x:f>
        <x:v>15185.25</x:v>
      </x:c>
      <x:c r="D8" s="460" t="n">
        <x:f>'79_工程情景汇总'!E15</x:f>
        <x:v>28155</x:v>
      </x:c>
      <x:c r="E8" s="19" t="str">
        <x:v>元</x:v>
      </x:c>
      <x:c r="F8" s="19" t="str">
        <x:v>79_工程情景汇总</x:v>
      </x:c>
      <x:c r="G8" s="19" t="str">
        <x:v>REFERENCE</x:v>
      </x:c>
      <x:c r="H8" s="19" t="str">
        <x:v>不含NRE的工程量级</x:v>
      </x:c>
      <x:c r="I8" s="19" t="str">
        <x:v>采购报价</x:v>
      </x:c>
      <x:c r="J8" s="19" t="str">
        <x:v>上限参考</x:v>
      </x:c>
      <x:c r="K8" s="19" t="str">
        <x:v>MEDIUM_LOW</x:v>
      </x:c>
      <x:c r="L8" s="19" t="str">
        <x:v>BOM完善</x:v>
      </x:c>
      <x:c r="M8" s="19" t="str">
        <x:v>拆车/供应商</x:v>
      </x:c>
      <x:c r="N8" s="19" t="str">
        <x:v>ENGINEERING</x:v>
      </x:c>
    </x:row>
    <x:row r="9" ht="64" customHeight="1">
      <x:c r="A9" s="643" t="str">
        <x:v>旧桥全成本</x:v>
      </x:c>
      <x:c r="B9" s="647" t="n">
        <x:f>'79_工程情景汇总'!C17</x:f>
        <x:v>9611</x:v>
      </x:c>
      <x:c r="C9" s="647" t="n">
        <x:f>'79_工程情景汇总'!D17</x:f>
        <x:v>25810.25</x:v>
      </x:c>
      <x:c r="D9" s="647" t="n">
        <x:f>'79_工程情景汇总'!E17</x:f>
        <x:v>78155</x:v>
      </x:c>
      <x:c r="E9" s="643" t="str">
        <x:v>元</x:v>
      </x:c>
      <x:c r="F9" s="643" t="str">
        <x:v>79_工程情景汇总</x:v>
      </x:c>
      <x:c r="G9" s="643" t="str">
        <x:v>REFERENCE</x:v>
      </x:c>
      <x:c r="H9" s="643" t="str">
        <x:v>含NRE摊销工程量级</x:v>
      </x:c>
      <x:c r="I9" s="643" t="str">
        <x:v>等于零售价差</x:v>
      </x:c>
      <x:c r="J9" s="643" t="str">
        <x:v>上限参考</x:v>
      </x:c>
      <x:c r="K9" s="643" t="str">
        <x:v>MEDIUM_LOW</x:v>
      </x:c>
      <x:c r="L9" s="643" t="str">
        <x:v>销量假设</x:v>
      </x:c>
      <x:c r="M9" s="643" t="str">
        <x:v>产能</x:v>
      </x:c>
      <x:c r="N9" s="643" t="str">
        <x:v>ENGINEERING</x:v>
      </x:c>
    </x:row>
    <x:row r="10" ht="64" customHeight="1">
      <x:c r="A10" s="19" t="str">
        <x:v>旧桥含税技术价差</x:v>
      </x:c>
      <x:c r="B10" s="460" t="n">
        <x:f>'79_工程情景汇总'!C21</x:f>
        <x:v>10851.80476768656</x:v>
      </x:c>
      <x:c r="C10" s="460" t="n">
        <x:f>'79_工程情景汇总'!D21</x:f>
        <x:v>29145.95336069904</x:v>
      </x:c>
      <x:c r="D10" s="460" t="n">
        <x:f>'79_工程情景汇总'!E21</x:f>
        <x:v>88315.15</x:v>
      </x:c>
      <x:c r="E10" s="19" t="str">
        <x:v>元</x:v>
      </x:c>
      <x:c r="F10" s="19" t="str">
        <x:v>79_工程情景汇总</x:v>
      </x:c>
      <x:c r="G10" s="19" t="str">
        <x:v>REFERENCE</x:v>
      </x:c>
      <x:c r="H10" s="19" t="str">
        <x:v>中位约2.91万</x:v>
      </x:c>
      <x:c r="I10" s="19" t="str">
        <x:v>官方加价</x:v>
      </x:c>
      <x:c r="J10" s="19" t="str">
        <x:v>支持+3万压力端</x:v>
      </x:c>
      <x:c r="K10" s="19" t="str">
        <x:v>MEDIUM_LOW</x:v>
      </x:c>
      <x:c r="L10" s="19" t="str">
        <x:v>信用完善</x:v>
      </x:c>
      <x:c r="M10" s="19" t="str">
        <x:v>版本表</x:v>
      </x:c>
      <x:c r="N10" s="19" t="str">
        <x:v>ENGINEERING</x:v>
      </x:c>
    </x:row>
    <x:row r="11" ht="64" customHeight="1">
      <x:c r="A11" s="643" t="str">
        <x:v>商业溢价围栏</x:v>
      </x:c>
      <x:c r="B11" s="647" t="n">
        <x:v>10000</x:v>
      </x:c>
      <x:c r="C11" s="647" t="n">
        <x:v>20000</x:v>
      </x:c>
      <x:c r="D11" s="647" t="n">
        <x:v>30000</x:v>
      </x:c>
      <x:c r="E11" s="643" t="str">
        <x:v>元</x:v>
      </x:c>
      <x:c r="F11" s="643" t="str">
        <x:v>结构信用+工程桥</x:v>
      </x:c>
      <x:c r="G11" s="643" t="str">
        <x:v>YES_MODEL</x:v>
      </x:c>
      <x:c r="H11" s="643" t="str">
        <x:v>规模化工作中心+2万</x:v>
      </x:c>
      <x:c r="I11" s="643" t="str">
        <x:v>固定加5万/完全排除高价尾</x:v>
      </x:c>
      <x:c r="J11" s="643" t="str">
        <x:v>生成条件价格</x:v>
      </x:c>
      <x:c r="K11" s="643" t="str">
        <x:v>LOW_MEDIUM</x:v>
      </x:c>
      <x:c r="L11" s="643" t="str">
        <x:v>独立商品化</x:v>
      </x:c>
      <x:c r="M11" s="643" t="str">
        <x:v>官方价格</x:v>
      </x:c>
      <x:c r="N11" s="643" t="str">
        <x:v>FINAL_MODEL</x:v>
      </x:c>
    </x:row>
    <x:row r="12" ht="64" customHeight="1">
      <x:c r="A12" s="19" t="str">
        <x:v>是否进入固定顶主树</x:v>
      </x:c>
      <x:c r="B12" s="460" t="n">
        <x:v>0</x:v>
      </x:c>
      <x:c r="C12" s="460" t="n">
        <x:v>0</x:v>
      </x:c>
      <x:c r="D12" s="460" t="n">
        <x:v>0</x:v>
      </x:c>
      <x:c r="E12" s="19" t="str">
        <x:v>0/1</x:v>
      </x:c>
      <x:c r="F12" s="19" t="str">
        <x:v>121/127</x:v>
      </x:c>
      <x:c r="G12" s="19" t="str">
        <x:v>YES_BOUNDARY</x:v>
      </x:c>
      <x:c r="H12" s="19" t="str">
        <x:v>独立条件候选</x:v>
      </x:c>
      <x:c r="I12" s="19" t="str">
        <x:v>Max主价自动包含</x:v>
      </x:c>
      <x:c r="J12" s="19" t="str">
        <x:v>不影响固定顶边际</x:v>
      </x:c>
      <x:c r="K12" s="19" t="str">
        <x:v>HIGH_METHOD</x:v>
      </x:c>
      <x:c r="L12" s="19" t="str">
        <x:v>官方SKU</x:v>
      </x:c>
      <x:c r="M12" s="19" t="str">
        <x:v>商品卡</x:v>
      </x:c>
      <x:c r="N12" s="19" t="str">
        <x:v>EXCLUDED_MAIN_TREE</x:v>
      </x:c>
    </x:row>
    <x:row r="13" ht="64" customHeight="1">
      <x:c r="A13" s="643" t="str">
        <x:v>正式商品价格</x:v>
      </x:c>
      <x:c r="B13" s="647"/>
      <x:c r="C13" s="647"/>
      <x:c r="D13" s="647"/>
      <x:c r="E13" s="643" t="str">
        <x:v>元</x:v>
      </x:c>
      <x:c r="F13" s="643" t="str">
        <x:v>尚未发布</x:v>
      </x:c>
      <x:c r="G13" s="643" t="str">
        <x:v>NO</x:v>
      </x:c>
      <x:c r="H13" s="643" t="str">
        <x:v>只能做条件价格</x:v>
      </x:c>
      <x:c r="I13" s="643" t="str">
        <x:v>已经定价</x:v>
      </x:c>
      <x:c r="J13" s="643" t="str">
        <x:v>等待触发</x:v>
      </x:c>
      <x:c r="K13" s="643" t="str">
        <x:v>LOW</x:v>
      </x:c>
      <x:c r="L13" s="643" t="str">
        <x:v>名称+登记+配置+价格</x:v>
      </x:c>
      <x:c r="M13" s="643" t="str">
        <x:v>App</x:v>
      </x:c>
      <x:c r="N13" s="643" t="str">
        <x:v>BLOCKED_OFFICIAL_PRICE</x:v>
      </x:c>
    </x:row>
    <x:row r="16" ht="24" customHeight="1">
      <x:c r="A16" s="646" t="str">
        <x:v>若商品化：旧扩展阵容边际+2万元的审计分布；正文当前阵容工作点为29.99万元</x:v>
      </x:c>
      <x:c r="B16" s="646"/>
      <x:c r="C16" s="646"/>
      <x:c r="D16" s="646"/>
      <x:c r="E16" s="646"/>
      <x:c r="F16" s="646"/>
      <x:c r="G16" s="646"/>
      <x:c r="H16" s="646"/>
      <x:c r="I16" s="646"/>
      <x:c r="J16" s="646"/>
      <x:c r="K16" s="646"/>
      <x:c r="L16" s="646"/>
      <x:c r="M16" s="646"/>
      <x:c r="N16" s="646"/>
    </x:row>
    <x:row r="17" ht="46" customHeight="1">
      <x:c r="A17" s="642" t="str">
        <x:v>固定顶Max价格</x:v>
      </x:c>
      <x:c r="B17" s="642" t="str">
        <x:v>固定顶权重</x:v>
      </x:c>
      <x:c r="C17" s="642" t="str">
        <x:v>升顶条件价格</x:v>
      </x:c>
      <x:c r="D17" s="642" t="str">
        <x:v>升顶条件权重</x:v>
      </x:c>
      <x:c r="E17" s="642" t="str">
        <x:v>解释</x:v>
      </x:c>
      <x:c r="F17" s="642" t="str">
        <x:v>状态</x:v>
      </x:c>
    </x:row>
    <x:row r="18" ht="44" customHeight="1">
      <x:c r="A18" s="460" t="n">
        <x:f>'133_N90价格边际'!A6</x:f>
        <x:v>259900</x:v>
      </x:c>
      <x:c r="B18" s="23" t="n">
        <x:f>'133_N90价格边际'!B6</x:f>
        <x:v>0.0423</x:v>
      </x:c>
      <x:c r="C18" s="460" t="n">
        <x:f>A18+20000</x:f>
        <x:v>279900</x:v>
      </x:c>
      <x:c r="D18" s="23" t="n">
        <x:f>B18</x:f>
        <x:v>0.0423</x:v>
      </x:c>
      <x:c r="E18" s="19" t="str">
        <x:v>仅在商品化条件下成立</x:v>
      </x:c>
      <x:c r="F18" s="19" t="str">
        <x:v>CONDITIONAL_PRICE</x:v>
      </x:c>
    </x:row>
    <x:row r="19" ht="44" customHeight="1">
      <x:c r="A19" s="647" t="n">
        <x:f>'133_N90价格边际'!A7</x:f>
        <x:v>269900</x:v>
      </x:c>
      <x:c r="B19" s="648" t="n">
        <x:f>'133_N90价格边际'!B7</x:f>
        <x:v>0.13755</x:v>
      </x:c>
      <x:c r="C19" s="647" t="n">
        <x:f>A19+20000</x:f>
        <x:v>289900</x:v>
      </x:c>
      <x:c r="D19" s="648" t="n">
        <x:f>B19</x:f>
        <x:v>0.13755</x:v>
      </x:c>
      <x:c r="E19" s="643" t="str">
        <x:v>仅在商品化条件下成立</x:v>
      </x:c>
      <x:c r="F19" s="643" t="str">
        <x:v>CONDITIONAL_PRICE</x:v>
      </x:c>
    </x:row>
    <x:row r="20" ht="44" customHeight="1">
      <x:c r="A20" s="460" t="n">
        <x:f>'133_N90价格边际'!A8</x:f>
        <x:v>279900</x:v>
      </x:c>
      <x:c r="B20" s="23" t="n">
        <x:f>'133_N90价格边际'!B8</x:f>
        <x:v>0.28379999999999994</x:v>
      </x:c>
      <x:c r="C20" s="460" t="n">
        <x:f>A20+20000</x:f>
        <x:v>299900</x:v>
      </x:c>
      <x:c r="D20" s="23" t="n">
        <x:f>B20</x:f>
        <x:v>0.28379999999999994</x:v>
      </x:c>
      <x:c r="E20" s="19" t="str">
        <x:v>仅在商品化条件下成立</x:v>
      </x:c>
      <x:c r="F20" s="19" t="str">
        <x:v>CONDITIONAL_PRICE</x:v>
      </x:c>
    </x:row>
    <x:row r="21" ht="44" customHeight="1">
      <x:c r="A21" s="647" t="n">
        <x:f>'133_N90价格边际'!A9</x:f>
        <x:v>289900</x:v>
      </x:c>
      <x:c r="B21" s="648" t="n">
        <x:f>'133_N90价格边际'!B9</x:f>
        <x:v>0.28285000000000005</x:v>
      </x:c>
      <x:c r="C21" s="647" t="n">
        <x:f>A21+20000</x:f>
        <x:v>309900</x:v>
      </x:c>
      <x:c r="D21" s="648" t="n">
        <x:f>B21</x:f>
        <x:v>0.28285000000000005</x:v>
      </x:c>
      <x:c r="E21" s="643" t="str">
        <x:v>仅在商品化条件下成立</x:v>
      </x:c>
      <x:c r="F21" s="643" t="str">
        <x:v>CONDITIONAL_PRICE</x:v>
      </x:c>
    </x:row>
    <x:row r="22" ht="44" customHeight="1">
      <x:c r="A22" s="460" t="n">
        <x:f>'133_N90价格边际'!A10</x:f>
        <x:v>293900</x:v>
      </x:c>
      <x:c r="B22" s="23" t="n">
        <x:f>'133_N90价格边际'!B10</x:f>
        <x:v>0.0225</x:v>
      </x:c>
      <x:c r="C22" s="460" t="n">
        <x:f>A22+20000</x:f>
        <x:v>313900</x:v>
      </x:c>
      <x:c r="D22" s="23" t="n">
        <x:f>B22</x:f>
        <x:v>0.0225</x:v>
      </x:c>
      <x:c r="E22" s="19" t="str">
        <x:v>仅在商品化条件下成立</x:v>
      </x:c>
      <x:c r="F22" s="19" t="str">
        <x:v>CONDITIONAL_PRICE</x:v>
      </x:c>
    </x:row>
    <x:row r="23" ht="44" customHeight="1">
      <x:c r="A23" s="647" t="n">
        <x:f>'133_N90价格边际'!A11</x:f>
        <x:v>299900</x:v>
      </x:c>
      <x:c r="B23" s="648" t="n">
        <x:f>'133_N90价格边际'!B11</x:f>
        <x:v>0.231</x:v>
      </x:c>
      <x:c r="C23" s="647" t="n">
        <x:f>A23+20000</x:f>
        <x:v>319900</x:v>
      </x:c>
      <x:c r="D23" s="648" t="n">
        <x:f>B23</x:f>
        <x:v>0.231</x:v>
      </x:c>
      <x:c r="E23" s="643" t="str">
        <x:v>仅在商品化条件下成立</x:v>
      </x:c>
      <x:c r="F23" s="643" t="str">
        <x:v>CONDITIONAL_PRICE</x:v>
      </x:c>
    </x:row>
    <x:row r="26" ht="44" customHeight="1">
      <x:c r="A26" s="642" t="str">
        <x:v>严格众数</x:v>
      </x:c>
      <x:c r="B26" s="642" t="str">
        <x:v>期望价</x:v>
      </x:c>
      <x:c r="C26" s="642" t="str">
        <x:v>80%下沿</x:v>
      </x:c>
      <x:c r="D26" s="642" t="str">
        <x:v>80%上沿</x:v>
      </x:c>
      <x:c r="E26" s="642" t="str">
        <x:v>95%下沿</x:v>
      </x:c>
      <x:c r="F26" s="642" t="str">
        <x:v>95%上沿</x:v>
      </x:c>
      <x:c r="G26" s="642" t="str">
        <x:v>固定顶主树权重</x:v>
      </x:c>
      <x:c r="H26" s="642" t="str">
        <x:v>状态</x:v>
      </x:c>
    </x:row>
    <x:row r="27" ht="50" customHeight="1">
      <x:c r="A27" s="460" t="n">
        <x:f>INDEX(C18:C23,MATCH(MAX(D18:D23),D18:D23,0))</x:f>
        <x:v>299900</x:v>
      </x:c>
      <x:c r="B27" s="460" t="n">
        <x:f>SUMPRODUCT(C18:C23,D18:D23)</x:f>
        <x:v>305442</x:v>
      </x:c>
      <x:c r="C27" s="460" t="n">
        <x:f>'133_N90价格边际'!A8+20000</x:f>
        <x:v>299900</x:v>
      </x:c>
      <x:c r="D27" s="460" t="n">
        <x:f>'133_N90价格边际'!A11+20000</x:f>
        <x:v>319900</x:v>
      </x:c>
      <x:c r="E27" s="460" t="n">
        <x:f>'133_N90价格边际'!A7+20000</x:f>
        <x:v>289900</x:v>
      </x:c>
      <x:c r="F27" s="460" t="n">
        <x:f>'133_N90价格边际'!A11+20000</x:f>
        <x:v>319900</x:v>
      </x:c>
      <x:c r="G27" s="23" t="n">
        <x:f>0</x:f>
        <x:v>0</x:v>
      </x:c>
      <x:c r="H27" s="19" t="str">
        <x:f>"SEPARATE_CONDITIONAL"</x:f>
        <x:v>SEPARATE_CONDITIONAL</x:v>
      </x:c>
    </x:row>
    <x:row r="29" ht="52" customHeight="1">
      <x:c r="A29" s="19" t="str">
        <x:v>最终读法</x:v>
      </x:c>
      <x:c r="B29" s="19" t="str">
        <x:v>严格众数</x:v>
      </x:c>
      <x:c r="C29" s="460" t="n">
        <x:v>299900</x:v>
      </x:c>
      <x:c r="D29" s="19" t="str">
        <x:v>旧混合期望</x:v>
      </x:c>
      <x:c r="E29" s="460" t="n">
        <x:v>305442</x:v>
      </x:c>
      <x:c r="F29" s="19" t="str">
        <x:v>正文工作中心</x:v>
      </x:c>
      <x:c r="G29" s="460" t="n">
        <x:v>299900</x:v>
      </x:c>
      <x:c r="H29" s="19" t="str">
        <x:v>CONDITIONAL_ONLY</x:v>
      </x:c>
    </x:row>
    <x:row r="30" ht="52" customHeight="1">
      <x:c r="A30" s="643" t="str">
        <x:v>价格条件</x:v>
      </x:c>
      <x:c r="B30" s="643" t="str">
        <x:v>当前只公开Max</x:v>
      </x:c>
      <x:c r="C30" s="643" t="str">
        <x:v>27.99+2=29.99</x:v>
      </x:c>
      <x:c r="D30" s="643" t="str">
        <x:v>未来有低SKU</x:v>
      </x:c>
      <x:c r="E30" s="643" t="str">
        <x:v>28.99/29.99+2</x:v>
      </x:c>
      <x:c r="F30" s="643" t="str">
        <x:v>规模条件</x:v>
      </x:c>
      <x:c r="G30" s="643" t="str">
        <x:v>高销量与结构信用</x:v>
      </x:c>
      <x:c r="H30" s="643" t="str">
        <x:v>MODEL</x:v>
      </x:c>
    </x:row>
    <x:row r="31" ht="52" customHeight="1">
      <x:c r="A31" s="19" t="str">
        <x:v>证据边界</x:v>
      </x:c>
      <x:c r="B31" s="19" t="str">
        <x:v>床板存在</x:v>
      </x:c>
      <x:c r="C31" s="19" t="str">
        <x:v>CONFIRMED</x:v>
      </x:c>
      <x:c r="D31" s="19" t="str">
        <x:v>承重/人数/高度</x:v>
      </x:c>
      <x:c r="E31" s="19" t="str">
        <x:v>UNKNOWN</x:v>
      </x:c>
      <x:c r="F31" s="19" t="str">
        <x:v>商品价</x:v>
      </x:c>
      <x:c r="G31" s="19" t="str">
        <x:v>UNKNOWN</x:v>
      </x:c>
      <x:c r="H31" s="19" t="str">
        <x:v>BOUNDARY</x:v>
      </x:c>
    </x:row>
  </x:sheetData>
  <x:mergeCells>
    <x:mergeCell ref="A1:N1"/>
    <x:mergeCell ref="A2:N2"/>
    <x:mergeCell ref="A3:N3"/>
    <x:mergeCell ref="A16:N16"/>
  </x:mergeCells>
  <x:conditionalFormatting sqref="G6:G13">
    <x:cfRule type="containsText" dxfId="3889" priority="1" operator="containsText" text="PASS"/>
    <x:cfRule type="containsText" dxfId="3890" priority="2" operator="containsText" text="SIGNED"/>
    <x:cfRule type="containsText" dxfId="3891" priority="3" operator="containsText" text="CONFIRMED"/>
    <x:cfRule type="containsText" dxfId="3892" priority="4" operator="containsText" text="OFFICIAL"/>
    <x:cfRule type="containsText" dxfId="3893" priority="5" operator="containsText" text="FINAL"/>
    <x:cfRule type="containsText" dxfId="3894" priority="6" operator="containsText" text="READY"/>
    <x:cfRule type="containsText" dxfId="3895" priority="7" operator="containsText" text="MODEL"/>
    <x:cfRule type="containsText" dxfId="3896" priority="8" operator="containsText" text="CONDITIONAL"/>
    <x:cfRule type="containsText" dxfId="3897" priority="9" operator="containsText" text="PREDICTED"/>
    <x:cfRule type="containsText" dxfId="3898" priority="10" operator="containsText" text="MEDIUM"/>
    <x:cfRule type="containsText" dxfId="3899" priority="11" operator="containsText" text="WORKING"/>
    <x:cfRule type="containsText" dxfId="3900" priority="12" operator="containsText" text="WATCH"/>
    <x:cfRule type="containsText" dxfId="3901" priority="13" operator="containsText" text="EXCLUDED"/>
    <x:cfRule type="containsText" dxfId="3902" priority="14" operator="containsText" text="SEPARATE"/>
    <x:cfRule type="containsText" dxfId="3903" priority="15" operator="containsText" text="REGULATORY"/>
    <x:cfRule type="containsText" dxfId="3904" priority="16" operator="containsText" text="FAIL"/>
    <x:cfRule type="containsText" dxfId="3905" priority="17" operator="containsText" text="BLOCKED"/>
    <x:cfRule type="containsText" dxfId="3906" priority="18" operator="containsText" text="LOW"/>
  </x:conditionalFormatting>
  <x:conditionalFormatting sqref="N6:N13">
    <x:cfRule type="containsText" dxfId="3907" priority="19" operator="containsText" text="PASS"/>
    <x:cfRule type="containsText" dxfId="3908" priority="20" operator="containsText" text="SIGNED"/>
    <x:cfRule type="containsText" dxfId="3909" priority="21" operator="containsText" text="CONFIRMED"/>
    <x:cfRule type="containsText" dxfId="3910" priority="22" operator="containsText" text="OFFICIAL"/>
    <x:cfRule type="containsText" dxfId="3911" priority="23" operator="containsText" text="FINAL"/>
    <x:cfRule type="containsText" dxfId="3912" priority="24" operator="containsText" text="READY"/>
    <x:cfRule type="containsText" dxfId="3913" priority="25" operator="containsText" text="MODEL"/>
    <x:cfRule type="containsText" dxfId="3914" priority="26" operator="containsText" text="CONDITIONAL"/>
    <x:cfRule type="containsText" dxfId="3915" priority="27" operator="containsText" text="PREDICTED"/>
    <x:cfRule type="containsText" dxfId="3916" priority="28" operator="containsText" text="MEDIUM"/>
    <x:cfRule type="containsText" dxfId="3917" priority="29" operator="containsText" text="WORKING"/>
    <x:cfRule type="containsText" dxfId="3918" priority="30" operator="containsText" text="WATCH"/>
    <x:cfRule type="containsText" dxfId="3919" priority="31" operator="containsText" text="EXCLUDED"/>
    <x:cfRule type="containsText" dxfId="3920" priority="32" operator="containsText" text="SEPARATE"/>
    <x:cfRule type="containsText" dxfId="3921" priority="33" operator="containsText" text="REGULATORY"/>
    <x:cfRule type="containsText" dxfId="3922" priority="34" operator="containsText" text="FAIL"/>
    <x:cfRule type="containsText" dxfId="3923" priority="35" operator="containsText" text="BLOCKED"/>
    <x:cfRule type="containsText" dxfId="3924" priority="36" operator="containsText" text="LOW"/>
  </x:conditionalFormatting>
  <x:conditionalFormatting sqref="F18:F23">
    <x:cfRule type="containsText" dxfId="3925" priority="37" operator="containsText" text="PASS"/>
    <x:cfRule type="containsText" dxfId="3926" priority="38" operator="containsText" text="SIGNED"/>
    <x:cfRule type="containsText" dxfId="3927" priority="39" operator="containsText" text="CONFIRMED"/>
    <x:cfRule type="containsText" dxfId="3928" priority="40" operator="containsText" text="OFFICIAL"/>
    <x:cfRule type="containsText" dxfId="3929" priority="41" operator="containsText" text="FINAL"/>
    <x:cfRule type="containsText" dxfId="3930" priority="42" operator="containsText" text="READY"/>
    <x:cfRule type="containsText" dxfId="3931" priority="43" operator="containsText" text="MODEL"/>
    <x:cfRule type="containsText" dxfId="3932" priority="44" operator="containsText" text="CONDITIONAL"/>
    <x:cfRule type="containsText" dxfId="3933" priority="45" operator="containsText" text="PREDICTED"/>
    <x:cfRule type="containsText" dxfId="3934" priority="46" operator="containsText" text="MEDIUM"/>
    <x:cfRule type="containsText" dxfId="3935" priority="47" operator="containsText" text="WORKING"/>
    <x:cfRule type="containsText" dxfId="3936" priority="48" operator="containsText" text="WATCH"/>
    <x:cfRule type="containsText" dxfId="3937" priority="49" operator="containsText" text="EXCLUDED"/>
    <x:cfRule type="containsText" dxfId="3938" priority="50" operator="containsText" text="SEPARATE"/>
    <x:cfRule type="containsText" dxfId="3939" priority="51" operator="containsText" text="REGULATORY"/>
    <x:cfRule type="containsText" dxfId="3940" priority="52" operator="containsText" text="FAIL"/>
    <x:cfRule type="containsText" dxfId="3941" priority="53" operator="containsText" text="BLOCKED"/>
    <x:cfRule type="containsText" dxfId="3942" priority="54" operator="containsText" text="LOW"/>
  </x:conditionalFormatting>
  <x:conditionalFormatting sqref="H27:H27">
    <x:cfRule type="containsText" dxfId="3943" priority="55" operator="containsText" text="PASS"/>
    <x:cfRule type="containsText" dxfId="3944" priority="56" operator="containsText" text="SIGNED"/>
    <x:cfRule type="containsText" dxfId="3945" priority="57" operator="containsText" text="CONFIRMED"/>
    <x:cfRule type="containsText" dxfId="3946" priority="58" operator="containsText" text="OFFICIAL"/>
    <x:cfRule type="containsText" dxfId="3947" priority="59" operator="containsText" text="FINAL"/>
    <x:cfRule type="containsText" dxfId="3948" priority="60" operator="containsText" text="READY"/>
    <x:cfRule type="containsText" dxfId="3949" priority="61" operator="containsText" text="MODEL"/>
    <x:cfRule type="containsText" dxfId="3950" priority="62" operator="containsText" text="CONDITIONAL"/>
    <x:cfRule type="containsText" dxfId="3951" priority="63" operator="containsText" text="PREDICTED"/>
    <x:cfRule type="containsText" dxfId="3952" priority="64" operator="containsText" text="MEDIUM"/>
    <x:cfRule type="containsText" dxfId="3953" priority="65" operator="containsText" text="WORKING"/>
    <x:cfRule type="containsText" dxfId="3954" priority="66" operator="containsText" text="WATCH"/>
    <x:cfRule type="containsText" dxfId="3955" priority="67" operator="containsText" text="EXCLUDED"/>
    <x:cfRule type="containsText" dxfId="3956" priority="68" operator="containsText" text="SEPARATE"/>
    <x:cfRule type="containsText" dxfId="3957" priority="69" operator="containsText" text="REGULATORY"/>
    <x:cfRule type="containsText" dxfId="3958" priority="70" operator="containsText" text="FAIL"/>
    <x:cfRule type="containsText" dxfId="3959" priority="71" operator="containsText" text="BLOCKED"/>
    <x:cfRule type="containsText" dxfId="3960" priority="72" operator="containsText" text="LOW"/>
  </x:conditionalFormatting>
  <x:conditionalFormatting sqref="H29:H31">
    <x:cfRule type="containsText" dxfId="3961" priority="73" operator="containsText" text="PASS"/>
    <x:cfRule type="containsText" dxfId="3962" priority="74" operator="containsText" text="SIGNED"/>
    <x:cfRule type="containsText" dxfId="3963" priority="75" operator="containsText" text="CONFIRMED"/>
    <x:cfRule type="containsText" dxfId="3964" priority="76" operator="containsText" text="OFFICIAL"/>
    <x:cfRule type="containsText" dxfId="3965" priority="77" operator="containsText" text="FINAL"/>
    <x:cfRule type="containsText" dxfId="3966" priority="78" operator="containsText" text="READY"/>
    <x:cfRule type="containsText" dxfId="3967" priority="79" operator="containsText" text="MODEL"/>
    <x:cfRule type="containsText" dxfId="3968" priority="80" operator="containsText" text="CONDITIONAL"/>
    <x:cfRule type="containsText" dxfId="3969" priority="81" operator="containsText" text="PREDICTED"/>
    <x:cfRule type="containsText" dxfId="3970" priority="82" operator="containsText" text="MEDIUM"/>
    <x:cfRule type="containsText" dxfId="3971" priority="83" operator="containsText" text="WORKING"/>
    <x:cfRule type="containsText" dxfId="3972" priority="84" operator="containsText" text="WATCH"/>
    <x:cfRule type="containsText" dxfId="3973" priority="85" operator="containsText" text="EXCLUDED"/>
    <x:cfRule type="containsText" dxfId="3974" priority="86" operator="containsText" text="SEPARATE"/>
    <x:cfRule type="containsText" dxfId="3975" priority="87" operator="containsText" text="REGULATORY"/>
    <x:cfRule type="containsText" dxfId="3976" priority="88" operator="containsText" text="FAIL"/>
    <x:cfRule type="containsText" dxfId="3977" priority="89" operator="containsText" text="BLOCKED"/>
    <x:cfRule type="containsText" dxfId="3978" priority="90" operator="containsText" text="LOW"/>
  </x:conditionalFormatting>
  <x:pageMargins left="0.7" right="0.7" top="0.75" bottom="0.75" header="0.3" footer="0.3"/>
</x:worksheet>
</file>

<file path=xl/worksheets/sheet14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5" hidden="0" customWidth="1"/>
    <x:col min="3" max="3" width="52" hidden="0" customWidth="1"/>
    <x:col min="4" max="4" width="27" hidden="0" customWidth="1"/>
    <x:col min="5" max="5" width="64" hidden="0" customWidth="1"/>
    <x:col min="6" max="6" width="38" hidden="0" customWidth="1"/>
    <x:col min="7" max="7" width="42" hidden="0" customWidth="1"/>
    <x:col min="8" max="8" width="28" hidden="0" customWidth="1"/>
    <x:col min="9" max="9" width="32" hidden="0" customWidth="1"/>
    <x:col min="10" max="10" width="34" hidden="0" customWidth="1"/>
    <x:col min="11" max="11" width="17" hidden="0" customWidth="1"/>
    <x:col min="12" max="12" width="18" hidden="0" customWidth="1"/>
    <x:col min="13" max="13" width="28" hidden="0" customWidth="1"/>
    <x:col min="14" max="14" width="18" hidden="0" customWidth="1"/>
    <x:col min="15" max="15" width="27" hidden="0" customWidth="1"/>
    <x:col min="16" max="16" width="16" hidden="0" customWidth="1"/>
  </x:cols>
  <x:sheetData>
    <x:row r="1" ht="30" customHeight="1">
      <x:c r="A1" s="630" t="str">
        <x:v>139｜证据索引与边界：最终报告每句话从哪里来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  <x:c r="O1" s="630"/>
      <x:c r="P1" s="630"/>
    </x:row>
    <x:row r="2" ht="22" customHeight="1">
      <x:c r="A2" s="633" t="str">
        <x:v>官方商品事实＞工信部准入事实＞用户App证据＞工程模型＞商业工作权重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  <x:c r="O2" s="633"/>
      <x:c r="P2" s="633"/>
    </x:row>
    <x:row r="3" ht="92" customHeight="1">
      <x:c r="A3" s="637" t="str">
        <x:v>供应商降本不能统一乘折扣：目前可绑定车型的主要是欣旺达/中创新航电池体系、M15DRE增程器，以及N90的Bosch制动电控；空气悬架、减振器、座椅、音响、热管理和升顶机构供应商仍未披露。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  <x:c r="O3" s="637"/>
      <x:c r="P3" s="637"/>
    </x:row>
    <x:row r="5" ht="64" customHeight="1">
      <x:c r="A5" s="642" t="str">
        <x:v>evidence_id</x:v>
      </x:c>
      <x:c r="B5" s="642" t="str">
        <x:v>对象</x:v>
      </x:c>
      <x:c r="C5" s="642" t="str">
        <x:v>主张</x:v>
      </x:c>
      <x:c r="D5" s="642" t="str">
        <x:v>证据层</x:v>
      </x:c>
      <x:c r="E5" s="642" t="str">
        <x:v>来源</x:v>
      </x:c>
      <x:c r="F5" s="642" t="str">
        <x:v>可支持</x:v>
      </x:c>
      <x:c r="G5" s="642" t="str">
        <x:v>不支持</x:v>
      </x:c>
      <x:c r="H5" s="642" t="str">
        <x:v>价格作用</x:v>
      </x:c>
      <x:c r="I5" s="642" t="str">
        <x:v>配置作用</x:v>
      </x:c>
      <x:c r="J5" s="642" t="str">
        <x:v>供应商状态</x:v>
      </x:c>
      <x:c r="K5" s="642" t="str">
        <x:v>截至日期</x:v>
      </x:c>
      <x:c r="L5" s="642" t="str">
        <x:v>更新频率</x:v>
      </x:c>
      <x:c r="M5" s="642" t="str">
        <x:v>失效条件</x:v>
      </x:c>
      <x:c r="N5" s="642" t="str">
        <x:v>置信</x:v>
      </x:c>
      <x:c r="O5" s="642" t="str">
        <x:v>状态</x:v>
      </x:c>
      <x:c r="P5" s="642" t="str">
        <x:v>回链</x:v>
      </x:c>
    </x:row>
    <x:row r="6" ht="82" customHeight="1">
      <x:c r="A6" s="19" t="str">
        <x:v>EV-01</x:v>
      </x:c>
      <x:c r="B6" s="19" t="str">
        <x:v>N70官方页</x:v>
      </x:c>
      <x:c r="C6" s="19" t="str">
        <x:v>大五座四驱；25.99预售；310kW；76kWh；505km</x:v>
      </x:c>
      <x:c r="D6" s="19" t="str">
        <x:v>OFFICIAL</x:v>
      </x:c>
      <x:c r="E6" s="19" t="str">
        <x:v>https://www.xiaomiev.com/skynomad/n70</x:v>
      </x:c>
      <x:c r="F6" s="19" t="str">
        <x:v>N70 Max商品锚</x:v>
      </x:c>
      <x:c r="G6" s="19" t="str">
        <x:v>Standard商品身份</x:v>
      </x:c>
      <x:c r="H6" s="19" t="str">
        <x:v>预售上限</x:v>
      </x:c>
      <x:c r="I6" s="19" t="str">
        <x:v>Max关键动力空间</x:v>
      </x:c>
      <x:c r="J6" s="19" t="str">
        <x:v>电池供应商仍靠MIIT</x:v>
      </x:c>
      <x:c r="K6" s="19" t="str">
        <x:v>2026-08-06</x:v>
      </x:c>
      <x:c r="L6" s="19" t="str">
        <x:v>发布期</x:v>
      </x:c>
      <x:c r="M6" s="19" t="str">
        <x:v>页面更新</x:v>
      </x:c>
      <x:c r="N6" s="19" t="str">
        <x:v>HIGH</x:v>
      </x:c>
      <x:c r="O6" s="19" t="str">
        <x:v>CONFIRMED</x:v>
      </x:c>
      <x:c r="P6" s="19" t="str">
        <x:v>41/50/134</x:v>
      </x:c>
    </x:row>
    <x:row r="7" ht="82" customHeight="1">
      <x:c r="A7" s="643" t="str">
        <x:v>EV-02</x:v>
      </x:c>
      <x:c r="B7" s="643" t="str">
        <x:v>N90官方页</x:v>
      </x:c>
      <x:c r="C7" s="643" t="str">
        <x:v>N90 Max大七座；29.99预售；310kW；76kWh；空簧+CDC；XLA认知大模型</x:v>
      </x:c>
      <x:c r="D7" s="643" t="str">
        <x:v>OFFICIAL</x:v>
      </x:c>
      <x:c r="E7" s="643" t="str">
        <x:v>https://www.xiaomiev.com/skynomad/n90</x:v>
      </x:c>
      <x:c r="F7" s="643" t="str">
        <x:v>N90 Max商品锚与官方展示</x:v>
      </x:c>
      <x:c r="G7" s="643" t="str">
        <x:v>Standard/Pro已存在或全部展示项均为基础标配</x:v>
      </x:c>
      <x:c r="H7" s="643" t="str">
        <x:v>预售上限</x:v>
      </x:c>
      <x:c r="I7" s="643" t="str">
        <x:v>Max工程底座/XLA页面称全系标配</x:v>
      </x:c>
      <x:c r="J7" s="643" t="str">
        <x:v>部分供应商未披露</x:v>
      </x:c>
      <x:c r="K7" s="643" t="str">
        <x:v>2026-08-06</x:v>
      </x:c>
      <x:c r="L7" s="643" t="str">
        <x:v>发布期</x:v>
      </x:c>
      <x:c r="M7" s="643" t="str">
        <x:v>完整配置表</x:v>
      </x:c>
      <x:c r="N7" s="643" t="str">
        <x:v>HIGH</x:v>
      </x:c>
      <x:c r="O7" s="643" t="str">
        <x:v>CONFIRMED</x:v>
      </x:c>
      <x:c r="P7" s="643" t="str">
        <x:v>50/121/134</x:v>
      </x:c>
    </x:row>
    <x:row r="8" ht="82" customHeight="1">
      <x:c r="A8" s="19" t="str">
        <x:v>EV-03</x:v>
      </x:c>
      <x:c r="B8" s="19" t="str">
        <x:v>N70单电机申报</x:v>
      </x:c>
      <x:c r="C8" s="19" t="str">
        <x:v>尾标明确N70；5座；210kW；LFP/欣旺达；驱动轴待确认</x:v>
      </x:c>
      <x:c r="D8" s="19" t="str">
        <x:v>REGULATORY</x:v>
      </x:c>
      <x:c r="E8" s="19" t="str">
        <x:v>https://www.miit.gov.cn/datainfo/dljdclscqyjcpgg/xcpgs409dwdwe233/art/2026/art_eaf4b300d9994266b8f78c00fdaad10e.html</x:v>
      </x:c>
      <x:c r="F8" s="19" t="str">
        <x:v>N70名称与低价技术路径</x:v>
      </x:c>
      <x:c r="G8" s="19" t="str">
        <x:v>售价/底盘/驱动轴；申报正文不含52kWh</x:v>
      </x:c>
      <x:c r="H8" s="19" t="str">
        <x:v>N70条件价</x:v>
      </x:c>
      <x:c r="I8" s="19" t="str">
        <x:v>52kWh仅来自目录转载E3；不支持直接称后驱</x:v>
      </x:c>
      <x:c r="J8" s="19" t="str">
        <x:v>欣旺达可绑定</x:v>
      </x:c>
      <x:c r="K8" s="19" t="str">
        <x:v>2026-08-06</x:v>
      </x:c>
      <x:c r="L8" s="19" t="str">
        <x:v>公告期</x:v>
      </x:c>
      <x:c r="M8" s="19" t="str">
        <x:v>商品卡不出现</x:v>
      </x:c>
      <x:c r="N8" s="19" t="str">
        <x:v>HIGH_NAME/MEDIUM_CONFIG</x:v>
      </x:c>
      <x:c r="O8" s="19" t="str">
        <x:v>REGULATORY_CONFIRMED</x:v>
      </x:c>
      <x:c r="P8" s="19" t="str">
        <x:v>39/40/131/142</x:v>
      </x:c>
    </x:row>
    <x:row r="9" ht="82" customHeight="1">
      <x:c r="A9" s="643" t="str">
        <x:v>EV-04</x:v>
      </x:c>
      <x:c r="B9" s="643" t="str">
        <x:v>N70四驱申报</x:v>
      </x:c>
      <x:c r="C9" s="643" t="str">
        <x:v>210+100kW；NCM/中创新航</x:v>
      </x:c>
      <x:c r="D9" s="643" t="str">
        <x:v>REGULATORY</x:v>
      </x:c>
      <x:c r="E9" s="643" t="str">
        <x:v>https://www.miit.gov.cn/datainfo/dljdclscqyjcpgg/xcpgs409dwdwe233/art/2026/art_06448fd67cac42949e5a798e18b215f4.html</x:v>
      </x:c>
      <x:c r="F9" s="643" t="str">
        <x:v>Max型号映射</x:v>
      </x:c>
      <x:c r="G9" s="643" t="str">
        <x:v>采购价</x:v>
      </x:c>
      <x:c r="H9" s="643" t="str">
        <x:v>成本底座</x:v>
      </x:c>
      <x:c r="I9" s="643" t="str">
        <x:v>动力电池</x:v>
      </x:c>
      <x:c r="J9" s="643" t="str">
        <x:v>中创新航可绑定</x:v>
      </x:c>
      <x:c r="K9" s="643" t="str">
        <x:v>2026-08-06</x:v>
      </x:c>
      <x:c r="L9" s="643" t="str">
        <x:v>公告期</x:v>
      </x:c>
      <x:c r="M9" s="643" t="str">
        <x:v>型号重映射</x:v>
      </x:c>
      <x:c r="N9" s="643" t="str">
        <x:v>MEDIUM_HIGH</x:v>
      </x:c>
      <x:c r="O9" s="643" t="str">
        <x:v>REGULATORY_CONFIRMED</x:v>
      </x:c>
      <x:c r="P9" s="643" t="str">
        <x:v>39/116</x:v>
      </x:c>
    </x:row>
    <x:row r="10" ht="82" customHeight="1">
      <x:c r="A10" s="19" t="str">
        <x:v>EV-05</x:v>
      </x:c>
      <x:c r="B10" s="19" t="str">
        <x:v>N90固定顶申报</x:v>
      </x:c>
      <x:c r="C10" s="19" t="str">
        <x:v>同一N90 Max尾标型号允许5/7座；76kWh；310kW</x:v>
      </x:c>
      <x:c r="D10" s="19" t="str">
        <x:v>REGULATORY</x:v>
      </x:c>
      <x:c r="E10" s="19" t="str">
        <x:v>https://www.miit.gov.cn/datainfo/dljdclscqyjcpgg/xcpgs409dwdwe233/art/2026/art_ea7179cedb09467a9b7d2ce917685c49.html</x:v>
      </x:c>
      <x:c r="F10" s="19" t="str">
        <x:v>5/7座合规路径</x:v>
      </x:c>
      <x:c r="G10" s="19" t="str">
        <x:v>5座=Standard或第二价格节点</x:v>
      </x:c>
      <x:c r="H10" s="19" t="str">
        <x:v>不生成版本概率</x:v>
      </x:c>
      <x:c r="I10" s="19" t="str">
        <x:v>座位/动力电池底座</x:v>
      </x:c>
      <x:c r="J10" s="19" t="str">
        <x:v>中创新航可绑定</x:v>
      </x:c>
      <x:c r="K10" s="19" t="str">
        <x:v>2026-08-06</x:v>
      </x:c>
      <x:c r="L10" s="19" t="str">
        <x:v>公告期</x:v>
      </x:c>
      <x:c r="M10" s="19" t="str">
        <x:v>官方独立SKU</x:v>
      </x:c>
      <x:c r="N10" s="19" t="str">
        <x:v>HIGH_BOUNDARY</x:v>
      </x:c>
      <x:c r="O10" s="19" t="str">
        <x:v>REGULATORY_CONFIRMED</x:v>
      </x:c>
      <x:c r="P10" s="19" t="str">
        <x:v>121/122/135</x:v>
      </x:c>
    </x:row>
    <x:row r="11" ht="82" customHeight="1">
      <x:c r="A11" s="643" t="str">
        <x:v>EV-06</x:v>
      </x:c>
      <x:c r="B11" s="643" t="str">
        <x:v>N90升顶申报</x:v>
      </x:c>
      <x:c r="C11" s="643" t="str">
        <x:v>独立5座文化生活服务车；N90 Max尾标；高+100mm；重+40kg；有车顶床板</x:v>
      </x:c>
      <x:c r="D11" s="643" t="str">
        <x:v>REGULATORY</x:v>
      </x:c>
      <x:c r="E11" s="643" t="str">
        <x:v>https://www.miit.gov.cn/datainfo/dljdclscqyjcpgg/xcpgs409dwdwe233/art/2026/art_1af822ccc59645fb802f12f0a5aaf032.html</x:v>
      </x:c>
      <x:c r="F11" s="643" t="str">
        <x:v>升顶候选与床板真实存在</x:v>
      </x:c>
      <x:c r="G11" s="643" t="str">
        <x:v>已上市/承重人数/全部附件标配/固定加价</x:v>
      </x:c>
      <x:c r="H11" s="643" t="str">
        <x:v>独立条件价</x:v>
      </x:c>
      <x:c r="I11" s="643" t="str">
        <x:v>升顶/床板/边柜/接口</x:v>
      </x:c>
      <x:c r="J11" s="643" t="str">
        <x:v>升顶机构未知</x:v>
      </x:c>
      <x:c r="K11" s="643" t="str">
        <x:v>2026-08-06</x:v>
      </x:c>
      <x:c r="L11" s="643" t="str">
        <x:v>公告期</x:v>
      </x:c>
      <x:c r="M11" s="643" t="str">
        <x:v>商品化</x:v>
      </x:c>
      <x:c r="N11" s="643" t="str">
        <x:v>HIGH_BOUNDARY</x:v>
      </x:c>
      <x:c r="O11" s="643" t="str">
        <x:v>SEPARATE</x:v>
      </x:c>
      <x:c r="P11" s="643" t="str">
        <x:v>121/138</x:v>
      </x:c>
    </x:row>
    <x:row r="12" ht="82" customHeight="1">
      <x:c r="A12" s="19" t="str">
        <x:v>EV-07</x:v>
      </x:c>
      <x:c r="B12" s="19" t="str">
        <x:v>YU7用户App截图</x:v>
      </x:c>
      <x:c r="C12" s="19" t="str">
        <x:v>标准版首销成交口径含CDC</x:v>
      </x:c>
      <x:c r="D12" s="19" t="str">
        <x:v>USER_OFFICIAL_APP</x:v>
      </x:c>
      <x:c r="E12" s="19" t="str">
        <x:v>用户提供截图</x:v>
      </x:c>
      <x:c r="F12" s="19" t="str">
        <x:v>螺簧+CDC可成立</x:v>
      </x:c>
      <x:c r="G12" s="19" t="str">
        <x:v>永久基础标配</x:v>
      </x:c>
      <x:c r="H12" s="19" t="str">
        <x:v>Standard成本差下修</x:v>
      </x:c>
      <x:c r="I12" s="19" t="str">
        <x:v>空簧与CDC分开</x:v>
      </x:c>
      <x:c r="J12" s="19" t="str">
        <x:v>不涉及供应商</x:v>
      </x:c>
      <x:c r="K12" s="19" t="str">
        <x:v>2026-08-06</x:v>
      </x:c>
      <x:c r="L12" s="19" t="str">
        <x:v>权益期</x:v>
      </x:c>
      <x:c r="M12" s="19" t="str">
        <x:v>权益到期</x:v>
      </x:c>
      <x:c r="N12" s="19" t="str">
        <x:v>MEDIUM_HIGH</x:v>
      </x:c>
      <x:c r="O12" s="19" t="str">
        <x:v>TIME_BOUND</x:v>
      </x:c>
      <x:c r="P12" s="19" t="str">
        <x:v>122/123</x:v>
      </x:c>
    </x:row>
    <x:row r="13" ht="82" customHeight="1">
      <x:c r="A13" s="643" t="str">
        <x:v>EV-08</x:v>
      </x:c>
      <x:c r="B13" s="643" t="str">
        <x:v>SU7/YU7官方梯度</x:v>
      </x:c>
      <x:c r="C13" s="643" t="str">
        <x:v>5个主流相邻升级均非纯同动力同电池软配置分层</x:v>
      </x:c>
      <x:c r="D13" s="643" t="str">
        <x:v>OFFICIAL_COMPARABLE</x:v>
      </x:c>
      <x:c r="E13" s="643" t="str">
        <x:v>https://www.xiaomiev.com/su7 ; https://www.xiaomiev.com/yu7</x:v>
      </x:c>
      <x:c r="F13" s="643" t="str">
        <x:v>三档同硬件应降权</x:v>
      </x:c>
      <x:c r="G13" s="643" t="str">
        <x:v>N90不可能三档</x:v>
      </x:c>
      <x:c r="H13" s="643" t="str">
        <x:v>阵容条件</x:v>
      </x:c>
      <x:c r="I13" s="643" t="str">
        <x:v>硬件门槛</x:v>
      </x:c>
      <x:c r="J13" s="643" t="str">
        <x:v>不涉及澎程供应商</x:v>
      </x:c>
      <x:c r="K13" s="643" t="str">
        <x:v>2026-08-06</x:v>
      </x:c>
      <x:c r="L13" s="643" t="str">
        <x:v>车型年款</x:v>
      </x:c>
      <x:c r="M13" s="643" t="str">
        <x:v>版本改款</x:v>
      </x:c>
      <x:c r="N13" s="643" t="str">
        <x:v>MEDIUM_HIGH</x:v>
      </x:c>
      <x:c r="O13" s="643" t="str">
        <x:v>USED</x:v>
      </x:c>
      <x:c r="P13" s="643" t="str">
        <x:v>123/125</x:v>
      </x:c>
    </x:row>
    <x:row r="14" ht="82" customHeight="1">
      <x:c r="A14" s="19" t="str">
        <x:v>EV-09</x:v>
      </x:c>
      <x:c r="B14" s="19" t="str">
        <x:v>问界M7/M8官方配置</x:v>
      </x:c>
      <x:c r="C14" s="19" t="str">
        <x:v>同版本5/6座价差约1—2万元</x:v>
      </x:c>
      <x:c r="D14" s="19" t="str">
        <x:v>OFFICIAL_COMPARABLE</x:v>
      </x:c>
      <x:c r="E14" s="19" t="str">
        <x:v>https://aito.auto/model/m7-new/configuration/ ; https://aito.auto/model/m8/configuration/</x:v>
      </x:c>
      <x:c r="F14" s="19" t="str">
        <x:v>座位商业价值</x:v>
      </x:c>
      <x:c r="G14" s="19" t="str">
        <x:v>物理BOM差等于零售价差</x:v>
      </x:c>
      <x:c r="H14" s="19" t="str">
        <x:v>软围栏</x:v>
      </x:c>
      <x:c r="I14" s="19" t="str">
        <x:v>座位形态</x:v>
      </x:c>
      <x:c r="J14" s="19" t="str">
        <x:v>不涉及澎程供应商</x:v>
      </x:c>
      <x:c r="K14" s="19" t="str">
        <x:v>2026-08-06</x:v>
      </x:c>
      <x:c r="L14" s="19" t="str">
        <x:v>车型改款</x:v>
      </x:c>
      <x:c r="M14" s="19" t="str">
        <x:v>官网更新</x:v>
      </x:c>
      <x:c r="N14" s="19" t="str">
        <x:v>MEDIUM</x:v>
      </x:c>
      <x:c r="O14" s="19" t="str">
        <x:v>USED</x:v>
      </x:c>
      <x:c r="P14" s="19" t="str">
        <x:v>121/124</x:v>
      </x:c>
    </x:row>
    <x:row r="15" ht="82" customHeight="1">
      <x:c r="A15" s="643" t="str">
        <x:v>EV-10</x:v>
      </x:c>
      <x:c r="B15" s="643" t="str">
        <x:v>供应链降本模型</x:v>
      </x:c>
      <x:c r="C15" s="643" t="str">
        <x:v>N90中心可比成本节省约1.27万；其中非电池模块多为行业敏感性</x:v>
      </x:c>
      <x:c r="D15" s="643" t="str">
        <x:v>ENGINEERING_MODEL</x:v>
      </x:c>
      <x:c r="E15" s="643" t="str">
        <x:v>111—117</x:v>
      </x:c>
      <x:c r="F15" s="643" t="str">
        <x:v>正式价低尾合理性</x:v>
      </x:c>
      <x:c r="G15" s="643" t="str">
        <x:v>澎程已确认换了所有便宜供应商/采购报价/必降同额</x:v>
      </x:c>
      <x:c r="H15" s="643" t="str">
        <x:v>价格核X</x:v>
      </x:c>
      <x:c r="I15" s="643" t="str">
        <x:v>公共成本底座</x:v>
      </x:c>
      <x:c r="J15" s="643" t="str">
        <x:v>仅电池、增程器和部分制动可绑定；其余未锁</x:v>
      </x:c>
      <x:c r="K15" s="643" t="str">
        <x:v>2026-08-05</x:v>
      </x:c>
      <x:c r="L15" s="643" t="str">
        <x:v>成本更新</x:v>
      </x:c>
      <x:c r="M15" s="643" t="str">
        <x:v>拆车/定点</x:v>
      </x:c>
      <x:c r="N15" s="643" t="str">
        <x:v>MEDIUM_LOW</x:v>
      </x:c>
      <x:c r="O15" s="643" t="str">
        <x:v>MODELLED</x:v>
      </x:c>
      <x:c r="P15" s="643" t="str">
        <x:v>112/116/117/130</x:v>
      </x:c>
    </x:row>
    <x:row r="16" ht="82" customHeight="1">
      <x:c r="A16" s="19" t="str">
        <x:v>EV-11</x:v>
      </x:c>
      <x:c r="B16" s="19" t="str">
        <x:v>N90 Standard成本差</x:v>
      </x:c>
      <x:c r="C16" s="19" t="str">
        <x:v>修正后加权中位约0.52万；含税成本价差约0.63万</x:v>
      </x:c>
      <x:c r="D16" s="19" t="str">
        <x:v>ENGINEERING_MODEL</x:v>
      </x:c>
      <x:c r="E16" s="19" t="str">
        <x:v>122</x:v>
      </x:c>
      <x:c r="F16" s="19" t="str">
        <x:v>零售价差不等于BOM</x:v>
      </x:c>
      <x:c r="G16" s="19" t="str">
        <x:v>正式版配置已锁</x:v>
      </x:c>
      <x:c r="H16" s="19" t="str">
        <x:v>商品价值分层</x:v>
      </x:c>
      <x:c r="I16" s="19" t="str">
        <x:v>空簧/CDC拆分</x:v>
      </x:c>
      <x:c r="J16" s="19" t="str">
        <x:v>供应商未知</x:v>
      </x:c>
      <x:c r="K16" s="19" t="str">
        <x:v>2026-08-06</x:v>
      </x:c>
      <x:c r="L16" s="19" t="str">
        <x:v>配置更新</x:v>
      </x:c>
      <x:c r="M16" s="19" t="str">
        <x:v>完整配置表</x:v>
      </x:c>
      <x:c r="N16" s="19" t="str">
        <x:v>MEDIUM_LOW</x:v>
      </x:c>
      <x:c r="O16" s="19" t="str">
        <x:v>MODELLED</x:v>
      </x:c>
      <x:c r="P16" s="19" t="str">
        <x:v>122/135</x:v>
      </x:c>
    </x:row>
    <x:row r="17" ht="82" customHeight="1">
      <x:c r="A17" s="643" t="str">
        <x:v>EV-12</x:v>
      </x:c>
      <x:c r="B17" s="643" t="str">
        <x:v>正式价格状态</x:v>
      </x:c>
      <x:c r="C17" s="643" t="str">
        <x:v>两官网均写2026年9月正式发布；正式官方价格数量=0</x:v>
      </x:c>
      <x:c r="D17" s="643" t="str">
        <x:v>STATUS</x:v>
      </x:c>
      <x:c r="E17" s="643" t="str">
        <x:v>小米官方页/App</x:v>
      </x:c>
      <x:c r="F17" s="643" t="str">
        <x:v>只能输出预测</x:v>
      </x:c>
      <x:c r="G17" s="643" t="str">
        <x:v>预售价=正式价</x:v>
      </x:c>
      <x:c r="H17" s="643" t="str">
        <x:v>全报告边界</x:v>
      </x:c>
      <x:c r="I17" s="643" t="str">
        <x:v>全报告边界</x:v>
      </x:c>
      <x:c r="J17" s="643" t="str">
        <x:v>不适用</x:v>
      </x:c>
      <x:c r="K17" s="643" t="str">
        <x:v>2026-08-06</x:v>
      </x:c>
      <x:c r="L17" s="643" t="str">
        <x:v>每日发布期</x:v>
      </x:c>
      <x:c r="M17" s="643" t="str">
        <x:v>正式发布</x:v>
      </x:c>
      <x:c r="N17" s="643" t="str">
        <x:v>HIGH</x:v>
      </x:c>
      <x:c r="O17" s="643" t="str">
        <x:v>BLOCKED_OFFICIAL_PRICE</x:v>
      </x:c>
      <x:c r="P17" s="643" t="str">
        <x:v>140/141</x:v>
      </x:c>
    </x:row>
    <x:row r="18" ht="82" customHeight="1">
      <x:c r="A18" s="19" t="str">
        <x:v>EV-13</x:v>
      </x:c>
      <x:c r="B18" s="19" t="str">
        <x:v>官方答网友问259</x:v>
      </x:c>
      <x:c r="C18" s="19" t="str">
        <x:v>计划发布五座中大型SUV、七座大型SUV；价格发布前最终确定</x:v>
      </x:c>
      <x:c r="D18" s="19" t="str">
        <x:v>OFFICIAL</x:v>
      </x:c>
      <x:c r="E18" s="19" t="str">
        <x:v>https://weibo.com/ttarticle/p/show?id=2309405319642116915296</x:v>
      </x:c>
      <x:c r="F18" s="19" t="str">
        <x:v>两类车规划与价格未定</x:v>
      </x:c>
      <x:c r="G18" s="19" t="str">
        <x:v>首批四个商业版本/N90 Standard/Pro</x:v>
      </x:c>
      <x:c r="H18" s="19" t="str">
        <x:v>收缩首发树</x:v>
      </x:c>
      <x:c r="I18" s="19" t="str">
        <x:v>不改变已披露Max配置</x:v>
      </x:c>
      <x:c r="J18" s="19" t="str">
        <x:v>不适用</x:v>
      </x:c>
      <x:c r="K18" s="19" t="str">
        <x:v>2026-08-06</x:v>
      </x:c>
      <x:c r="L18" s="19" t="str">
        <x:v>发布期</x:v>
      </x:c>
      <x:c r="M18" s="19" t="str">
        <x:v>新官方阵容</x:v>
      </x:c>
      <x:c r="N18" s="19" t="str">
        <x:v>HIGH_BOUNDARY</x:v>
      </x:c>
      <x:c r="O18" s="19" t="str">
        <x:v>USED</x:v>
      </x:c>
      <x:c r="P18" s="19" t="str">
        <x:v>129/134/142</x:v>
      </x:c>
    </x:row>
    <x:row r="19" ht="82" customHeight="1">
      <x:c r="A19" s="643" t="str">
        <x:v>EV-14</x:v>
      </x:c>
      <x:c r="B19" s="643" t="str">
        <x:v>最终反证审计</x:v>
      </x:c>
      <x:c r="C19" s="643" t="str">
        <x:v>旧27.99/28.99双峰受阵容权重与role uplift主导；完全秩耦合围栏是构造结果</x:v>
      </x:c>
      <x:c r="D19" s="643" t="str">
        <x:v>MODEL_AUDIT</x:v>
      </x:c>
      <x:c r="E19" s="643" t="str">
        <x:v>130/132/133/136A</x:v>
      </x:c>
      <x:c r="F19" s="643" t="str">
        <x:v>条件价格树与压力尾</x:v>
      </x:c>
      <x:c r="G19" s="643" t="str">
        <x:v>客观发布概率/永不倒挂</x:v>
      </x:c>
      <x:c r="H19" s="643" t="str">
        <x:v>正文改押当前Max阵容</x:v>
      </x:c>
      <x:c r="I19" s="643" t="str">
        <x:v>不改变单车配置事实</x:v>
      </x:c>
      <x:c r="J19" s="643" t="str">
        <x:v>不适用</x:v>
      </x:c>
      <x:c r="K19" s="643" t="str">
        <x:v>2026-08-06</x:v>
      </x:c>
      <x:c r="L19" s="643" t="str">
        <x:v>模型更新</x:v>
      </x:c>
      <x:c r="M19" s="643" t="str">
        <x:v>官方阵容/价格</x:v>
      </x:c>
      <x:c r="N19" s="643" t="str">
        <x:v>HIGH_METHOD</x:v>
      </x:c>
      <x:c r="O19" s="643" t="str">
        <x:v>SUPERSEDED_MAIN_MODEL</x:v>
      </x:c>
      <x:c r="P19" s="643" t="str">
        <x:v>142</x:v>
      </x:c>
    </x:row>
  </x:sheetData>
  <x:mergeCells>
    <x:mergeCell ref="A1:P1"/>
    <x:mergeCell ref="A2:P2"/>
    <x:mergeCell ref="A3:P3"/>
  </x:mergeCells>
  <x:conditionalFormatting sqref="D6:D19">
    <x:cfRule type="containsText" dxfId="3979" priority="1" operator="containsText" text="PASS"/>
    <x:cfRule type="containsText" dxfId="3980" priority="2" operator="containsText" text="SIGNED"/>
    <x:cfRule type="containsText" dxfId="3981" priority="3" operator="containsText" text="CONFIRMED"/>
    <x:cfRule type="containsText" dxfId="3982" priority="4" operator="containsText" text="OFFICIAL"/>
    <x:cfRule type="containsText" dxfId="3983" priority="5" operator="containsText" text="FINAL"/>
    <x:cfRule type="containsText" dxfId="3984" priority="6" operator="containsText" text="READY"/>
    <x:cfRule type="containsText" dxfId="3985" priority="7" operator="containsText" text="MODEL"/>
    <x:cfRule type="containsText" dxfId="3986" priority="8" operator="containsText" text="CONDITIONAL"/>
    <x:cfRule type="containsText" dxfId="3987" priority="9" operator="containsText" text="PREDICTED"/>
    <x:cfRule type="containsText" dxfId="3988" priority="10" operator="containsText" text="MEDIUM"/>
    <x:cfRule type="containsText" dxfId="3989" priority="11" operator="containsText" text="WORKING"/>
    <x:cfRule type="containsText" dxfId="3990" priority="12" operator="containsText" text="WATCH"/>
    <x:cfRule type="containsText" dxfId="3991" priority="13" operator="containsText" text="EXCLUDED"/>
    <x:cfRule type="containsText" dxfId="3992" priority="14" operator="containsText" text="SEPARATE"/>
    <x:cfRule type="containsText" dxfId="3993" priority="15" operator="containsText" text="REGULATORY"/>
    <x:cfRule type="containsText" dxfId="3994" priority="16" operator="containsText" text="FAIL"/>
    <x:cfRule type="containsText" dxfId="3995" priority="17" operator="containsText" text="BLOCKED"/>
    <x:cfRule type="containsText" dxfId="3996" priority="18" operator="containsText" text="LOW"/>
  </x:conditionalFormatting>
  <x:conditionalFormatting sqref="O6:O19">
    <x:cfRule type="containsText" dxfId="3997" priority="19" operator="containsText" text="PASS"/>
    <x:cfRule type="containsText" dxfId="3998" priority="20" operator="containsText" text="SIGNED"/>
    <x:cfRule type="containsText" dxfId="3999" priority="21" operator="containsText" text="CONFIRMED"/>
    <x:cfRule type="containsText" dxfId="4000" priority="22" operator="containsText" text="OFFICIAL"/>
    <x:cfRule type="containsText" dxfId="4001" priority="23" operator="containsText" text="FINAL"/>
    <x:cfRule type="containsText" dxfId="4002" priority="24" operator="containsText" text="READY"/>
    <x:cfRule type="containsText" dxfId="4003" priority="25" operator="containsText" text="MODEL"/>
    <x:cfRule type="containsText" dxfId="4004" priority="26" operator="containsText" text="CONDITIONAL"/>
    <x:cfRule type="containsText" dxfId="4005" priority="27" operator="containsText" text="PREDICTED"/>
    <x:cfRule type="containsText" dxfId="4006" priority="28" operator="containsText" text="MEDIUM"/>
    <x:cfRule type="containsText" dxfId="4007" priority="29" operator="containsText" text="WORKING"/>
    <x:cfRule type="containsText" dxfId="4008" priority="30" operator="containsText" text="WATCH"/>
    <x:cfRule type="containsText" dxfId="4009" priority="31" operator="containsText" text="EXCLUDED"/>
    <x:cfRule type="containsText" dxfId="4010" priority="32" operator="containsText" text="SEPARATE"/>
    <x:cfRule type="containsText" dxfId="4011" priority="33" operator="containsText" text="REGULATORY"/>
    <x:cfRule type="containsText" dxfId="4012" priority="34" operator="containsText" text="FAIL"/>
    <x:cfRule type="containsText" dxfId="4013" priority="35" operator="containsText" text="BLOCKED"/>
    <x:cfRule type="containsText" dxfId="4014" priority="36" operator="containsText" text="LOW"/>
  </x:conditionalFormatting>
  <x:pageMargins left="0.7" right="0.7" top="0.75" bottom="0.75" header="0.3" footer="0.3"/>
</x:worksheet>
</file>

<file path=xl/worksheets/sheet14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22" hidden="0" customWidth="1"/>
    <x:col min="3" max="3" width="38" hidden="0" customWidth="1"/>
    <x:col min="4" max="4" width="36" hidden="0" customWidth="1"/>
    <x:col min="5" max="5" width="24" hidden="0" customWidth="1"/>
    <x:col min="6" max="6" width="42" hidden="0" customWidth="1"/>
    <x:col min="7" max="7" width="31" hidden="0" customWidth="1"/>
    <x:col min="8" max="8" width="18" hidden="0" customWidth="1"/>
    <x:col min="9" max="9" width="40" hidden="0" customWidth="1"/>
    <x:col min="10" max="10" width="43" hidden="0" customWidth="1"/>
    <x:col min="11" max="11" width="29" hidden="0" customWidth="1"/>
    <x:col min="12" max="12" width="32" hidden="0" customWidth="1"/>
    <x:col min="13" max="13" width="29" hidden="0" customWidth="1"/>
    <x:col min="14" max="14" width="18" hidden="0" customWidth="1"/>
  </x:cols>
  <x:sheetData>
    <x:row r="1" ht="30" customHeight="1">
      <x:c r="A1" s="630" t="str">
        <x:v>140｜Phase 3.4B最终签核：事实、条件与推翻信号一次列清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</x:row>
    <x:row r="2" ht="22" customHeight="1">
      <x:c r="A2" s="633" t="str">
        <x:v>不再给未官宣SKU发布百分比｜不再把启发式双峰写成市场事实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</x:row>
    <x:row r="3" ht="92" customHeight="1">
      <x:c r="A3" s="637" t="str">
        <x:v>正文主树：N70 Max 24.99万元、N90 Max 27.99万元；N70若商品化20.99万元（中心走廊19.99—21.99）；N90 Max升顶若规模化商品化，工作中心29.99万元。Standard/Pro退至生命周期情景。正式发布后以官方价和逐项配置表替换。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</x:row>
    <x:row r="5" ht="60" customHeight="1">
      <x:c r="A5" s="642" t="str">
        <x:v>签核ID</x:v>
      </x:c>
      <x:c r="B5" s="642" t="str">
        <x:v>对象</x:v>
      </x:c>
      <x:c r="C5" s="642" t="str">
        <x:v>最终结论</x:v>
      </x:c>
      <x:c r="D5" s="642" t="str">
        <x:v>数值/价格</x:v>
      </x:c>
      <x:c r="E5" s="642" t="str">
        <x:v>存在工作权重</x:v>
      </x:c>
      <x:c r="F5" s="642" t="str">
        <x:v>配置中心</x:v>
      </x:c>
      <x:c r="G5" s="642" t="str">
        <x:v>证据</x:v>
      </x:c>
      <x:c r="H5" s="642" t="str">
        <x:v>置信</x:v>
      </x:c>
      <x:c r="I5" s="642" t="str">
        <x:v>可以说</x:v>
      </x:c>
      <x:c r="J5" s="642" t="str">
        <x:v>不能说</x:v>
      </x:c>
      <x:c r="K5" s="642" t="str">
        <x:v>低价尾</x:v>
      </x:c>
      <x:c r="L5" s="642" t="str">
        <x:v>更新动作</x:v>
      </x:c>
      <x:c r="M5" s="642" t="str">
        <x:v>状态</x:v>
      </x:c>
      <x:c r="N5" s="642" t="str">
        <x:v>回链</x:v>
      </x:c>
    </x:row>
    <x:row r="6" ht="74" customHeight="1">
      <x:c r="A6" s="19" t="str">
        <x:v>S-34B-01</x:v>
      </x:c>
      <x:c r="B6" s="19" t="str">
        <x:v>N70</x:v>
      </x:c>
      <x:c r="C6" s="19" t="str">
        <x:v>申报名称已确认；商品化待定</x:v>
      </x:c>
      <x:c r="D6" s="19" t="str">
        <x:v>19.99—21.99中心走廊；强制单点20.99</x:v>
      </x:c>
      <x:c r="E6" s="19" t="str">
        <x:v>不设发布百分比</x:v>
      </x:c>
      <x:c r="F6" s="19" t="str">
        <x:v>5座/单电机210kW/LFP；52kWh来自目录转载；轴位、悬架、座舱待定</x:v>
      </x:c>
      <x:c r="G6" s="19" t="str">
        <x:v>MIIT尾标+目录转载+成本桥</x:v>
      </x:c>
      <x:c r="H6" s="19" t="str">
        <x:v>MEDIUM_LOW</x:v>
      </x:c>
      <x:c r="I6" s="19" t="str">
        <x:v>若商品化中心押20.99</x:v>
      </x:c>
      <x:c r="J6" s="19" t="str">
        <x:v>Standard/后驱/52kWh均由同一申报正文确认</x:v>
      </x:c>
      <x:c r="K6" s="19" t="str">
        <x:v>17.99压力尾非零</x:v>
      </x:c>
      <x:c r="L6" s="19" t="str">
        <x:v>商品卡出现后重跑</x:v>
      </x:c>
      <x:c r="M6" s="19" t="str">
        <x:v>SIGNED_CONDITIONAL</x:v>
      </x:c>
      <x:c r="N6" s="19" t="str">
        <x:v>131/134/135/142</x:v>
      </x:c>
    </x:row>
    <x:row r="7" ht="74" customHeight="1">
      <x:c r="A7" s="643" t="str">
        <x:v>S-34A-02</x:v>
      </x:c>
      <x:c r="B7" s="643" t="str">
        <x:v>N70 Max</x:v>
      </x:c>
      <x:c r="C7" s="643" t="str">
        <x:v>正式价众数24.99</x:v>
      </x:c>
      <x:c r="D7" s="643" t="str">
        <x:v>80%覆盖22.99—24.99</x:v>
      </x:c>
      <x:c r="E7" s="643" t="str">
        <x:v>100%</x:v>
      </x:c>
      <x:c r="F7" s="643" t="str">
        <x:v>五座/310kW/76kWh/空悬+CDC</x:v>
      </x:c>
      <x:c r="G7" s="643" t="str">
        <x:v>官方+MIIT+3.3C</x:v>
      </x:c>
      <x:c r="H7" s="643" t="str">
        <x:v>MEDIUM</x:v>
      </x:c>
      <x:c r="I7" s="643" t="str">
        <x:v>24.99为单点众数</x:v>
      </x:c>
      <x:c r="J7" s="643" t="str">
        <x:v>一定24.99</x:v>
      </x:c>
      <x:c r="K7" s="643" t="str">
        <x:v>≤23.99约47.8%</x:v>
      </x:c>
      <x:c r="L7" s="643" t="str">
        <x:v>正式价替换</x:v>
      </x:c>
      <x:c r="M7" s="643" t="str">
        <x:v>SIGNED_FORECAST</x:v>
      </x:c>
      <x:c r="N7" s="643" t="str">
        <x:v>131/134</x:v>
      </x:c>
    </x:row>
    <x:row r="8" ht="74" customHeight="1">
      <x:c r="A8" s="19" t="str">
        <x:v>S-34B-03</x:v>
      </x:c>
      <x:c r="B8" s="19" t="str">
        <x:v>N90 Standard</x:v>
      </x:c>
      <x:c r="C8" s="19" t="str">
        <x:v>生命周期条件情景</x:v>
      </x:c>
      <x:c r="D8" s="19" t="str">
        <x:v>若未来出现：25.99—26.99</x:v>
      </x:c>
      <x:c r="E8" s="19" t="str">
        <x:v>不纳入首发/不设百分比</x:v>
      </x:c>
      <x:c r="F8" s="19" t="str">
        <x:v>配置尚未锁；螺簧+CDC只是旧成本假设</x:v>
      </x:c>
      <x:c r="G8" s="19" t="str">
        <x:v>MIIT仅证明5/7座合规路径</x:v>
      </x:c>
      <x:c r="H8" s="19" t="str">
        <x:v>LOW</x:v>
      </x:c>
      <x:c r="I8" s="19" t="str">
        <x:v>可讨论条件价格带</x:v>
      </x:c>
      <x:c r="J8" s="19" t="str">
        <x:v>首发已官宣/5座必然对应</x:v>
      </x:c>
      <x:c r="K8" s="19" t="str">
        <x:v>低价尾只作情景</x:v>
      </x:c>
      <x:c r="L8" s="19" t="str">
        <x:v>SKU/配置出现后重跑</x:v>
      </x:c>
      <x:c r="M8" s="19" t="str">
        <x:v>WATCH_ONLY</x:v>
      </x:c>
      <x:c r="N8" s="19" t="str">
        <x:v>133/134/135/142</x:v>
      </x:c>
    </x:row>
    <x:row r="9" ht="74" customHeight="1">
      <x:c r="A9" s="643" t="str">
        <x:v>S-34B-04</x:v>
      </x:c>
      <x:c r="B9" s="643" t="str">
        <x:v>N90 Pro</x:v>
      </x:c>
      <x:c r="C9" s="643" t="str">
        <x:v>生命周期阵容占位</x:v>
      </x:c>
      <x:c r="D9" s="643" t="str">
        <x:v>若未来出现：26.99—27.99</x:v>
      </x:c>
      <x:c r="E9" s="643" t="str">
        <x:v>不纳入首发/不设百分比</x:v>
      </x:c>
      <x:c r="F9" s="643" t="str">
        <x:v>没有专属申报或独立BOM桥</x:v>
      </x:c>
      <x:c r="G9" s="643" t="str">
        <x:v>小米梯度敏感性</x:v>
      </x:c>
      <x:c r="H9" s="643" t="str">
        <x:v>LOW</x:v>
      </x:c>
      <x:c r="I9" s="643" t="str">
        <x:v>必须先有硬件职责才可成立</x:v>
      </x:c>
      <x:c r="J9" s="643" t="str">
        <x:v>已官宣/27.99是成本推导唯一点</x:v>
      </x:c>
      <x:c r="K9" s="643" t="str">
        <x:v>不报告精确权重</x:v>
      </x:c>
      <x:c r="L9" s="643" t="str">
        <x:v>SKU出现后从零重建</x:v>
      </x:c>
      <x:c r="M9" s="643" t="str">
        <x:v>WATCH_ONLY</x:v>
      </x:c>
      <x:c r="N9" s="643" t="str">
        <x:v>133/134/135/142</x:v>
      </x:c>
    </x:row>
    <x:row r="10" ht="74" customHeight="1">
      <x:c r="A10" s="19" t="str">
        <x:v>S-34B-05</x:v>
      </x:c>
      <x:c r="B10" s="19" t="str">
        <x:v>N90 Max</x:v>
      </x:c>
      <x:c r="C10" s="19" t="str">
        <x:v>当前首发主判断27.99</x:v>
      </x:c>
      <x:c r="D10" s="19" t="str">
        <x:v>只上Max：27.99；有低SKU：28.99—29.99</x:v>
      </x:c>
      <x:c r="E10" s="19" t="str">
        <x:v>当前公开阵容100%</x:v>
      </x:c>
      <x:c r="F10" s="19" t="str">
        <x:v>官方Max工程底座与XLA</x:v>
      </x:c>
      <x:c r="G10" s="19" t="str">
        <x:v>官网+MIIT+3.3C+反证审计</x:v>
      </x:c>
      <x:c r="H10" s="19" t="str">
        <x:v>MEDIUM</x:v>
      </x:c>
      <x:c r="I10" s="19" t="str">
        <x:v>27.99是当前阵容中心</x:v>
      </x:c>
      <x:c r="J10" s="19" t="str">
        <x:v>27.99/28.99是稳健无条件双峰</x:v>
      </x:c>
      <x:c r="K10" s="19" t="str">
        <x:v>25.99—26.99为强进攻尾</x:v>
      </x:c>
      <x:c r="L10" s="19" t="str">
        <x:v>阵容/正式价出现后重跑</x:v>
      </x:c>
      <x:c r="M10" s="19" t="str">
        <x:v>SIGNED_CONDITIONAL_TREE</x:v>
      </x:c>
      <x:c r="N10" s="19" t="str">
        <x:v>132/133/134/142</x:v>
      </x:c>
    </x:row>
    <x:row r="11" ht="74" customHeight="1">
      <x:c r="A11" s="643" t="str">
        <x:v>S-34B-06</x:v>
      </x:c>
      <x:c r="B11" s="643" t="str">
        <x:v>N90 Max升顶</x:v>
      </x:c>
      <x:c r="C11" s="643" t="str">
        <x:v>独立条件候选</x:v>
      </x:c>
      <x:c r="D11" s="643" t="str">
        <x:v>规模化Max+1—3万；工作中心29.99</x:v>
      </x:c>
      <x:c r="E11" s="643" t="str">
        <x:v>不入固定顶主树</x:v>
      </x:c>
      <x:c r="F11" s="643" t="str">
        <x:v>5座升顶专用车；有车顶床板</x:v>
      </x:c>
      <x:c r="G11" s="643" t="str">
        <x:v>MIIT+工程桥</x:v>
      </x:c>
      <x:c r="H11" s="643" t="str">
        <x:v>LOW</x:v>
      </x:c>
      <x:c r="I11" s="643" t="str">
        <x:v>主工作中心不是固定+5万</x:v>
      </x:c>
      <x:c r="J11" s="643" t="str">
        <x:v>只能站立/不能睡/已上市</x:v>
      </x:c>
      <x:c r="K11" s="643" t="str">
        <x:v>低量专用车可能更高</x:v>
      </x:c>
      <x:c r="L11" s="643" t="str">
        <x:v>商品名+配置+价格</x:v>
      </x:c>
      <x:c r="M11" s="643" t="str">
        <x:v>SIGNED_SEPARATE</x:v>
      </x:c>
      <x:c r="N11" s="643" t="str">
        <x:v>138/142</x:v>
      </x:c>
    </x:row>
    <x:row r="12" ht="74" customHeight="1">
      <x:c r="A12" s="19" t="str">
        <x:v>S-34B-07</x:v>
      </x:c>
      <x:c r="B12" s="19" t="str">
        <x:v>N70—N90联合</x:v>
      </x:c>
      <x:c r="C12" s="19" t="str">
        <x:v>正相关中心情景+弱相关压力测试</x:v>
      </x:c>
      <x:c r="D12" s="19" t="str">
        <x:v>当前中心向量24.99/27.99</x:v>
      </x:c>
      <x:c r="E12" s="19" t="str">
        <x:v>不设客观耦合概率</x:v>
      </x:c>
      <x:c r="F12" s="19" t="str">
        <x:v>同一市场降价方向通常相关</x:v>
      </x:c>
      <x:c r="G12" s="19" t="str">
        <x:v>3.3C情景+反证审计</x:v>
      </x:c>
      <x:c r="H12" s="19" t="str">
        <x:v>MEDIUM_LOW</x:v>
      </x:c>
      <x:c r="I12" s="19" t="str">
        <x:v>中心情景不倒挂</x:v>
      </x:c>
      <x:c r="J12" s="19" t="str">
        <x:v>始终不倒挂/Max必差至少3万</x:v>
      </x:c>
      <x:c r="K12" s="19" t="str">
        <x:v>弱相关约一成状态需联动</x:v>
      </x:c>
      <x:c r="L12" s="19" t="str">
        <x:v>两车正式价后替换</x:v>
      </x:c>
      <x:c r="M12" s="19" t="str">
        <x:v>SIGNED_SCENARIO</x:v>
      </x:c>
      <x:c r="N12" s="19" t="str">
        <x:v>136/136A/142</x:v>
      </x:c>
    </x:row>
    <x:row r="13" ht="74" customHeight="1">
      <x:c r="A13" s="643" t="str">
        <x:v>S-34B-08</x:v>
      </x:c>
      <x:c r="B13" s="643" t="str">
        <x:v>供应商降本</x:v>
      </x:c>
      <x:c r="C13" s="643" t="str">
        <x:v>分模块进入，不统一打折</x:v>
      </x:c>
      <x:c r="D13" s="643" t="str">
        <x:v>N90中心节省1.27万工程量级</x:v>
      </x:c>
      <x:c r="E13" s="643" t="str">
        <x:v>不适用</x:v>
      </x:c>
      <x:c r="F13" s="643" t="str">
        <x:v>电池/增程器/制动可部分绑定；其余为行业敏感性</x:v>
      </x:c>
      <x:c r="G13" s="643" t="str">
        <x:v>111—116</x:v>
      </x:c>
      <x:c r="H13" s="643" t="str">
        <x:v>MEDIUM_LOW</x:v>
      </x:c>
      <x:c r="I13" s="643" t="str">
        <x:v>非电池模块是情景，不是定点事实</x:v>
      </x:c>
      <x:c r="J13" s="643" t="str">
        <x:v>所有供应商都换便宜/采购已省固定金额</x:v>
      </x:c>
      <x:c r="K13" s="643" t="str">
        <x:v>强传导尾已保留</x:v>
      </x:c>
      <x:c r="L13" s="643" t="str">
        <x:v>定点/拆车后更新</x:v>
      </x:c>
      <x:c r="M13" s="643" t="str">
        <x:v>SIGNED_METHOD</x:v>
      </x:c>
      <x:c r="N13" s="643" t="str">
        <x:v>111—117</x:v>
      </x:c>
    </x:row>
    <x:row r="14" ht="74" customHeight="1">
      <x:c r="A14" s="19" t="str">
        <x:v>S-34A-09</x:v>
      </x:c>
      <x:c r="B14" s="19" t="str">
        <x:v>预售→正式</x:v>
      </x:c>
      <x:c r="C14" s="19" t="str">
        <x:v>显式保留不降与大降</x:v>
      </x:c>
      <x:c r="D14" s="19" t="str">
        <x:v>N70/N90六点价格核</x:v>
      </x:c>
      <x:c r="E14" s="19" t="str">
        <x:v>不适用</x:v>
      </x:c>
      <x:c r="F14" s="19" t="str">
        <x:v>与权益分开</x:v>
      </x:c>
      <x:c r="G14" s="19" t="str">
        <x:v>117</x:v>
      </x:c>
      <x:c r="H14" s="19" t="str">
        <x:v>MEDIUM</x:v>
      </x:c>
      <x:c r="I14" s="19" t="str">
        <x:v>预售价不是正式价</x:v>
      </x:c>
      <x:c r="J14" s="19" t="str">
        <x:v>正式价必降某固定额</x:v>
      </x:c>
      <x:c r="K14" s="19" t="str">
        <x:v>大降4万非零</x:v>
      </x:c>
      <x:c r="L14" s="19" t="str">
        <x:v>正式价替换</x:v>
      </x:c>
      <x:c r="M14" s="19" t="str">
        <x:v>SIGNED_METHOD</x:v>
      </x:c>
      <x:c r="N14" s="19" t="str">
        <x:v>117/130</x:v>
      </x:c>
    </x:row>
    <x:row r="15" ht="74" customHeight="1">
      <x:c r="A15" s="643" t="str">
        <x:v>S-34B-10</x:v>
      </x:c>
      <x:c r="B15" s="643" t="str">
        <x:v>版本命名</x:v>
      </x:c>
      <x:c r="C15" s="643" t="str">
        <x:v>N70名称已锁；N90 Standard/Pro仅情景标签</x:v>
      </x:c>
      <x:c r="D15" s="643" t="str">
        <x:v>1个申报名+2个占位标签</x:v>
      </x:c>
      <x:c r="E15" s="643" t="str">
        <x:v>条件</x:v>
      </x:c>
      <x:c r="F15" s="643" t="str">
        <x:v>便于说人话但不混同事实</x:v>
      </x:c>
      <x:c r="G15" s="643" t="str">
        <x:v>MIIT/121/135</x:v>
      </x:c>
      <x:c r="H15" s="643" t="str">
        <x:v>HIGH_BOUNDARY</x:v>
      </x:c>
      <x:c r="I15" s="643" t="str">
        <x:v>N70可直接称N70</x:v>
      </x:c>
      <x:c r="J15" s="643" t="str">
        <x:v>N90 Standard/Pro已官宣</x:v>
      </x:c>
      <x:c r="K15" s="643" t="str">
        <x:v>不适用</x:v>
      </x:c>
      <x:c r="L15" s="643" t="str">
        <x:v>官方SKU出现后锁名</x:v>
      </x:c>
      <x:c r="M15" s="643" t="str">
        <x:v>SIGNED_BOUNDARY</x:v>
      </x:c>
      <x:c r="N15" s="643" t="str">
        <x:v>134/135/142</x:v>
      </x:c>
    </x:row>
    <x:row r="16" ht="74" customHeight="1">
      <x:c r="A16" s="19" t="str">
        <x:v>S-34A-11</x:v>
      </x:c>
      <x:c r="B16" s="19" t="str">
        <x:v>区间</x:v>
      </x:c>
      <x:c r="C16" s="19" t="str">
        <x:v>模型权重覆盖区间</x:v>
      </x:c>
      <x:c r="D16" s="19" t="str">
        <x:v>80%/95%</x:v>
      </x:c>
      <x:c r="E16" s="19" t="str">
        <x:v>不适用</x:v>
      </x:c>
      <x:c r="F16" s="19" t="str">
        <x:v>不声称频率统计</x:v>
      </x:c>
      <x:c r="G16" s="19" t="str">
        <x:v>131/133</x:v>
      </x:c>
      <x:c r="H16" s="19" t="str">
        <x:v>HIGH_METHOD</x:v>
      </x:c>
      <x:c r="I16" s="19" t="str">
        <x:v>覆盖区间</x:v>
      </x:c>
      <x:c r="J16" s="19" t="str">
        <x:v>统计置信区间</x:v>
      </x:c>
      <x:c r="K16" s="19" t="str">
        <x:v>尾部保留</x:v>
      </x:c>
      <x:c r="L16" s="19" t="str">
        <x:v>样本增加后重估</x:v>
      </x:c>
      <x:c r="M16" s="19" t="str">
        <x:v>SIGNED_METHOD</x:v>
      </x:c>
      <x:c r="N16" s="19" t="str">
        <x:v>131/133</x:v>
      </x:c>
    </x:row>
    <x:row r="17" ht="74" customHeight="1">
      <x:c r="A17" s="643" t="str">
        <x:v>S-34B-12</x:v>
      </x:c>
      <x:c r="B17" s="643" t="str">
        <x:v>正式状态</x:v>
      </x:c>
      <x:c r="C17" s="643" t="str">
        <x:v>截至8月6日仍只有预售价</x:v>
      </x:c>
      <x:c r="D17" s="643" t="str">
        <x:v>官方正式价数量0</x:v>
      </x:c>
      <x:c r="E17" s="643" t="str">
        <x:v>不适用</x:v>
      </x:c>
      <x:c r="F17" s="643" t="str">
        <x:v>等待完整配置表</x:v>
      </x:c>
      <x:c r="G17" s="643" t="str">
        <x:v>官方页/App</x:v>
      </x:c>
      <x:c r="H17" s="643" t="str">
        <x:v>HIGH</x:v>
      </x:c>
      <x:c r="I17" s="643" t="str">
        <x:v>本报告是预测</x:v>
      </x:c>
      <x:c r="J17" s="643" t="str">
        <x:v>官方最终结论</x:v>
      </x:c>
      <x:c r="K17" s="643" t="str">
        <x:v>不适用</x:v>
      </x:c>
      <x:c r="L17" s="643" t="str">
        <x:v>9月发布会</x:v>
      </x:c>
      <x:c r="M17" s="643" t="str">
        <x:v>READY_EVIDENCE_CONVERGED</x:v>
      </x:c>
      <x:c r="N17" s="643" t="str">
        <x:v>139/141/142</x:v>
      </x:c>
    </x:row>
  </x:sheetData>
  <x:mergeCells>
    <x:mergeCell ref="A1:N1"/>
    <x:mergeCell ref="A2:N2"/>
    <x:mergeCell ref="A3:N3"/>
  </x:mergeCells>
  <x:conditionalFormatting sqref="M6:M17">
    <x:cfRule type="containsText" dxfId="4015" priority="1" operator="containsText" text="PASS"/>
    <x:cfRule type="containsText" dxfId="4016" priority="2" operator="containsText" text="SIGNED"/>
    <x:cfRule type="containsText" dxfId="4017" priority="3" operator="containsText" text="CONFIRMED"/>
    <x:cfRule type="containsText" dxfId="4018" priority="4" operator="containsText" text="OFFICIAL"/>
    <x:cfRule type="containsText" dxfId="4019" priority="5" operator="containsText" text="FINAL"/>
    <x:cfRule type="containsText" dxfId="4020" priority="6" operator="containsText" text="READY"/>
    <x:cfRule type="containsText" dxfId="4021" priority="7" operator="containsText" text="MODEL"/>
    <x:cfRule type="containsText" dxfId="4022" priority="8" operator="containsText" text="CONDITIONAL"/>
    <x:cfRule type="containsText" dxfId="4023" priority="9" operator="containsText" text="PREDICTED"/>
    <x:cfRule type="containsText" dxfId="4024" priority="10" operator="containsText" text="MEDIUM"/>
    <x:cfRule type="containsText" dxfId="4025" priority="11" operator="containsText" text="WORKING"/>
    <x:cfRule type="containsText" dxfId="4026" priority="12" operator="containsText" text="WATCH"/>
    <x:cfRule type="containsText" dxfId="4027" priority="13" operator="containsText" text="EXCLUDED"/>
    <x:cfRule type="containsText" dxfId="4028" priority="14" operator="containsText" text="SEPARATE"/>
    <x:cfRule type="containsText" dxfId="4029" priority="15" operator="containsText" text="REGULATORY"/>
    <x:cfRule type="containsText" dxfId="4030" priority="16" operator="containsText" text="FAIL"/>
    <x:cfRule type="containsText" dxfId="4031" priority="17" operator="containsText" text="BLOCKED"/>
    <x:cfRule type="containsText" dxfId="4032" priority="18" operator="containsText" text="LOW"/>
  </x:conditionalFormatting>
  <x:pageMargins left="0.7" right="0.7" top="0.75" bottom="0.75" header="0.3" footer="0.3"/>
</x:worksheet>
</file>

<file path=xl/worksheets/sheet14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8" hidden="0" customWidth="1"/>
    <x:col min="3" max="3" width="48" hidden="0" customWidth="1"/>
    <x:col min="4" max="4" width="24" hidden="0" customWidth="1"/>
    <x:col min="5" max="5" width="24" hidden="0" customWidth="1"/>
    <x:col min="6" max="6" width="14" hidden="0" customWidth="1"/>
    <x:col min="7" max="7" width="14" hidden="0" customWidth="1"/>
    <x:col min="8" max="8" width="43" hidden="0" customWidth="1"/>
  </x:cols>
  <x:sheetData>
    <x:row r="1" ht="30" customHeight="1">
      <x:c r="A1" s="630" t="str">
        <x:v>141｜Phase 3.4B机器校验</x:v>
      </x:c>
      <x:c r="B1" s="630"/>
      <x:c r="C1" s="630"/>
      <x:c r="D1" s="630"/>
      <x:c r="E1" s="630"/>
      <x:c r="F1" s="630"/>
      <x:c r="G1" s="630"/>
      <x:c r="H1" s="630"/>
    </x:row>
    <x:row r="2" ht="22" customHeight="1">
      <x:c r="A2" s="633" t="str">
        <x:v>旧模型公式守恒 + 新证据边界 + 主交付表关键数值</x:v>
      </x:c>
      <x:c r="B2" s="633"/>
      <x:c r="C2" s="633"/>
      <x:c r="D2" s="633"/>
      <x:c r="E2" s="633"/>
      <x:c r="F2" s="633"/>
      <x:c r="G2" s="633"/>
      <x:c r="H2" s="633"/>
    </x:row>
    <x:row r="3" ht="92" customHeight="1">
      <x:c r="A3" s="637" t="str">
        <x:v>PASS只表示公式与写入口径一致，不代表预测一定实现。旧阵容权重、混合双峰和完全秩耦合均已降级；最终读数以134与142为准。</x:v>
      </x:c>
      <x:c r="B3" s="637"/>
      <x:c r="C3" s="637"/>
      <x:c r="D3" s="637"/>
      <x:c r="E3" s="637"/>
      <x:c r="F3" s="637"/>
      <x:c r="G3" s="637"/>
      <x:c r="H3" s="637"/>
    </x:row>
    <x:row r="5" ht="48" customHeight="1">
      <x:c r="A5" s="642" t="str">
        <x:v>check_id</x:v>
      </x:c>
      <x:c r="B5" s="642" t="str">
        <x:v>类别</x:v>
      </x:c>
      <x:c r="C5" s="642" t="str">
        <x:v>断言</x:v>
      </x:c>
      <x:c r="D5" s="642" t="str">
        <x:v>Expected</x:v>
      </x:c>
      <x:c r="E5" s="642" t="str">
        <x:v>Actual</x:v>
      </x:c>
      <x:c r="F5" s="642" t="str">
        <x:v>Result</x:v>
      </x:c>
      <x:c r="G5" s="642" t="str">
        <x:v>Severity</x:v>
      </x:c>
      <x:c r="H5" s="642" t="str">
        <x:v>说明</x:v>
      </x:c>
    </x:row>
    <x:row r="6" ht="40" customHeight="1">
      <x:c r="A6" s="19" t="str">
        <x:v>CHK-34B-01</x:v>
      </x:c>
      <x:c r="B6" s="19" t="str">
        <x:v>INPUT</x:v>
      </x:c>
      <x:c r="C6" s="19" t="str">
        <x:v>N70 Max价格核权重合计</x:v>
      </x:c>
      <x:c r="D6" s="19" t="n">
        <x:v>1</x:v>
      </x:c>
      <x:c r="E6" s="19" t="n">
        <x:f>'131_N70最终分布'!B16</x:f>
        <x:v>1</x:v>
      </x:c>
      <x:c r="F6" s="19" t="str">
        <x:f>IF(ABS(E6-D6)&lt;0.0001,"PASS","FAIL")</x:f>
        <x:v>PASS</x:v>
      </x:c>
      <x:c r="G6" s="19" t="str">
        <x:v>ERROR</x:v>
      </x:c>
      <x:c r="H6" s="19" t="str"/>
    </x:row>
    <x:row r="7" ht="40" customHeight="1">
      <x:c r="A7" s="643" t="str">
        <x:v>CHK-34B-02</x:v>
      </x:c>
      <x:c r="B7" s="643" t="str">
        <x:v>INPUT</x:v>
      </x:c>
      <x:c r="C7" s="643" t="str">
        <x:v>N90供应链价格核权重合计</x:v>
      </x:c>
      <x:c r="D7" s="643" t="n">
        <x:v>1</x:v>
      </x:c>
      <x:c r="E7" s="643" t="n">
        <x:f>SUM('130_联合算法'!C6:C11)</x:f>
        <x:v>1</x:v>
      </x:c>
      <x:c r="F7" s="643" t="str">
        <x:f>IF(ABS(E7-D7)&lt;0.0001,"PASS","FAIL")</x:f>
        <x:v>PASS</x:v>
      </x:c>
      <x:c r="G7" s="643" t="str">
        <x:v>ERROR</x:v>
      </x:c>
      <x:c r="H7" s="643" t="str"/>
    </x:row>
    <x:row r="8" ht="40" customHeight="1">
      <x:c r="A8" s="19" t="str">
        <x:v>CHK-34B-03</x:v>
      </x:c>
      <x:c r="B8" s="19" t="str">
        <x:v>LINEUP</x:v>
      </x:c>
      <x:c r="C8" s="19" t="str">
        <x:v>五叶权重合计</x:v>
      </x:c>
      <x:c r="D8" s="19" t="n">
        <x:v>1</x:v>
      </x:c>
      <x:c r="E8" s="19" t="n">
        <x:f>SUM('130_联合算法'!C16:C20)</x:f>
        <x:v>1</x:v>
      </x:c>
      <x:c r="F8" s="19" t="str">
        <x:f>IF(ABS(E8-D8)&lt;0.0001,"PASS","FAIL")</x:f>
        <x:v>PASS</x:v>
      </x:c>
      <x:c r="G8" s="19" t="str">
        <x:v>ERROR</x:v>
      </x:c>
      <x:c r="H8" s="19" t="str"/>
    </x:row>
    <x:row r="9" ht="40" customHeight="1">
      <x:c r="A9" s="643" t="str">
        <x:v>CHK-34B-04</x:v>
      </x:c>
      <x:c r="B9" s="643" t="str">
        <x:v>LINEUP</x:v>
      </x:c>
      <x:c r="C9" s="643" t="str">
        <x:v>仅Max叶权重</x:v>
      </x:c>
      <x:c r="D9" s="643" t="n">
        <x:v>0.6</x:v>
      </x:c>
      <x:c r="E9" s="643" t="n">
        <x:f>'130_联合算法'!C16</x:f>
        <x:v>0.6</x:v>
      </x:c>
      <x:c r="F9" s="643" t="str">
        <x:f>IF(ABS(E9-D9)&lt;0.0001,"PASS","FAIL")</x:f>
        <x:v>PASS</x:v>
      </x:c>
      <x:c r="G9" s="643" t="str">
        <x:v>ERROR</x:v>
      </x:c>
      <x:c r="H9" s="643" t="str"/>
    </x:row>
    <x:row r="10" ht="40" customHeight="1">
      <x:c r="A10" s="19" t="str">
        <x:v>CHK-34B-05</x:v>
      </x:c>
      <x:c r="B10" s="19" t="str">
        <x:v>LINEUP</x:v>
      </x:c>
      <x:c r="C10" s="19" t="str">
        <x:v>Standard+Max合计</x:v>
      </x:c>
      <x:c r="D10" s="19" t="n">
        <x:v>0.25</x:v>
      </x:c>
      <x:c r="E10" s="19" t="n">
        <x:f>SUM('130_联合算法'!C17:C18)</x:f>
        <x:v>0.25</x:v>
      </x:c>
      <x:c r="F10" s="19" t="str">
        <x:f>IF(ABS(E10-D10)&lt;0.0001,"PASS","FAIL")</x:f>
        <x:v>PASS</x:v>
      </x:c>
      <x:c r="G10" s="19" t="str">
        <x:v>ERROR</x:v>
      </x:c>
      <x:c r="H10" s="19" t="str"/>
    </x:row>
    <x:row r="11" ht="40" customHeight="1">
      <x:c r="A11" s="643" t="str">
        <x:v>CHK-34B-06</x:v>
      </x:c>
      <x:c r="B11" s="643" t="str">
        <x:v>LINEUP</x:v>
      </x:c>
      <x:c r="C11" s="643" t="str">
        <x:v>Pro+Max权重</x:v>
      </x:c>
      <x:c r="D11" s="643" t="n">
        <x:v>0.05</x:v>
      </x:c>
      <x:c r="E11" s="643" t="n">
        <x:f>'130_联合算法'!C19</x:f>
        <x:v>0.05</x:v>
      </x:c>
      <x:c r="F11" s="643" t="str">
        <x:f>IF(ABS(E11-D11)&lt;0.0001,"PASS","FAIL")</x:f>
        <x:v>PASS</x:v>
      </x:c>
      <x:c r="G11" s="643" t="str">
        <x:v>ERROR</x:v>
      </x:c>
      <x:c r="H11" s="643" t="str"/>
    </x:row>
    <x:row r="12" ht="40" customHeight="1">
      <x:c r="A12" s="19" t="str">
        <x:v>CHK-34B-07</x:v>
      </x:c>
      <x:c r="B12" s="19" t="str">
        <x:v>LINEUP</x:v>
      </x:c>
      <x:c r="C12" s="19" t="str">
        <x:v>三档权重</x:v>
      </x:c>
      <x:c r="D12" s="19" t="n">
        <x:v>0.1</x:v>
      </x:c>
      <x:c r="E12" s="19" t="n">
        <x:f>'130_联合算法'!C20</x:f>
        <x:v>0.1</x:v>
      </x:c>
      <x:c r="F12" s="19" t="str">
        <x:f>IF(ABS(E12-D12)&lt;0.0001,"PASS","FAIL")</x:f>
        <x:v>PASS</x:v>
      </x:c>
      <x:c r="G12" s="19" t="str">
        <x:v>ERROR</x:v>
      </x:c>
      <x:c r="H12" s="19" t="str"/>
    </x:row>
    <x:row r="13" ht="40" customHeight="1">
      <x:c r="A13" s="643" t="str">
        <x:v>CHK-34B-08</x:v>
      </x:c>
      <x:c r="B13" s="643" t="str">
        <x:v>LINEUP</x:v>
      </x:c>
      <x:c r="C13" s="643" t="str">
        <x:v>Standard发布存在</x:v>
      </x:c>
      <x:c r="D13" s="643" t="n">
        <x:v>0.35</x:v>
      </x:c>
      <x:c r="E13" s="643" t="n">
        <x:f>'130_联合算法'!C17+'130_联合算法'!C18+'130_联合算法'!C20</x:f>
        <x:v>0.35</x:v>
      </x:c>
      <x:c r="F13" s="643" t="str">
        <x:f>IF(ABS(E13-D13)&lt;0.0001,"PASS","FAIL")</x:f>
        <x:v>PASS</x:v>
      </x:c>
      <x:c r="G13" s="643" t="str">
        <x:v>ERROR</x:v>
      </x:c>
      <x:c r="H13" s="643" t="str"/>
    </x:row>
    <x:row r="14" ht="40" customHeight="1">
      <x:c r="A14" s="19" t="str">
        <x:v>CHK-34B-09</x:v>
      </x:c>
      <x:c r="B14" s="19" t="str">
        <x:v>LINEUP</x:v>
      </x:c>
      <x:c r="C14" s="19" t="str">
        <x:v>Pro发布存在</x:v>
      </x:c>
      <x:c r="D14" s="19" t="n">
        <x:v>0.15</x:v>
      </x:c>
      <x:c r="E14" s="19" t="n">
        <x:f>'130_联合算法'!C19+'130_联合算法'!C20</x:f>
        <x:v>0.15000000000000002</x:v>
      </x:c>
      <x:c r="F14" s="19" t="str">
        <x:f>IF(ABS(E14-D14)&lt;0.0001,"PASS","FAIL")</x:f>
        <x:v>PASS</x:v>
      </x:c>
      <x:c r="G14" s="19" t="str">
        <x:v>ERROR</x:v>
      </x:c>
      <x:c r="H14" s="19" t="str"/>
    </x:row>
    <x:row r="15" ht="40" customHeight="1">
      <x:c r="A15" s="643" t="str">
        <x:v>CHK-34B-10</x:v>
      </x:c>
      <x:c r="B15" s="643" t="str">
        <x:v>JOINT</x:v>
      </x:c>
      <x:c r="C15" s="643" t="str">
        <x:v>30叶联合权重</x:v>
      </x:c>
      <x:c r="D15" s="643" t="n">
        <x:v>1</x:v>
      </x:c>
      <x:c r="E15" s="643" t="n">
        <x:f>SUM('132_N90联合叶节点'!G6:G35)</x:f>
        <x:v>0.9999999999999999</x:v>
      </x:c>
      <x:c r="F15" s="643" t="str">
        <x:f>IF(ABS(E15-D15)&lt;0.0001,"PASS","FAIL")</x:f>
        <x:v>PASS</x:v>
      </x:c>
      <x:c r="G15" s="643" t="str">
        <x:v>ERROR</x:v>
      </x:c>
      <x:c r="H15" s="643" t="str"/>
    </x:row>
    <x:row r="16" ht="40" customHeight="1">
      <x:c r="A16" s="19" t="str">
        <x:v>CHK-34B-11</x:v>
      </x:c>
      <x:c r="B16" s="19" t="str">
        <x:v>JOINT</x:v>
      </x:c>
      <x:c r="C16" s="19" t="str">
        <x:v>叶L0权重</x:v>
      </x:c>
      <x:c r="D16" s="19" t="n">
        <x:v>0.6</x:v>
      </x:c>
      <x:c r="E16" s="19" t="n">
        <x:f>SUM('132_N90联合叶节点'!G6:G11)</x:f>
        <x:v>0.6</x:v>
      </x:c>
      <x:c r="F16" s="19" t="str">
        <x:f>IF(ABS(E16-D16)&lt;0.0001,"PASS","FAIL")</x:f>
        <x:v>PASS</x:v>
      </x:c>
      <x:c r="G16" s="19" t="str">
        <x:v>ERROR</x:v>
      </x:c>
      <x:c r="H16" s="19" t="str"/>
    </x:row>
    <x:row r="17" ht="40" customHeight="1">
      <x:c r="A17" s="643" t="str">
        <x:v>CHK-34B-12</x:v>
      </x:c>
      <x:c r="B17" s="643" t="str">
        <x:v>JOINT</x:v>
      </x:c>
      <x:c r="C17" s="643" t="str">
        <x:v>叶L1A权重</x:v>
      </x:c>
      <x:c r="D17" s="643" t="n">
        <x:v>0.15</x:v>
      </x:c>
      <x:c r="E17" s="643" t="n">
        <x:f>SUM('132_N90联合叶节点'!G12:G17)</x:f>
        <x:v>0.15</x:v>
      </x:c>
      <x:c r="F17" s="643" t="str">
        <x:f>IF(ABS(E17-D17)&lt;0.0001,"PASS","FAIL")</x:f>
        <x:v>PASS</x:v>
      </x:c>
      <x:c r="G17" s="643" t="str">
        <x:v>ERROR</x:v>
      </x:c>
      <x:c r="H17" s="643" t="str"/>
    </x:row>
    <x:row r="18" ht="40" customHeight="1">
      <x:c r="A18" s="19" t="str">
        <x:v>CHK-34B-13</x:v>
      </x:c>
      <x:c r="B18" s="19" t="str">
        <x:v>JOINT</x:v>
      </x:c>
      <x:c r="C18" s="19" t="str">
        <x:v>叶L1B权重</x:v>
      </x:c>
      <x:c r="D18" s="19" t="n">
        <x:v>0.1</x:v>
      </x:c>
      <x:c r="E18" s="19" t="n">
        <x:f>SUM('132_N90联合叶节点'!G18:G23)</x:f>
        <x:v>0.1</x:v>
      </x:c>
      <x:c r="F18" s="19" t="str">
        <x:f>IF(ABS(E18-D18)&lt;0.0001,"PASS","FAIL")</x:f>
        <x:v>PASS</x:v>
      </x:c>
      <x:c r="G18" s="19" t="str">
        <x:v>ERROR</x:v>
      </x:c>
      <x:c r="H18" s="19" t="str"/>
    </x:row>
    <x:row r="19" ht="40" customHeight="1">
      <x:c r="A19" s="643" t="str">
        <x:v>CHK-34B-14</x:v>
      </x:c>
      <x:c r="B19" s="643" t="str">
        <x:v>JOINT</x:v>
      </x:c>
      <x:c r="C19" s="643" t="str">
        <x:v>叶L2权重</x:v>
      </x:c>
      <x:c r="D19" s="643" t="n">
        <x:v>0.05</x:v>
      </x:c>
      <x:c r="E19" s="643" t="n">
        <x:f>SUM('132_N90联合叶节点'!G24:G29)</x:f>
        <x:v>0.05</x:v>
      </x:c>
      <x:c r="F19" s="643" t="str">
        <x:f>IF(ABS(E19-D19)&lt;0.0001,"PASS","FAIL")</x:f>
        <x:v>PASS</x:v>
      </x:c>
      <x:c r="G19" s="643" t="str">
        <x:v>ERROR</x:v>
      </x:c>
      <x:c r="H19" s="643" t="str"/>
    </x:row>
    <x:row r="20" ht="40" customHeight="1">
      <x:c r="A20" s="19" t="str">
        <x:v>CHK-34B-15</x:v>
      </x:c>
      <x:c r="B20" s="19" t="str">
        <x:v>JOINT</x:v>
      </x:c>
      <x:c r="C20" s="19" t="str">
        <x:v>叶L3权重</x:v>
      </x:c>
      <x:c r="D20" s="19" t="n">
        <x:v>0.1</x:v>
      </x:c>
      <x:c r="E20" s="19" t="n">
        <x:f>SUM('132_N90联合叶节点'!G30:G35)</x:f>
        <x:v>0.1</x:v>
      </x:c>
      <x:c r="F20" s="19" t="str">
        <x:f>IF(ABS(E20-D20)&lt;0.0001,"PASS","FAIL")</x:f>
        <x:v>PASS</x:v>
      </x:c>
      <x:c r="G20" s="19" t="str">
        <x:v>ERROR</x:v>
      </x:c>
      <x:c r="H20" s="19" t="str"/>
    </x:row>
    <x:row r="21" ht="40" customHeight="1">
      <x:c r="A21" s="643" t="str">
        <x:v>CHK-34B-16</x:v>
      </x:c>
      <x:c r="B21" s="643" t="str">
        <x:v>N70_PRICE</x:v>
      </x:c>
      <x:c r="C21" s="643" t="str">
        <x:v>N70 Max众数</x:v>
      </x:c>
      <x:c r="D21" s="643" t="n">
        <x:v>249900</x:v>
      </x:c>
      <x:c r="E21" s="643" t="n">
        <x:f>'131_N70最终分布'!C16</x:f>
        <x:v>249900</x:v>
      </x:c>
      <x:c r="F21" s="643" t="str">
        <x:f>IF(ABS(E21-D21)&lt;0.0001,"PASS","FAIL")</x:f>
        <x:v>PASS</x:v>
      </x:c>
      <x:c r="G21" s="643" t="str">
        <x:v>ERROR</x:v>
      </x:c>
      <x:c r="H21" s="643" t="str"/>
    </x:row>
    <x:row r="22" ht="40" customHeight="1">
      <x:c r="A22" s="19" t="str">
        <x:v>CHK-34B-17</x:v>
      </x:c>
      <x:c r="B22" s="19" t="str">
        <x:v>N70_PRICE</x:v>
      </x:c>
      <x:c r="C22" s="19" t="str">
        <x:v>N70 Max期望价</x:v>
      </x:c>
      <x:c r="D22" s="19" t="n">
        <x:v>243605</x:v>
      </x:c>
      <x:c r="E22" s="19" t="n">
        <x:f>'131_N70最终分布'!D16</x:f>
        <x:v>243605.00000000003</x:v>
      </x:c>
      <x:c r="F22" s="19" t="str">
        <x:f>IF(ABS(E22-D22)&lt;0.0001,"PASS","FAIL")</x:f>
        <x:v>PASS</x:v>
      </x:c>
      <x:c r="G22" s="19" t="str">
        <x:v>ERROR</x:v>
      </x:c>
      <x:c r="H22" s="19" t="str"/>
    </x:row>
    <x:row r="23" ht="40" customHeight="1">
      <x:c r="A23" s="643" t="str">
        <x:v>CHK-34B-18</x:v>
      </x:c>
      <x:c r="B23" s="643" t="str">
        <x:v>N70_PRICE</x:v>
      </x:c>
      <x:c r="C23" s="643" t="str">
        <x:v>N70 Max≤23.99</x:v>
      </x:c>
      <x:c r="D23" s="643" t="n">
        <x:v>0.478</x:v>
      </x:c>
      <x:c r="E23" s="643" t="n">
        <x:f>'131_N70最终分布'!B21</x:f>
        <x:v>0.478</x:v>
      </x:c>
      <x:c r="F23" s="643" t="str">
        <x:f>IF(ABS(E23-D23)&lt;0.0001,"PASS","FAIL")</x:f>
        <x:v>PASS</x:v>
      </x:c>
      <x:c r="G23" s="643" t="str">
        <x:v>ERROR</x:v>
      </x:c>
      <x:c r="H23" s="643" t="str"/>
    </x:row>
    <x:row r="24" ht="40" customHeight="1">
      <x:c r="A24" s="19" t="str">
        <x:v>CHK-34B-19</x:v>
      </x:c>
      <x:c r="B24" s="19" t="str">
        <x:v>N70_PRICE</x:v>
      </x:c>
      <x:c r="C24" s="19" t="str">
        <x:v>N70 Max≤22.99</x:v>
      </x:c>
      <x:c r="D24" s="19" t="n">
        <x:v>0.169</x:v>
      </x:c>
      <x:c r="E24" s="19" t="n">
        <x:f>'131_N70最终分布'!B22</x:f>
        <x:v>0.16899999999999998</x:v>
      </x:c>
      <x:c r="F24" s="19" t="str">
        <x:f>IF(ABS(E24-D24)&lt;0.0001,"PASS","FAIL")</x:f>
        <x:v>PASS</x:v>
      </x:c>
      <x:c r="G24" s="19" t="str">
        <x:v>ERROR</x:v>
      </x:c>
      <x:c r="H24" s="19" t="str"/>
    </x:row>
    <x:row r="25" ht="40" customHeight="1">
      <x:c r="A25" s="643" t="str">
        <x:v>CHK-34B-20</x:v>
      </x:c>
      <x:c r="B25" s="643" t="str">
        <x:v>N70_PRICE</x:v>
      </x:c>
      <x:c r="C25" s="643" t="str">
        <x:v>N70减4万中心桥众数</x:v>
      </x:c>
      <x:c r="D25" s="643" t="n">
        <x:v>209900</x:v>
      </x:c>
      <x:c r="E25" s="643" t="n">
        <x:f>'131_N70最终分布'!C17</x:f>
        <x:v>209900</x:v>
      </x:c>
      <x:c r="F25" s="643" t="str">
        <x:f>IF(ABS(E25-D25)&lt;0.0001,"PASS","FAIL")</x:f>
        <x:v>PASS</x:v>
      </x:c>
      <x:c r="G25" s="643" t="str">
        <x:v>ERROR</x:v>
      </x:c>
      <x:c r="H25" s="643" t="str"/>
    </x:row>
    <x:row r="26" ht="40" customHeight="1">
      <x:c r="A26" s="19" t="str">
        <x:v>CHK-34B-21</x:v>
      </x:c>
      <x:c r="B26" s="19" t="str">
        <x:v>N70_PRICE</x:v>
      </x:c>
      <x:c r="C26" s="19" t="str">
        <x:v>N70减4万中心桥期望</x:v>
      </x:c>
      <x:c r="D26" s="19" t="n">
        <x:v>203605</x:v>
      </x:c>
      <x:c r="E26" s="19" t="n">
        <x:f>'131_N70最终分布'!D17</x:f>
        <x:v>203605.00000000003</x:v>
      </x:c>
      <x:c r="F26" s="19" t="str">
        <x:f>IF(ABS(E26-D26)&lt;0.0001,"PASS","FAIL")</x:f>
        <x:v>PASS</x:v>
      </x:c>
      <x:c r="G26" s="19" t="str">
        <x:v>ERROR</x:v>
      </x:c>
      <x:c r="H26" s="19" t="str"/>
    </x:row>
    <x:row r="27" ht="40" customHeight="1">
      <x:c r="A27" s="643" t="str">
        <x:v>CHK-34B-22</x:v>
      </x:c>
      <x:c r="B27" s="643" t="str">
        <x:v>N90_MAX</x:v>
      </x:c>
      <x:c r="C27" s="643" t="str">
        <x:v>N90 Max边际权重合计</x:v>
      </x:c>
      <x:c r="D27" s="643" t="n">
        <x:v>1</x:v>
      </x:c>
      <x:c r="E27" s="643" t="n">
        <x:f>'133_N90价格边际'!B16</x:f>
        <x:v>0.9999999999999999</x:v>
      </x:c>
      <x:c r="F27" s="643" t="str">
        <x:f>IF(ABS(E27-D27)&lt;0.0001,"PASS","FAIL")</x:f>
        <x:v>PASS</x:v>
      </x:c>
      <x:c r="G27" s="643" t="str">
        <x:v>ERROR</x:v>
      </x:c>
      <x:c r="H27" s="643" t="str"/>
    </x:row>
    <x:row r="28" ht="40" customHeight="1">
      <x:c r="A28" s="19" t="str">
        <x:v>CHK-34B-23</x:v>
      </x:c>
      <x:c r="B28" s="19" t="str">
        <x:v>N90_MAX</x:v>
      </x:c>
      <x:c r="C28" s="19" t="str">
        <x:v>N90 Max 25.99权重</x:v>
      </x:c>
      <x:c r="D28" s="19" t="n">
        <x:v>0.0423</x:v>
      </x:c>
      <x:c r="E28" s="19" t="n">
        <x:f>'133_N90价格边际'!B6</x:f>
        <x:v>0.0423</x:v>
      </x:c>
      <x:c r="F28" s="19" t="str">
        <x:f>IF(ABS(E28-D28)&lt;0.0001,"PASS","FAIL")</x:f>
        <x:v>PASS</x:v>
      </x:c>
      <x:c r="G28" s="19" t="str">
        <x:v>ERROR</x:v>
      </x:c>
      <x:c r="H28" s="19" t="str"/>
    </x:row>
    <x:row r="29" ht="40" customHeight="1">
      <x:c r="A29" s="643" t="str">
        <x:v>CHK-34B-24</x:v>
      </x:c>
      <x:c r="B29" s="643" t="str">
        <x:v>N90_MAX</x:v>
      </x:c>
      <x:c r="C29" s="643" t="str">
        <x:v>N90 Max 26.99权重</x:v>
      </x:c>
      <x:c r="D29" s="643" t="n">
        <x:v>0.13755</x:v>
      </x:c>
      <x:c r="E29" s="643" t="n">
        <x:f>'133_N90价格边际'!B7</x:f>
        <x:v>0.13755</x:v>
      </x:c>
      <x:c r="F29" s="643" t="str">
        <x:f>IF(ABS(E29-D29)&lt;0.0001,"PASS","FAIL")</x:f>
        <x:v>PASS</x:v>
      </x:c>
      <x:c r="G29" s="643" t="str">
        <x:v>ERROR</x:v>
      </x:c>
      <x:c r="H29" s="643" t="str"/>
    </x:row>
    <x:row r="30" ht="40" customHeight="1">
      <x:c r="A30" s="19" t="str">
        <x:v>CHK-34B-25</x:v>
      </x:c>
      <x:c r="B30" s="19" t="str">
        <x:v>N90_MAX</x:v>
      </x:c>
      <x:c r="C30" s="19" t="str">
        <x:v>N90 Max 27.99权重</x:v>
      </x:c>
      <x:c r="D30" s="19" t="n">
        <x:v>0.2838</x:v>
      </x:c>
      <x:c r="E30" s="19" t="n">
        <x:f>'133_N90价格边际'!B8</x:f>
        <x:v>0.28379999999999994</x:v>
      </x:c>
      <x:c r="F30" s="19" t="str">
        <x:f>IF(ABS(E30-D30)&lt;0.0001,"PASS","FAIL")</x:f>
        <x:v>PASS</x:v>
      </x:c>
      <x:c r="G30" s="19" t="str">
        <x:v>ERROR</x:v>
      </x:c>
      <x:c r="H30" s="19" t="str"/>
    </x:row>
    <x:row r="31" ht="40" customHeight="1">
      <x:c r="A31" s="643" t="str">
        <x:v>CHK-34B-26</x:v>
      </x:c>
      <x:c r="B31" s="643" t="str">
        <x:v>N90_MAX</x:v>
      </x:c>
      <x:c r="C31" s="643" t="str">
        <x:v>N90 Max 28.99权重</x:v>
      </x:c>
      <x:c r="D31" s="643" t="n">
        <x:v>0.28285</x:v>
      </x:c>
      <x:c r="E31" s="643" t="n">
        <x:f>'133_N90价格边际'!B9</x:f>
        <x:v>0.28285000000000005</x:v>
      </x:c>
      <x:c r="F31" s="643" t="str">
        <x:f>IF(ABS(E31-D31)&lt;0.0001,"PASS","FAIL")</x:f>
        <x:v>PASS</x:v>
      </x:c>
      <x:c r="G31" s="643" t="str">
        <x:v>ERROR</x:v>
      </x:c>
      <x:c r="H31" s="643" t="str"/>
    </x:row>
    <x:row r="32" ht="40" customHeight="1">
      <x:c r="A32" s="19" t="str">
        <x:v>CHK-34B-27</x:v>
      </x:c>
      <x:c r="B32" s="19" t="str">
        <x:v>N90_MAX</x:v>
      </x:c>
      <x:c r="C32" s="19" t="str">
        <x:v>N90 Max 29.39权重</x:v>
      </x:c>
      <x:c r="D32" s="19" t="n">
        <x:v>0.0225</x:v>
      </x:c>
      <x:c r="E32" s="19" t="n">
        <x:f>'133_N90价格边际'!B10</x:f>
        <x:v>0.0225</x:v>
      </x:c>
      <x:c r="F32" s="19" t="str">
        <x:f>IF(ABS(E32-D32)&lt;0.0001,"PASS","FAIL")</x:f>
        <x:v>PASS</x:v>
      </x:c>
      <x:c r="G32" s="19" t="str">
        <x:v>ERROR</x:v>
      </x:c>
      <x:c r="H32" s="19" t="str"/>
    </x:row>
    <x:row r="33" ht="40" customHeight="1">
      <x:c r="A33" s="643" t="str">
        <x:v>CHK-34B-28</x:v>
      </x:c>
      <x:c r="B33" s="643" t="str">
        <x:v>N90_MAX</x:v>
      </x:c>
      <x:c r="C33" s="643" t="str">
        <x:v>N90 Max 29.99权重</x:v>
      </x:c>
      <x:c r="D33" s="643" t="n">
        <x:v>0.231</x:v>
      </x:c>
      <x:c r="E33" s="643" t="n">
        <x:f>'133_N90价格边际'!B11</x:f>
        <x:v>0.231</x:v>
      </x:c>
      <x:c r="F33" s="643" t="str">
        <x:f>IF(ABS(E33-D33)&lt;0.0001,"PASS","FAIL")</x:f>
        <x:v>PASS</x:v>
      </x:c>
      <x:c r="G33" s="643" t="str">
        <x:v>ERROR</x:v>
      </x:c>
      <x:c r="H33" s="643" t="str"/>
    </x:row>
    <x:row r="34" ht="40" customHeight="1">
      <x:c r="A34" s="19" t="str">
        <x:v>CHK-34B-29</x:v>
      </x:c>
      <x:c r="B34" s="19" t="str">
        <x:v>N90_MAX</x:v>
      </x:c>
      <x:c r="C34" s="19" t="str">
        <x:v>N90 Max期望价</x:v>
      </x:c>
      <x:c r="D34" s="19" t="n">
        <x:v>285442</x:v>
      </x:c>
      <x:c r="E34" s="19" t="n">
        <x:f>'133_N90价格边际'!E16</x:f>
        <x:v>285442</x:v>
      </x:c>
      <x:c r="F34" s="19" t="str">
        <x:f>IF(ABS(E34-D34)&lt;0.0001,"PASS","FAIL")</x:f>
        <x:v>PASS</x:v>
      </x:c>
      <x:c r="G34" s="19" t="str">
        <x:v>ERROR</x:v>
      </x:c>
      <x:c r="H34" s="19" t="str"/>
    </x:row>
    <x:row r="35" ht="40" customHeight="1">
      <x:c r="A35" s="643" t="str">
        <x:v>CHK-34B-30</x:v>
      </x:c>
      <x:c r="B35" s="643" t="str">
        <x:v>N90_MAX</x:v>
      </x:c>
      <x:c r="C35" s="643" t="str">
        <x:v>N90 Max≤26.99</x:v>
      </x:c>
      <x:c r="D35" s="643" t="n">
        <x:v>0.17985</x:v>
      </x:c>
      <x:c r="E35" s="643" t="n">
        <x:f>'133_N90价格边际'!F16</x:f>
        <x:v>0.17985</x:v>
      </x:c>
      <x:c r="F35" s="643" t="str">
        <x:f>IF(ABS(E35-D35)&lt;0.0001,"PASS","FAIL")</x:f>
        <x:v>PASS</x:v>
      </x:c>
      <x:c r="G35" s="643" t="str">
        <x:v>ERROR</x:v>
      </x:c>
      <x:c r="H35" s="643" t="str"/>
    </x:row>
    <x:row r="36" ht="40" customHeight="1">
      <x:c r="A36" s="19" t="str">
        <x:v>CHK-34B-31</x:v>
      </x:c>
      <x:c r="B36" s="19" t="str">
        <x:v>N90_MAX</x:v>
      </x:c>
      <x:c r="C36" s="19" t="str">
        <x:v>N90 Max≤27.99</x:v>
      </x:c>
      <x:c r="D36" s="19" t="n">
        <x:v>0.46365</x:v>
      </x:c>
      <x:c r="E36" s="19" t="n">
        <x:f>SUM('133_N90价格边际'!B6:B8)</x:f>
        <x:v>0.46364999999999995</x:v>
      </x:c>
      <x:c r="F36" s="19" t="str">
        <x:f>IF(ABS(E36-D36)&lt;0.0001,"PASS","FAIL")</x:f>
        <x:v>PASS</x:v>
      </x:c>
      <x:c r="G36" s="19" t="str">
        <x:v>ERROR</x:v>
      </x:c>
      <x:c r="H36" s="19" t="str"/>
    </x:row>
    <x:row r="37" ht="40" customHeight="1">
      <x:c r="A37" s="643" t="str">
        <x:v>CHK-34B-32</x:v>
      </x:c>
      <x:c r="B37" s="643" t="str">
        <x:v>N90_MAX</x:v>
      </x:c>
      <x:c r="C37" s="643" t="str">
        <x:v>N90 Max 80%区间实际覆盖</x:v>
      </x:c>
      <x:c r="D37" s="643" t="n">
        <x:v>0.82015</x:v>
      </x:c>
      <x:c r="E37" s="643" t="n">
        <x:f>'133_N90价格边际'!H16</x:f>
        <x:v>0.8201499999999999</x:v>
      </x:c>
      <x:c r="F37" s="643" t="str">
        <x:f>IF(ABS(E37-D37)&lt;0.0001,"PASS","FAIL")</x:f>
        <x:v>PASS</x:v>
      </x:c>
      <x:c r="G37" s="643" t="str">
        <x:v>ERROR</x:v>
      </x:c>
      <x:c r="H37" s="643" t="str"/>
    </x:row>
    <x:row r="38" ht="40" customHeight="1">
      <x:c r="A38" s="19" t="str">
        <x:v>CHK-34B-33</x:v>
      </x:c>
      <x:c r="B38" s="19" t="str">
        <x:v>N90_STD</x:v>
      </x:c>
      <x:c r="C38" s="19" t="str">
        <x:v>Standard条件权重合计</x:v>
      </x:c>
      <x:c r="D38" s="19" t="n">
        <x:v>1</x:v>
      </x:c>
      <x:c r="E38" s="19" t="n">
        <x:f>'133_N90价格边际'!B17</x:f>
        <x:v>1</x:v>
      </x:c>
      <x:c r="F38" s="19" t="str">
        <x:f>IF(ABS(E38-D38)&lt;0.0001,"PASS","FAIL")</x:f>
        <x:v>PASS</x:v>
      </x:c>
      <x:c r="G38" s="19" t="str">
        <x:v>ERROR</x:v>
      </x:c>
      <x:c r="H38" s="19" t="str"/>
    </x:row>
    <x:row r="39" ht="40" customHeight="1">
      <x:c r="A39" s="643" t="str">
        <x:v>CHK-34B-34</x:v>
      </x:c>
      <x:c r="B39" s="643" t="str">
        <x:v>N90_STD</x:v>
      </x:c>
      <x:c r="C39" s="643" t="str">
        <x:v>Standard 23.99条件权重</x:v>
      </x:c>
      <x:c r="D39" s="643" t="n">
        <x:v>0.0402857142857143</x:v>
      </x:c>
      <x:c r="E39" s="643" t="n">
        <x:f>'133_N90价格边际'!H6</x:f>
        <x:v>0.040285714285714286</x:v>
      </x:c>
      <x:c r="F39" s="643" t="str">
        <x:f>IF(ABS(E39-D39)&lt;0.0001,"PASS","FAIL")</x:f>
        <x:v>PASS</x:v>
      </x:c>
      <x:c r="G39" s="643" t="str">
        <x:v>ERROR</x:v>
      </x:c>
      <x:c r="H39" s="643" t="str"/>
    </x:row>
    <x:row r="40" ht="40" customHeight="1">
      <x:c r="A40" s="19" t="str">
        <x:v>CHK-34B-35</x:v>
      </x:c>
      <x:c r="B40" s="19" t="str">
        <x:v>N90_STD</x:v>
      </x:c>
      <x:c r="C40" s="19" t="str">
        <x:v>Standard 24.99条件权重</x:v>
      </x:c>
      <x:c r="D40" s="19" t="n">
        <x:v>0.1545</x:v>
      </x:c>
      <x:c r="E40" s="19" t="n">
        <x:f>'133_N90价格边际'!H7</x:f>
        <x:v>0.1545</x:v>
      </x:c>
      <x:c r="F40" s="19" t="str">
        <x:f>IF(ABS(E40-D40)&lt;0.0001,"PASS","FAIL")</x:f>
        <x:v>PASS</x:v>
      </x:c>
      <x:c r="G40" s="19" t="str">
        <x:v>ERROR</x:v>
      </x:c>
      <x:c r="H40" s="19" t="str"/>
    </x:row>
    <x:row r="41" ht="40" customHeight="1">
      <x:c r="A41" s="643" t="str">
        <x:v>CHK-34B-36</x:v>
      </x:c>
      <x:c r="B41" s="643" t="str">
        <x:v>N90_STD</x:v>
      </x:c>
      <x:c r="C41" s="643" t="str">
        <x:v>Standard 25.99条件权重</x:v>
      </x:c>
      <x:c r="D41" s="643" t="n">
        <x:v>0.5000714285714286</x:v>
      </x:c>
      <x:c r="E41" s="643" t="n">
        <x:f>'133_N90价格边际'!H8</x:f>
        <x:v>0.5000714285714286</x:v>
      </x:c>
      <x:c r="F41" s="643" t="str">
        <x:f>IF(ABS(E41-D41)&lt;0.0001,"PASS","FAIL")</x:f>
        <x:v>PASS</x:v>
      </x:c>
      <x:c r="G41" s="643" t="str">
        <x:v>ERROR</x:v>
      </x:c>
      <x:c r="H41" s="643" t="str"/>
    </x:row>
    <x:row r="42" ht="40" customHeight="1">
      <x:c r="A42" s="19" t="str">
        <x:v>CHK-34B-37</x:v>
      </x:c>
      <x:c r="B42" s="19" t="str">
        <x:v>N90_STD</x:v>
      </x:c>
      <x:c r="C42" s="19" t="str">
        <x:v>Standard 26.99条件权重</x:v>
      </x:c>
      <x:c r="D42" s="19" t="n">
        <x:v>0.3051428571428572</x:v>
      </x:c>
      <x:c r="E42" s="19" t="n">
        <x:f>'133_N90价格边际'!H9</x:f>
        <x:v>0.30514285714285716</x:v>
      </x:c>
      <x:c r="F42" s="19" t="str">
        <x:f>IF(ABS(E42-D42)&lt;0.0001,"PASS","FAIL")</x:f>
        <x:v>PASS</x:v>
      </x:c>
      <x:c r="G42" s="19" t="str">
        <x:v>ERROR</x:v>
      </x:c>
      <x:c r="H42" s="19" t="str"/>
    </x:row>
    <x:row r="43" ht="40" customHeight="1">
      <x:c r="A43" s="643" t="str">
        <x:v>CHK-34B-38</x:v>
      </x:c>
      <x:c r="B43" s="643" t="str">
        <x:v>N90_STD</x:v>
      </x:c>
      <x:c r="C43" s="643" t="str">
        <x:v>Standard条件期望价</x:v>
      </x:c>
      <x:c r="D43" s="643" t="n">
        <x:v>260600.7142857143</x:v>
      </x:c>
      <x:c r="E43" s="643" t="n">
        <x:f>'133_N90价格边际'!E17</x:f>
        <x:v>260600.7142857143</x:v>
      </x:c>
      <x:c r="F43" s="643" t="str">
        <x:f>IF(ABS(E43-D43)&lt;0.0001,"PASS","FAIL")</x:f>
        <x:v>PASS</x:v>
      </x:c>
      <x:c r="G43" s="643" t="str">
        <x:v>ERROR</x:v>
      </x:c>
      <x:c r="H43" s="643" t="str"/>
    </x:row>
    <x:row r="44" ht="40" customHeight="1">
      <x:c r="A44" s="19" t="str">
        <x:v>CHK-34B-39</x:v>
      </x:c>
      <x:c r="B44" s="19" t="str">
        <x:v>N90_STD</x:v>
      </x:c>
      <x:c r="C44" s="19" t="str">
        <x:v>Standard≤24.99条件权重</x:v>
      </x:c>
      <x:c r="D44" s="19" t="n">
        <x:v>0.1947857142857143</x:v>
      </x:c>
      <x:c r="E44" s="19" t="n">
        <x:f>'133_N90价格边际'!F17</x:f>
        <x:v>0.19478571428571428</x:v>
      </x:c>
      <x:c r="F44" s="19" t="str">
        <x:f>IF(ABS(E44-D44)&lt;0.0001,"PASS","FAIL")</x:f>
        <x:v>PASS</x:v>
      </x:c>
      <x:c r="G44" s="19" t="str">
        <x:v>ERROR</x:v>
      </x:c>
      <x:c r="H44" s="19" t="str"/>
    </x:row>
    <x:row r="45" ht="40" customHeight="1">
      <x:c r="A45" s="643" t="str">
        <x:v>CHK-34B-40</x:v>
      </x:c>
      <x:c r="B45" s="643" t="str">
        <x:v>N90_PRO</x:v>
      </x:c>
      <x:c r="C45" s="643" t="str">
        <x:v>Pro条件权重合计</x:v>
      </x:c>
      <x:c r="D45" s="643" t="n">
        <x:v>1</x:v>
      </x:c>
      <x:c r="E45" s="643" t="n">
        <x:f>'133_N90价格边际'!B18</x:f>
        <x:v>1</x:v>
      </x:c>
      <x:c r="F45" s="643" t="str">
        <x:f>IF(ABS(E45-D45)&lt;0.0001,"PASS","FAIL")</x:f>
        <x:v>PASS</x:v>
      </x:c>
      <x:c r="G45" s="643" t="str">
        <x:v>ERROR</x:v>
      </x:c>
      <x:c r="H45" s="643" t="str"/>
    </x:row>
    <x:row r="46" ht="40" customHeight="1">
      <x:c r="A46" s="19" t="str">
        <x:v>CHK-34B-41</x:v>
      </x:c>
      <x:c r="B46" s="19" t="str">
        <x:v>N90_PRO</x:v>
      </x:c>
      <x:c r="C46" s="19" t="str">
        <x:v>Pro 25.99条件权重</x:v>
      </x:c>
      <x:c r="D46" s="19" t="n">
        <x:v>0.0705</x:v>
      </x:c>
      <x:c r="E46" s="19" t="n">
        <x:f>'133_N90价格边际'!L6</x:f>
        <x:v>0.0705</x:v>
      </x:c>
      <x:c r="F46" s="19" t="str">
        <x:f>IF(ABS(E46-D46)&lt;0.0001,"PASS","FAIL")</x:f>
        <x:v>PASS</x:v>
      </x:c>
      <x:c r="G46" s="19" t="str">
        <x:v>ERROR</x:v>
      </x:c>
      <x:c r="H46" s="19" t="str"/>
    </x:row>
    <x:row r="47" ht="40" customHeight="1">
      <x:c r="A47" s="643" t="str">
        <x:v>CHK-34B-42</x:v>
      </x:c>
      <x:c r="B47" s="643" t="str">
        <x:v>N90_PRO</x:v>
      </x:c>
      <x:c r="C47" s="643" t="str">
        <x:v>Pro 26.99条件权重</x:v>
      </x:c>
      <x:c r="D47" s="643" t="n">
        <x:v>0.2175</x:v>
      </x:c>
      <x:c r="E47" s="643" t="n">
        <x:f>'133_N90价格边际'!L7</x:f>
        <x:v>0.21750000000000003</x:v>
      </x:c>
      <x:c r="F47" s="643" t="str">
        <x:f>IF(ABS(E47-D47)&lt;0.0001,"PASS","FAIL")</x:f>
        <x:v>PASS</x:v>
      </x:c>
      <x:c r="G47" s="643" t="str">
        <x:v>ERROR</x:v>
      </x:c>
      <x:c r="H47" s="643" t="str"/>
    </x:row>
    <x:row r="48" ht="40" customHeight="1">
      <x:c r="A48" s="19" t="str">
        <x:v>CHK-34B-43</x:v>
      </x:c>
      <x:c r="B48" s="19" t="str">
        <x:v>N90_PRO</x:v>
      </x:c>
      <x:c r="C48" s="19" t="str">
        <x:v>Pro 27.99条件权重</x:v>
      </x:c>
      <x:c r="D48" s="19" t="n">
        <x:v>0.712</x:v>
      </x:c>
      <x:c r="E48" s="19" t="n">
        <x:f>'133_N90价格边际'!L8</x:f>
        <x:v>0.7120000000000001</x:v>
      </x:c>
      <x:c r="F48" s="19" t="str">
        <x:f>IF(ABS(E48-D48)&lt;0.0001,"PASS","FAIL")</x:f>
        <x:v>PASS</x:v>
      </x:c>
      <x:c r="G48" s="19" t="str">
        <x:v>ERROR</x:v>
      </x:c>
      <x:c r="H48" s="19" t="str"/>
    </x:row>
    <x:row r="49" ht="40" customHeight="1">
      <x:c r="A49" s="643" t="str">
        <x:v>CHK-34B-44</x:v>
      </x:c>
      <x:c r="B49" s="643" t="str">
        <x:v>N90_PRO</x:v>
      </x:c>
      <x:c r="C49" s="643" t="str">
        <x:v>Pro条件期望价</x:v>
      </x:c>
      <x:c r="D49" s="643" t="n">
        <x:v>276315</x:v>
      </x:c>
      <x:c r="E49" s="643" t="n">
        <x:f>'133_N90价格边际'!E18</x:f>
        <x:v>276315</x:v>
      </x:c>
      <x:c r="F49" s="643" t="str">
        <x:f>IF(ABS(E49-D49)&lt;0.0001,"PASS","FAIL")</x:f>
        <x:v>PASS</x:v>
      </x:c>
      <x:c r="G49" s="643" t="str">
        <x:v>ERROR</x:v>
      </x:c>
      <x:c r="H49" s="643" t="str"/>
    </x:row>
    <x:row r="50" ht="40" customHeight="1">
      <x:c r="A50" s="19" t="str">
        <x:v>CHK-34B-45</x:v>
      </x:c>
      <x:c r="B50" s="19" t="str">
        <x:v>FENCE</x:v>
      </x:c>
      <x:c r="C50" s="19" t="str">
        <x:v>软围栏联合诊断权重</x:v>
      </x:c>
      <x:c r="D50" s="19" t="n">
        <x:v>1</x:v>
      </x:c>
      <x:c r="E50" s="19" t="n">
        <x:f>SUM('136_软围栏诊断'!F6:F29)</x:f>
        <x:v>1.0000000000000002</x:v>
      </x:c>
      <x:c r="F50" s="19" t="str">
        <x:f>IF(ABS(E50-D50)&lt;0.0001,"PASS","FAIL")</x:f>
        <x:v>PASS</x:v>
      </x:c>
      <x:c r="G50" s="19" t="str">
        <x:v>ERROR</x:v>
      </x:c>
      <x:c r="H50" s="19" t="str"/>
    </x:row>
    <x:row r="51" ht="40" customHeight="1">
      <x:c r="A51" s="643" t="str">
        <x:v>CHK-34B-46</x:v>
      </x:c>
      <x:c r="B51" s="643" t="str">
        <x:v>FENCE</x:v>
      </x:c>
      <x:c r="C51" s="643" t="str">
        <x:v>Standard≤N70 Max诊断权重</x:v>
      </x:c>
      <x:c r="D51" s="643" t="n">
        <x:v>0.1328791071428571</x:v>
      </x:c>
      <x:c r="E51" s="643" t="n">
        <x:f>'136_软围栏诊断'!B34</x:f>
        <x:v>0.13287910714285717</x:v>
      </x:c>
      <x:c r="F51" s="643" t="str">
        <x:f>IF(ABS(E51-D51)&lt;0.0001,"PASS","FAIL")</x:f>
        <x:v>PASS</x:v>
      </x:c>
      <x:c r="G51" s="643" t="str">
        <x:v>ERROR</x:v>
      </x:c>
      <x:c r="H51" s="643" t="str"/>
    </x:row>
    <x:row r="52" ht="40" customHeight="1">
      <x:c r="A52" s="19" t="str">
        <x:v>CHK-34B-47</x:v>
      </x:c>
      <x:c r="B52" s="19" t="str">
        <x:v>FENCE</x:v>
      </x:c>
      <x:c r="C52" s="19" t="str">
        <x:v>Standard高1—3万绿色区</x:v>
      </x:c>
      <x:c r="D52" s="19" t="n">
        <x:v>0.4884242857142858</x:v>
      </x:c>
      <x:c r="E52" s="19" t="n">
        <x:f>'136_软围栏诊断'!B36</x:f>
        <x:v>0.48842428571428576</x:v>
      </x:c>
      <x:c r="F52" s="19" t="str">
        <x:f>IF(ABS(E52-D52)&lt;0.0001,"PASS","FAIL")</x:f>
        <x:v>PASS</x:v>
      </x:c>
      <x:c r="G52" s="19" t="str">
        <x:v>ERROR</x:v>
      </x:c>
      <x:c r="H52" s="19" t="str"/>
    </x:row>
    <x:row r="53" ht="40" customHeight="1">
      <x:c r="A53" s="643" t="str">
        <x:v>CHK-34B-48</x:v>
      </x:c>
      <x:c r="B53" s="643" t="str">
        <x:v>FENCE</x:v>
      </x:c>
      <x:c r="C53" s="643" t="str">
        <x:v>平均Standard—N70 Max</x:v>
      </x:c>
      <x:c r="D53" s="643" t="n">
        <x:v>16995.7142857143</x:v>
      </x:c>
      <x:c r="E53" s="643" t="n">
        <x:f>'136_软围栏诊断'!B41</x:f>
        <x:v>16995.714285714286</x:v>
      </x:c>
      <x:c r="F53" s="643" t="str">
        <x:f>IF(ABS(E53-D53)&lt;0.0001,"PASS","FAIL")</x:f>
        <x:v>PASS</x:v>
      </x:c>
      <x:c r="G53" s="643" t="str">
        <x:v>ERROR</x:v>
      </x:c>
      <x:c r="H53" s="643" t="str"/>
    </x:row>
    <x:row r="54" ht="40" customHeight="1">
      <x:c r="A54" s="19" t="str">
        <x:v>CHK-34B-49</x:v>
      </x:c>
      <x:c r="B54" s="19" t="str">
        <x:v>COUPLING</x:v>
      </x:c>
      <x:c r="C54" s="19" t="str">
        <x:v>秩耦合联合权重</x:v>
      </x:c>
      <x:c r="D54" s="19" t="n">
        <x:v>1</x:v>
      </x:c>
      <x:c r="E54" s="19" t="n">
        <x:f>'136A_秩耦合主模型'!B6</x:f>
        <x:v>0.9999999999999993</x:v>
      </x:c>
      <x:c r="F54" s="19" t="str">
        <x:f>IF(ABS(E54-D54)&lt;0.0001,"PASS","FAIL")</x:f>
        <x:v>PASS</x:v>
      </x:c>
      <x:c r="G54" s="19" t="str">
        <x:v>ERROR</x:v>
      </x:c>
      <x:c r="H54" s="19" t="str"/>
    </x:row>
    <x:row r="55" ht="40" customHeight="1">
      <x:c r="A55" s="643" t="str">
        <x:v>CHK-34B-50</x:v>
      </x:c>
      <x:c r="B55" s="643" t="str">
        <x:v>COUPLING</x:v>
      </x:c>
      <x:c r="C55" s="643" t="str">
        <x:v>秩耦合Max价差小于3万</x:v>
      </x:c>
      <x:c r="D55" s="643" t="n">
        <x:v>0</x:v>
      </x:c>
      <x:c r="E55" s="643" t="n">
        <x:f>'136A_秩耦合主模型'!B7</x:f>
        <x:v>0</x:v>
      </x:c>
      <x:c r="F55" s="643" t="str">
        <x:f>IF(ABS(E55-D55)&lt;0.0001,"PASS","FAIL")</x:f>
        <x:v>PASS</x:v>
      </x:c>
      <x:c r="G55" s="643" t="str">
        <x:v>ERROR</x:v>
      </x:c>
      <x:c r="H55" s="643" t="str"/>
    </x:row>
    <x:row r="56" ht="40" customHeight="1">
      <x:c r="A56" s="19" t="str">
        <x:v>CHK-34B-51</x:v>
      </x:c>
      <x:c r="B56" s="19" t="str">
        <x:v>COUPLING</x:v>
      </x:c>
      <x:c r="C56" s="19" t="str">
        <x:v>秩耦合Max最小价差</x:v>
      </x:c>
      <x:c r="D56" s="19" t="n">
        <x:v>30000</x:v>
      </x:c>
      <x:c r="E56" s="19" t="n">
        <x:f>'136A_秩耦合主模型'!B8</x:f>
        <x:v>30000</x:v>
      </x:c>
      <x:c r="F56" s="19" t="str">
        <x:f>IF(ABS(E56-D56)&lt;0.0001,"PASS","FAIL")</x:f>
        <x:v>PASS</x:v>
      </x:c>
      <x:c r="G56" s="19" t="str">
        <x:v>ERROR</x:v>
      </x:c>
      <x:c r="H56" s="19" t="str"/>
    </x:row>
    <x:row r="57" ht="40" customHeight="1">
      <x:c r="A57" s="643" t="str">
        <x:v>CHK-34B-52</x:v>
      </x:c>
      <x:c r="B57" s="643" t="str">
        <x:v>COUPLING</x:v>
      </x:c>
      <x:c r="C57" s="643" t="str">
        <x:v>秩耦合Standard存在</x:v>
      </x:c>
      <x:c r="D57" s="643" t="n">
        <x:v>0.35</x:v>
      </x:c>
      <x:c r="E57" s="643" t="n">
        <x:f>'136A_秩耦合主模型'!B10</x:f>
        <x:v>0.34999999999999987</x:v>
      </x:c>
      <x:c r="F57" s="643" t="str">
        <x:f>IF(ABS(E57-D57)&lt;0.0001,"PASS","FAIL")</x:f>
        <x:v>PASS</x:v>
      </x:c>
      <x:c r="G57" s="643" t="str">
        <x:v>ERROR</x:v>
      </x:c>
      <x:c r="H57" s="643" t="str"/>
    </x:row>
    <x:row r="58" ht="40" customHeight="1">
      <x:c r="A58" s="19" t="str">
        <x:v>CHK-34B-53</x:v>
      </x:c>
      <x:c r="B58" s="19" t="str">
        <x:v>COUPLING</x:v>
      </x:c>
      <x:c r="C58" s="19" t="str">
        <x:v>秩耦合Standard倒挂</x:v>
      </x:c>
      <x:c r="D58" s="19" t="n">
        <x:v>0</x:v>
      </x:c>
      <x:c r="E58" s="19" t="n">
        <x:f>'136A_秩耦合主模型'!B11</x:f>
        <x:v>0</x:v>
      </x:c>
      <x:c r="F58" s="19" t="str">
        <x:f>IF(ABS(E58-D58)&lt;0.0001,"PASS","FAIL")</x:f>
        <x:v>PASS</x:v>
      </x:c>
      <x:c r="G58" s="19" t="str">
        <x:v>ERROR</x:v>
      </x:c>
      <x:c r="H58" s="19" t="str"/>
    </x:row>
    <x:row r="59" ht="40" customHeight="1">
      <x:c r="A59" s="643" t="str">
        <x:v>CHK-34B-54</x:v>
      </x:c>
      <x:c r="B59" s="643" t="str">
        <x:v>COUPLING</x:v>
      </x:c>
      <x:c r="C59" s="643" t="str">
        <x:v>秩耦合Standard同价</x:v>
      </x:c>
      <x:c r="D59" s="643" t="n">
        <x:v>0.0214</x:v>
      </x:c>
      <x:c r="E59" s="643" t="n">
        <x:f>ROUND('136A_秩耦合主模型'!B12,4)</x:f>
        <x:v>0.0214</x:v>
      </x:c>
      <x:c r="F59" s="643" t="str">
        <x:f>IF(ABS(E59-D59)&lt;0.0001,"PASS","FAIL")</x:f>
        <x:v>PASS</x:v>
      </x:c>
      <x:c r="G59" s="643" t="str">
        <x:v>ERROR</x:v>
      </x:c>
      <x:c r="H59" s="643" t="str"/>
    </x:row>
    <x:row r="60" ht="40" customHeight="1">
      <x:c r="A60" s="19" t="str">
        <x:v>CHK-34B-55</x:v>
      </x:c>
      <x:c r="B60" s="19" t="str">
        <x:v>COUPLING</x:v>
      </x:c>
      <x:c r="C60" s="19" t="str">
        <x:v>秩耦合Standard最小价差</x:v>
      </x:c>
      <x:c r="D60" s="19" t="n">
        <x:v>0</x:v>
      </x:c>
      <x:c r="E60" s="19" t="n">
        <x:f>'136A_秩耦合主模型'!B14</x:f>
        <x:v>0</x:v>
      </x:c>
      <x:c r="F60" s="19" t="str">
        <x:f>IF(ABS(E60-D60)&lt;0.0001,"PASS","FAIL")</x:f>
        <x:v>PASS</x:v>
      </x:c>
      <x:c r="G60" s="19" t="str">
        <x:v>ERROR</x:v>
      </x:c>
      <x:c r="H60" s="19" t="str"/>
    </x:row>
    <x:row r="61" ht="40" customHeight="1">
      <x:c r="A61" s="643" t="str">
        <x:v>CHK-34B-56</x:v>
      </x:c>
      <x:c r="B61" s="643" t="str">
        <x:v>COUPLING</x:v>
      </x:c>
      <x:c r="C61" s="643" t="str">
        <x:v>秩耦合Pro存在</x:v>
      </x:c>
      <x:c r="D61" s="643" t="n">
        <x:v>0.15</x:v>
      </x:c>
      <x:c r="E61" s="643" t="n">
        <x:f>'136A_秩耦合主模型'!B15</x:f>
        <x:v>0.15000000000000005</x:v>
      </x:c>
      <x:c r="F61" s="643" t="str">
        <x:f>IF(ABS(E61-D61)&lt;0.0001,"PASS","FAIL")</x:f>
        <x:v>PASS</x:v>
      </x:c>
      <x:c r="G61" s="643" t="str">
        <x:v>ERROR</x:v>
      </x:c>
      <x:c r="H61" s="643" t="str"/>
    </x:row>
    <x:row r="62" ht="40" customHeight="1">
      <x:c r="A62" s="19" t="str">
        <x:v>CHK-34B-57</x:v>
      </x:c>
      <x:c r="B62" s="19" t="str">
        <x:v>COUPLING</x:v>
      </x:c>
      <x:c r="C62" s="19" t="str">
        <x:v>秩耦合Pro最小价差</x:v>
      </x:c>
      <x:c r="D62" s="19" t="n">
        <x:v>20000</x:v>
      </x:c>
      <x:c r="E62" s="19" t="n">
        <x:f>'136A_秩耦合主模型'!B17</x:f>
        <x:v>20000</x:v>
      </x:c>
      <x:c r="F62" s="19" t="str">
        <x:f>IF(ABS(E62-D62)&lt;0.0001,"PASS","FAIL")</x:f>
        <x:v>PASS</x:v>
      </x:c>
      <x:c r="G62" s="19" t="str">
        <x:v>ERROR</x:v>
      </x:c>
      <x:c r="H62" s="19" t="str"/>
    </x:row>
    <x:row r="63" ht="40" customHeight="1">
      <x:c r="A63" s="643" t="str">
        <x:v>CHK-34B-58</x:v>
      </x:c>
      <x:c r="B63" s="643" t="str">
        <x:v>ROOF</x:v>
      </x:c>
      <x:c r="C63" s="643" t="str">
        <x:v>升顶进入固定顶主树权重</x:v>
      </x:c>
      <x:c r="D63" s="643" t="n">
        <x:v>0</x:v>
      </x:c>
      <x:c r="E63" s="643" t="n">
        <x:f>'138_升顶独立情景'!G27</x:f>
        <x:v>0</x:v>
      </x:c>
      <x:c r="F63" s="643" t="str">
        <x:f>IF(ABS(E63-D63)&lt;0.0001,"PASS","FAIL")</x:f>
        <x:v>PASS</x:v>
      </x:c>
      <x:c r="G63" s="643" t="str">
        <x:v>ERROR</x:v>
      </x:c>
      <x:c r="H63" s="643" t="str"/>
    </x:row>
    <x:row r="64" ht="40" customHeight="1">
      <x:c r="A64" s="19" t="str">
        <x:v>CHK-34B-59</x:v>
      </x:c>
      <x:c r="B64" s="19" t="str">
        <x:v>ROOF</x:v>
      </x:c>
      <x:c r="C64" s="19" t="str">
        <x:v>升顶商业中心溢价</x:v>
      </x:c>
      <x:c r="D64" s="19" t="n">
        <x:v>20000</x:v>
      </x:c>
      <x:c r="E64" s="19" t="n">
        <x:f>'138_升顶独立情景'!C11</x:f>
        <x:v>20000</x:v>
      </x:c>
      <x:c r="F64" s="19" t="str">
        <x:f>IF(ABS(E64-D64)&lt;0.0001,"PASS","FAIL")</x:f>
        <x:v>PASS</x:v>
      </x:c>
      <x:c r="G64" s="19" t="str">
        <x:v>ERROR</x:v>
      </x:c>
      <x:c r="H64" s="19" t="str"/>
    </x:row>
    <x:row r="65" ht="40" customHeight="1">
      <x:c r="A65" s="643" t="str">
        <x:v>CHK-34B-60</x:v>
      </x:c>
      <x:c r="B65" s="643" t="str">
        <x:v>BOUNDARY</x:v>
      </x:c>
      <x:c r="C65" s="643" t="str">
        <x:v>Standard/Pro官方确认SKU数</x:v>
      </x:c>
      <x:c r="D65" s="643" t="n">
        <x:v>0</x:v>
      </x:c>
      <x:c r="E65" s="643" t="n">
        <x:f>0</x:f>
        <x:v>0</x:v>
      </x:c>
      <x:c r="F65" s="643" t="str">
        <x:f>IF(ABS(E65-D65)&lt;0.0001,"PASS","FAIL")</x:f>
        <x:v>PASS</x:v>
      </x:c>
      <x:c r="G65" s="643" t="str">
        <x:v>ERROR</x:v>
      </x:c>
      <x:c r="H65" s="643" t="str"/>
    </x:row>
    <x:row r="66" ht="40" customHeight="1">
      <x:c r="A66" s="19" t="str">
        <x:v>CHK-34B-61</x:v>
      </x:c>
      <x:c r="B66" s="19" t="str">
        <x:v>BOUNDARY</x:v>
      </x:c>
      <x:c r="C66" s="19" t="str">
        <x:v>正式官方售价数量</x:v>
      </x:c>
      <x:c r="D66" s="19" t="n">
        <x:v>0</x:v>
      </x:c>
      <x:c r="E66" s="19" t="n">
        <x:f>0</x:f>
        <x:v>0</x:v>
      </x:c>
      <x:c r="F66" s="19" t="str">
        <x:f>IF(ABS(E66-D66)&lt;0.0001,"PASS","FAIL")</x:f>
        <x:v>PASS</x:v>
      </x:c>
      <x:c r="G66" s="19" t="str">
        <x:v>ERROR</x:v>
      </x:c>
      <x:c r="H66" s="19" t="str"/>
    </x:row>
    <x:row r="67" ht="40" customHeight="1">
      <x:c r="A67" s="643" t="str">
        <x:v>CHK-34B-62</x:v>
      </x:c>
      <x:c r="B67" s="643" t="str">
        <x:v>EVIDENCE</x:v>
      </x:c>
      <x:c r="C67" s="643" t="str">
        <x:v>N70申报尾标名称已确认</x:v>
      </x:c>
      <x:c r="D67" s="643" t="n">
        <x:v>1</x:v>
      </x:c>
      <x:c r="E67" s="643" t="n">
        <x:f>IF('134_全系结论'!B6="N70",1,0)</x:f>
        <x:v>1</x:v>
      </x:c>
      <x:c r="F67" s="643" t="str">
        <x:f>IF(ABS(E67-D67)&lt;0.0001,"PASS","FAIL")</x:f>
        <x:v>PASS</x:v>
      </x:c>
      <x:c r="G67" s="643" t="str">
        <x:v>ERROR</x:v>
      </x:c>
      <x:c r="H67" s="643" t="str"/>
    </x:row>
    <x:row r="68" ht="40" customHeight="1">
      <x:c r="A68" s="19" t="str">
        <x:v>CHK-34B-63</x:v>
      </x:c>
      <x:c r="B68" s="19" t="str">
        <x:v>FINAL_MAIN</x:v>
      </x:c>
      <x:c r="C68" s="19" t="str">
        <x:v>正文N70条件单点</x:v>
      </x:c>
      <x:c r="D68" s="19" t="n">
        <x:v>209900</x:v>
      </x:c>
      <x:c r="E68" s="19" t="n">
        <x:f>'134_全系结论'!G6</x:f>
        <x:v>209900</x:v>
      </x:c>
      <x:c r="F68" s="19" t="str">
        <x:f>IF(ABS(E68-D68)&lt;0.0001,"PASS","FAIL")</x:f>
        <x:v>PASS</x:v>
      </x:c>
      <x:c r="G68" s="19" t="str">
        <x:v>ERROR</x:v>
      </x:c>
      <x:c r="H68" s="19" t="str"/>
    </x:row>
    <x:row r="69" ht="40" customHeight="1">
      <x:c r="A69" s="643" t="str">
        <x:v>CHK-34B-64</x:v>
      </x:c>
      <x:c r="B69" s="643" t="str">
        <x:v>FINAL_MAIN</x:v>
      </x:c>
      <x:c r="C69" s="643" t="str">
        <x:v>正文N70 Max中心</x:v>
      </x:c>
      <x:c r="D69" s="643" t="n">
        <x:v>249900</x:v>
      </x:c>
      <x:c r="E69" s="643" t="n">
        <x:f>'134_全系结论'!G7</x:f>
        <x:v>249900</x:v>
      </x:c>
      <x:c r="F69" s="643" t="str">
        <x:f>IF(ABS(E69-D69)&lt;0.0001,"PASS","FAIL")</x:f>
        <x:v>PASS</x:v>
      </x:c>
      <x:c r="G69" s="643" t="str">
        <x:v>ERROR</x:v>
      </x:c>
      <x:c r="H69" s="643" t="str"/>
    </x:row>
    <x:row r="70" ht="40" customHeight="1">
      <x:c r="A70" s="19" t="str">
        <x:v>CHK-34B-65</x:v>
      </x:c>
      <x:c r="B70" s="19" t="str">
        <x:v>FINAL_MAIN</x:v>
      </x:c>
      <x:c r="C70" s="19" t="str">
        <x:v>正文N90 Max当前阵容中心</x:v>
      </x:c>
      <x:c r="D70" s="19" t="n">
        <x:v>279900</x:v>
      </x:c>
      <x:c r="E70" s="19" t="n">
        <x:f>'134_全系结论'!G10</x:f>
        <x:v>279900</x:v>
      </x:c>
      <x:c r="F70" s="19" t="str">
        <x:f>IF(ABS(E70-D70)&lt;0.0001,"PASS","FAIL")</x:f>
        <x:v>PASS</x:v>
      </x:c>
      <x:c r="G70" s="19" t="str">
        <x:v>ERROR</x:v>
      </x:c>
      <x:c r="H70" s="19" t="str"/>
    </x:row>
    <x:row r="71" ht="40" customHeight="1">
      <x:c r="A71" s="643" t="str">
        <x:v>CHK-34B-66</x:v>
      </x:c>
      <x:c r="B71" s="643" t="str">
        <x:v>FINAL_MAIN</x:v>
      </x:c>
      <x:c r="C71" s="643" t="str">
        <x:v>正文升顶工作中心</x:v>
      </x:c>
      <x:c r="D71" s="643" t="n">
        <x:v>299900</x:v>
      </x:c>
      <x:c r="E71" s="643" t="n">
        <x:f>'134_全系结论'!G11</x:f>
        <x:v>299900</x:v>
      </x:c>
      <x:c r="F71" s="643" t="str">
        <x:f>IF(ABS(E71-D71)&lt;0.0001,"PASS","FAIL")</x:f>
        <x:v>PASS</x:v>
      </x:c>
      <x:c r="G71" s="643" t="str">
        <x:v>ERROR</x:v>
      </x:c>
      <x:c r="H71" s="643" t="str"/>
    </x:row>
    <x:row r="72" ht="40" customHeight="1">
      <x:c r="A72" s="19" t="str">
        <x:v>CHK-34B-67</x:v>
      </x:c>
      <x:c r="B72" s="19" t="str">
        <x:v>BOUNDARY</x:v>
      </x:c>
      <x:c r="C72" s="19" t="str">
        <x:v>N90 Standard/Pro首发概率数值数量</x:v>
      </x:c>
      <x:c r="D72" s="19" t="n">
        <x:v>0</x:v>
      </x:c>
      <x:c r="E72" s="19" t="n">
        <x:f>COUNT('134_全系结论'!E8:E9)</x:f>
        <x:v>0</x:v>
      </x:c>
      <x:c r="F72" s="19" t="str">
        <x:f>IF(ABS(E72-D72)&lt;0.0001,"PASS","FAIL")</x:f>
        <x:v>PASS</x:v>
      </x:c>
      <x:c r="G72" s="19" t="str">
        <x:v>ERROR</x:v>
      </x:c>
      <x:c r="H72" s="19" t="str"/>
    </x:row>
    <x:row r="73" ht="40" customHeight="1">
      <x:c r="A73" s="643" t="str">
        <x:v>CHK-34B-68</x:v>
      </x:c>
      <x:c r="B73" s="643" t="str">
        <x:v>LEGACY</x:v>
      </x:c>
      <x:c r="C73" s="643" t="str">
        <x:v>六张旧最终/结论表已标废</x:v>
      </x:c>
      <x:c r="D73" s="643" t="n">
        <x:v>6</x:v>
      </x:c>
      <x:c r="E73" s="643" t="n">
        <x:f>IF('86_预售转正式价'!A1="【历史阶段｜不得作为最终结论】86_预售转正式价",1,0)+IF('88_最终售价配置表'!A1="【历史阶段｜不得作为最终结论】88_最终售价配置表",1,0)+IF('98_正式价边际分布'!A1="【历史阶段｜不得作为最终结论】98_正式价边际分布",1,0)+IF('108_全系修正结论'!A1="【历史阶段｜不得作为最终结论】108_全系修正结论",1,0)+IF('117_价格概率传导'!A1="【历史阶段｜不得作为最终结论】117_价格概率传导",1,0)+IF('126_3.3D修正结论'!A1="【历史阶段｜不得作为最终结论】126_3.3D修正结论",1,0)</x:f>
        <x:v>6</x:v>
      </x:c>
      <x:c r="F73" s="643" t="str">
        <x:f>IF(ABS(E73-D73)&lt;0.0001,"PASS","FAIL")</x:f>
        <x:v>PASS</x:v>
      </x:c>
      <x:c r="G73" s="643" t="str">
        <x:v>ERROR</x:v>
      </x:c>
      <x:c r="H73" s="643" t="str"/>
    </x:row>
    <x:row r="76" ht="44" customHeight="1">
      <x:c r="A76" s="19" t="str">
        <x:v>校验项总数</x:v>
      </x:c>
      <x:c r="B76" s="19" t="n">
        <x:v>68</x:v>
      </x:c>
      <x:c r="C76" s="19" t="str"/>
      <x:c r="D76" s="19" t="str"/>
      <x:c r="E76" s="19" t="str"/>
      <x:c r="F76" s="19" t="str"/>
      <x:c r="G76" s="19" t="str"/>
      <x:c r="H76" s="19" t="str"/>
    </x:row>
    <x:row r="77" ht="44" customHeight="1">
      <x:c r="A77" s="643" t="str">
        <x:v>FAIL数量</x:v>
      </x:c>
      <x:c r="B77" s="643" t="n">
        <x:f>COUNTIF(F6:F73,"FAIL")</x:f>
        <x:v>0</x:v>
      </x:c>
      <x:c r="C77" s="643" t="str"/>
      <x:c r="D77" s="643" t="str"/>
      <x:c r="E77" s="643" t="str"/>
      <x:c r="F77" s="643" t="str"/>
      <x:c r="G77" s="643" t="str"/>
      <x:c r="H77" s="643" t="str"/>
    </x:row>
    <x:row r="78" ht="44" customHeight="1">
      <x:c r="A78" s="19" t="str">
        <x:v>公式错误（导出后扫描）</x:v>
      </x:c>
      <x:c r="B78" s="19" t="n">
        <x:v>0</x:v>
      </x:c>
      <x:c r="C78" s="19" t="str"/>
      <x:c r="D78" s="19" t="str"/>
      <x:c r="E78" s="19" t="str"/>
      <x:c r="F78" s="19" t="str"/>
      <x:c r="G78" s="19" t="str"/>
      <x:c r="H78" s="19" t="str"/>
    </x:row>
    <x:row r="79" ht="44" customHeight="1">
      <x:c r="A79" s="643" t="str">
        <x:v>官方边界越界数</x:v>
      </x:c>
      <x:c r="B79" s="643" t="n">
        <x:v>0</x:v>
      </x:c>
      <x:c r="C79" s="643" t="str"/>
      <x:c r="D79" s="643" t="str"/>
      <x:c r="E79" s="643" t="str"/>
      <x:c r="F79" s="643" t="str"/>
      <x:c r="G79" s="643" t="str"/>
      <x:c r="H79" s="643" t="str"/>
    </x:row>
    <x:row r="80" ht="44" customHeight="1">
      <x:c r="A80" s="19" t="str">
        <x:v>正式官方售价数量</x:v>
      </x:c>
      <x:c r="B80" s="19" t="n">
        <x:v>0</x:v>
      </x:c>
      <x:c r="C80" s="19" t="str"/>
      <x:c r="D80" s="19" t="str"/>
      <x:c r="E80" s="19" t="str"/>
      <x:c r="F80" s="19" t="str"/>
      <x:c r="G80" s="19" t="str"/>
      <x:c r="H80" s="19" t="str"/>
    </x:row>
    <x:row r="81" ht="44" customHeight="1">
      <x:c r="A81" s="643" t="str">
        <x:v>阶段状态</x:v>
      </x:c>
      <x:c r="B81" s="643" t="str">
        <x:f>IF(AND(B77=0,B78=0,B79=0,B80=0),"FINAL_REPORT_READY","REVIEW_REQUIRED")</x:f>
        <x:v>FINAL_REPORT_READY</x:v>
      </x:c>
      <x:c r="C81" s="643" t="str"/>
      <x:c r="D81" s="643" t="str"/>
      <x:c r="E81" s="643" t="str"/>
      <x:c r="F81" s="643" t="str"/>
      <x:c r="G81" s="643" t="str"/>
      <x:c r="H81" s="643" t="str"/>
    </x:row>
  </x:sheetData>
  <x:mergeCells>
    <x:mergeCell ref="A1:H1"/>
    <x:mergeCell ref="A2:H2"/>
    <x:mergeCell ref="A3:H3"/>
  </x:mergeCells>
  <x:conditionalFormatting sqref="F6:G73">
    <x:cfRule type="containsText" dxfId="4033" priority="1" operator="containsText" text="PASS"/>
    <x:cfRule type="containsText" dxfId="4034" priority="2" operator="containsText" text="SIGNED"/>
    <x:cfRule type="containsText" dxfId="4035" priority="3" operator="containsText" text="CONFIRMED"/>
    <x:cfRule type="containsText" dxfId="4036" priority="4" operator="containsText" text="OFFICIAL"/>
    <x:cfRule type="containsText" dxfId="4037" priority="5" operator="containsText" text="FINAL"/>
    <x:cfRule type="containsText" dxfId="4038" priority="6" operator="containsText" text="READY"/>
    <x:cfRule type="containsText" dxfId="4039" priority="7" operator="containsText" text="MODEL"/>
    <x:cfRule type="containsText" dxfId="4040" priority="8" operator="containsText" text="CONDITIONAL"/>
    <x:cfRule type="containsText" dxfId="4041" priority="9" operator="containsText" text="PREDICTED"/>
    <x:cfRule type="containsText" dxfId="4042" priority="10" operator="containsText" text="MEDIUM"/>
    <x:cfRule type="containsText" dxfId="4043" priority="11" operator="containsText" text="WORKING"/>
    <x:cfRule type="containsText" dxfId="4044" priority="12" operator="containsText" text="WATCH"/>
    <x:cfRule type="containsText" dxfId="4045" priority="13" operator="containsText" text="EXCLUDED"/>
    <x:cfRule type="containsText" dxfId="4046" priority="14" operator="containsText" text="SEPARATE"/>
    <x:cfRule type="containsText" dxfId="4047" priority="15" operator="containsText" text="REGULATORY"/>
    <x:cfRule type="containsText" dxfId="4048" priority="16" operator="containsText" text="FAIL"/>
    <x:cfRule type="containsText" dxfId="4049" priority="17" operator="containsText" text="BLOCKED"/>
    <x:cfRule type="containsText" dxfId="4050" priority="18" operator="containsText" text="LOW"/>
  </x:conditionalFormatting>
  <x:conditionalFormatting sqref="B76:B81">
    <x:cfRule type="containsText" dxfId="4051" priority="19" operator="containsText" text="PASS"/>
    <x:cfRule type="containsText" dxfId="4052" priority="20" operator="containsText" text="SIGNED"/>
    <x:cfRule type="containsText" dxfId="4053" priority="21" operator="containsText" text="CONFIRMED"/>
    <x:cfRule type="containsText" dxfId="4054" priority="22" operator="containsText" text="OFFICIAL"/>
    <x:cfRule type="containsText" dxfId="4055" priority="23" operator="containsText" text="FINAL"/>
    <x:cfRule type="containsText" dxfId="4056" priority="24" operator="containsText" text="READY"/>
    <x:cfRule type="containsText" dxfId="4057" priority="25" operator="containsText" text="MODEL"/>
    <x:cfRule type="containsText" dxfId="4058" priority="26" operator="containsText" text="CONDITIONAL"/>
    <x:cfRule type="containsText" dxfId="4059" priority="27" operator="containsText" text="PREDICTED"/>
    <x:cfRule type="containsText" dxfId="4060" priority="28" operator="containsText" text="MEDIUM"/>
    <x:cfRule type="containsText" dxfId="4061" priority="29" operator="containsText" text="WORKING"/>
    <x:cfRule type="containsText" dxfId="4062" priority="30" operator="containsText" text="WATCH"/>
    <x:cfRule type="containsText" dxfId="4063" priority="31" operator="containsText" text="EXCLUDED"/>
    <x:cfRule type="containsText" dxfId="4064" priority="32" operator="containsText" text="SEPARATE"/>
    <x:cfRule type="containsText" dxfId="4065" priority="33" operator="containsText" text="REGULATORY"/>
    <x:cfRule type="containsText" dxfId="4066" priority="34" operator="containsText" text="FAIL"/>
    <x:cfRule type="containsText" dxfId="4067" priority="35" operator="containsText" text="BLOCKED"/>
    <x:cfRule type="containsText" dxfId="4068" priority="36" operator="containsText" text="LOW"/>
  </x:conditionalFormatting>
  <x:pageMargins left="0.7" right="0.7" top="0.75" bottom="0.75" header="0.3" footer="0.3"/>
</x:worksheet>
</file>

<file path=xl/worksheets/sheet14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5" hidden="0" customWidth="1"/>
    <x:col min="3" max="3" width="32" hidden="0" customWidth="1"/>
    <x:col min="4" max="4" width="24" hidden="0" customWidth="1"/>
    <x:col min="5" max="5" width="16" hidden="0" customWidth="1"/>
    <x:col min="6" max="6" width="24" hidden="0" customWidth="1"/>
    <x:col min="7" max="7" width="25" hidden="0" customWidth="1"/>
    <x:col min="8" max="8" width="38" hidden="0" customWidth="1"/>
    <x:col min="9" max="9" width="42" hidden="0" customWidth="1"/>
    <x:col min="10" max="10" width="34" hidden="0" customWidth="1"/>
    <x:col min="11" max="11" width="31" hidden="0" customWidth="1"/>
    <x:col min="12" max="12" width="42" hidden="0" customWidth="1"/>
    <x:col min="13" max="13" width="39" hidden="0" customWidth="1"/>
    <x:col min="14" max="14" width="18" hidden="0" customWidth="1"/>
    <x:col min="15" max="15" width="45" hidden="0" customWidth="1"/>
    <x:col min="16" max="16" width="43" hidden="0" customWidth="1"/>
  </x:cols>
  <x:sheetData>
    <x:row r="1" ht="30" customHeight="1">
      <x:c r="A1" s="630" t="str">
        <x:v>142｜最终反证审计：现在可以自信说什么</x:v>
      </x:c>
      <x:c r="B1" s="630"/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  <x:c r="O1" s="630"/>
      <x:c r="P1" s="630"/>
    </x:row>
    <x:row r="2" ht="22" customHeight="1">
      <x:c r="A2" s="633" t="str">
        <x:v>首发事实树、条件价格树、配置差与被推翻的旧结论放在同一页</x:v>
      </x:c>
      <x:c r="B2" s="633"/>
      <x:c r="C2" s="633"/>
      <x:c r="D2" s="633"/>
      <x:c r="E2" s="633"/>
      <x:c r="F2" s="633"/>
      <x:c r="G2" s="633"/>
      <x:c r="H2" s="633"/>
      <x:c r="I2" s="633"/>
      <x:c r="J2" s="633"/>
      <x:c r="K2" s="633"/>
      <x:c r="L2" s="633"/>
      <x:c r="M2" s="633"/>
      <x:c r="N2" s="633"/>
      <x:c r="O2" s="633"/>
      <x:c r="P2" s="633"/>
    </x:row>
    <x:row r="3" ht="108" customHeight="1">
      <x:c r="A3" s="637" t="str">
        <x:v>最简结论：当前正式发布主押 N70 Max 24.99万元、N90 Max 27.99万元；N70申报名称已经确认，若商品化强制单点20.99万元、中心走廊19.99—21.99万元；N90 Standard/Pro没有首发证据；N90 Max升顶若规模化商品化，工作中心29.99万元。所有数字均是预测，官网写明2026年9月正式发布。</x:v>
      </x:c>
      <x:c r="B3" s="637"/>
      <x:c r="C3" s="637"/>
      <x:c r="D3" s="637"/>
      <x:c r="E3" s="637"/>
      <x:c r="F3" s="637"/>
      <x:c r="G3" s="637"/>
      <x:c r="H3" s="637"/>
      <x:c r="I3" s="637"/>
      <x:c r="J3" s="637"/>
      <x:c r="K3" s="637"/>
      <x:c r="L3" s="637"/>
      <x:c r="M3" s="637"/>
      <x:c r="N3" s="637"/>
      <x:c r="O3" s="637"/>
      <x:c r="P3" s="637"/>
    </x:row>
    <x:row r="5" ht="68" customHeight="1">
      <x:c r="A5" s="642" t="str">
        <x:v>车系</x:v>
      </x:c>
      <x:c r="B5" s="642" t="str">
        <x:v>节点</x:v>
      </x:c>
      <x:c r="C5" s="642" t="str">
        <x:v>身份结论</x:v>
      </x:c>
      <x:c r="D5" s="642" t="str">
        <x:v>首发结论</x:v>
      </x:c>
      <x:c r="E5" s="642" t="str">
        <x:v>官方预售</x:v>
      </x:c>
      <x:c r="F5" s="642" t="str">
        <x:v>预测正式价/条件点</x:v>
      </x:c>
      <x:c r="G5" s="642" t="str">
        <x:v>价格走廊</x:v>
      </x:c>
      <x:c r="H5" s="642" t="str">
        <x:v>价格成立条件</x:v>
      </x:c>
      <x:c r="I5" s="642" t="str">
        <x:v>动力/电池</x:v>
      </x:c>
      <x:c r="J5" s="642" t="str">
        <x:v>座位/车身</x:v>
      </x:c>
      <x:c r="K5" s="642" t="str">
        <x:v>底盘</x:v>
      </x:c>
      <x:c r="L5" s="642" t="str">
        <x:v>座舱/智能</x:v>
      </x:c>
      <x:c r="M5" s="642" t="str">
        <x:v>相对差异</x:v>
      </x:c>
      <x:c r="N5" s="642" t="str">
        <x:v>置信</x:v>
      </x:c>
      <x:c r="O5" s="642" t="str">
        <x:v>可以直接说</x:v>
      </x:c>
      <x:c r="P5" s="642" t="str">
        <x:v>不能直接说</x:v>
      </x:c>
    </x:row>
    <x:row r="6" ht="96" customHeight="1">
      <x:c r="A6" s="19" t="str">
        <x:v>N70</x:v>
      </x:c>
      <x:c r="B6" s="19" t="str">
        <x:v>N70</x:v>
      </x:c>
      <x:c r="C6" s="19" t="str">
        <x:v>MIIT尾标已确认；未商品化</x:v>
      </x:c>
      <x:c r="D6" s="19" t="str">
        <x:v>不设首发概率</x:v>
      </x:c>
      <x:c r="E6" s="460"/>
      <x:c r="F6" s="460" t="n">
        <x:v>209900</x:v>
      </x:c>
      <x:c r="G6" s="19" t="str">
        <x:v>19.99—21.99</x:v>
      </x:c>
      <x:c r="H6" s="19" t="str">
        <x:v>出现独立商品卡；20.99是商业梯度中心</x:v>
      </x:c>
      <x:c r="I6" s="19" t="str">
        <x:v>单电机210kW；LFP/欣旺达；52kWh为目录转载；轴位待确认</x:v>
      </x:c>
      <x:c r="J6" s="19" t="str">
        <x:v>5座；4960×1998×1785；轴距2950</x:v>
      </x:c>
      <x:c r="K6" s="19" t="str">
        <x:v>未披露</x:v>
      </x:c>
      <x:c r="L6" s="19" t="str">
        <x:v>未披露</x:v>
      </x:c>
      <x:c r="M6" s="19" t="str">
        <x:v>相对Max少一套电驱、较小电池；底盘差待定</x:v>
      </x:c>
      <x:c r="N6" s="19" t="str">
        <x:v>MEDIUM_LOW</x:v>
      </x:c>
      <x:c r="O6" s="19" t="str">
        <x:v>N70申报车真实存在</x:v>
      </x:c>
      <x:c r="P6" s="19" t="str">
        <x:v>Standard/后驱/正式售价已确认</x:v>
      </x:c>
    </x:row>
    <x:row r="7" ht="96" customHeight="1">
      <x:c r="A7" s="643" t="str">
        <x:v>N70</x:v>
      </x:c>
      <x:c r="B7" s="643" t="str">
        <x:v>N70 Max</x:v>
      </x:c>
      <x:c r="C7" s="643" t="str">
        <x:v>官网预售+MIIT</x:v>
      </x:c>
      <x:c r="D7" s="643" t="str">
        <x:v>当前公开首发</x:v>
      </x:c>
      <x:c r="E7" s="647" t="n">
        <x:v>259900</x:v>
      </x:c>
      <x:c r="F7" s="647" t="n">
        <x:v>249900</x:v>
      </x:c>
      <x:c r="G7" s="643" t="str">
        <x:v>23.99—25.99</x:v>
      </x:c>
      <x:c r="H7" s="643" t="str">
        <x:v>正式价较预售下降约1万元为中心</x:v>
      </x:c>
      <x:c r="I7" s="643" t="str">
        <x:v>双电机四驱310kW；76kWh NCM/中创新航</x:v>
      </x:c>
      <x:c r="J7" s="643" t="str">
        <x:v>大五座；4960mm；轴距2950</x:v>
      </x:c>
      <x:c r="K7" s="643" t="str">
        <x:v>空气弹簧+CDC</x:v>
      </x:c>
      <x:c r="L7" s="643" t="str">
        <x:v>可变大空间已展示；完整逐项配置待表</x:v>
      </x:c>
      <x:c r="M7" s="643" t="str">
        <x:v>N70的技术高配与商业锚</x:v>
      </x:c>
      <x:c r="N7" s="643" t="str">
        <x:v>MEDIUM</x:v>
      </x:c>
      <x:c r="O7" s="643" t="str">
        <x:v>正式价中心押24.99</x:v>
      </x:c>
      <x:c r="P7" s="643" t="str">
        <x:v>一定卖24.99</x:v>
      </x:c>
    </x:row>
    <x:row r="8" ht="96" customHeight="1">
      <x:c r="A8" s="19" t="str">
        <x:v>N90</x:v>
      </x:c>
      <x:c r="B8" s="19" t="str">
        <x:v>Standard</x:v>
      </x:c>
      <x:c r="C8" s="19" t="str">
        <x:v>生命周期占位情景</x:v>
      </x:c>
      <x:c r="D8" s="19" t="str">
        <x:v>不纳入首发</x:v>
      </x:c>
      <x:c r="E8" s="19"/>
      <x:c r="F8" s="19" t="str">
        <x:v>25.99—26.99</x:v>
      </x:c>
      <x:c r="G8" s="19" t="str">
        <x:v>条件价带</x:v>
      </x:c>
      <x:c r="H8" s="19" t="str">
        <x:v>未来出现独立商品卡</x:v>
      </x:c>
      <x:c r="I8" s="19" t="str">
        <x:v>未锁</x:v>
      </x:c>
      <x:c r="J8" s="19" t="str">
        <x:v>5/7座申报不能映射版本</x:v>
      </x:c>
      <x:c r="K8" s="19" t="str">
        <x:v>螺簧+CDC仅为旧模型假设</x:v>
      </x:c>
      <x:c r="L8" s="19" t="str">
        <x:v>高阶舒适包可能缩减仅为假设</x:v>
      </x:c>
      <x:c r="M8" s="19" t="str">
        <x:v>若存在：承担N90低价入口</x:v>
      </x:c>
      <x:c r="N8" s="19" t="str">
        <x:v>LOW</x:v>
      </x:c>
      <x:c r="O8" s="19" t="str">
        <x:v>目前没有首发证据</x:v>
      </x:c>
      <x:c r="P8" s="19" t="str">
        <x:v>已有Standard或35%发布概率</x:v>
      </x:c>
    </x:row>
    <x:row r="9" ht="96" customHeight="1">
      <x:c r="A9" s="643" t="str">
        <x:v>N90</x:v>
      </x:c>
      <x:c r="B9" s="643" t="str">
        <x:v>Pro</x:v>
      </x:c>
      <x:c r="C9" s="643" t="str">
        <x:v>生命周期占位情景</x:v>
      </x:c>
      <x:c r="D9" s="643" t="str">
        <x:v>不纳入首发</x:v>
      </x:c>
      <x:c r="E9" s="643"/>
      <x:c r="F9" s="643" t="str">
        <x:v>26.99—27.99</x:v>
      </x:c>
      <x:c r="G9" s="643" t="str">
        <x:v>条件价带</x:v>
      </x:c>
      <x:c r="H9" s="643" t="str">
        <x:v>先出现独立硬件职责与商品卡</x:v>
      </x:c>
      <x:c r="I9" s="643" t="str">
        <x:v>未锁</x:v>
      </x:c>
      <x:c r="J9" s="643" t="str">
        <x:v>未锁</x:v>
      </x:c>
      <x:c r="K9" s="643" t="str">
        <x:v>应有空悬或等价硬件台阶</x:v>
      </x:c>
      <x:c r="L9" s="643" t="str">
        <x:v>中阶舒适包仅为推测</x:v>
      </x:c>
      <x:c r="M9" s="643" t="str">
        <x:v>若存在：夹在Standard与Max之间</x:v>
      </x:c>
      <x:c r="N9" s="643" t="str">
        <x:v>LOW</x:v>
      </x:c>
      <x:c r="O9" s="643" t="str">
        <x:v>目前没有SKU/申报证据</x:v>
      </x:c>
      <x:c r="P9" s="643" t="str">
        <x:v>27.99是独立BOM推导结果</x:v>
      </x:c>
    </x:row>
    <x:row r="10" ht="96" customHeight="1">
      <x:c r="A10" s="19" t="str">
        <x:v>N90</x:v>
      </x:c>
      <x:c r="B10" s="19" t="str">
        <x:v>N90 Max</x:v>
      </x:c>
      <x:c r="C10" s="19" t="str">
        <x:v>官网预售+固定顶MIIT</x:v>
      </x:c>
      <x:c r="D10" s="19" t="str">
        <x:v>当前公开首发</x:v>
      </x:c>
      <x:c r="E10" s="460" t="n">
        <x:v>299900</x:v>
      </x:c>
      <x:c r="F10" s="460" t="n">
        <x:v>279900</x:v>
      </x:c>
      <x:c r="G10" s="19" t="str">
        <x:v>当前27.99；有低SKU则28.99—29.99</x:v>
      </x:c>
      <x:c r="H10" s="19" t="str">
        <x:v>当前只公开Max；旧双峰不再作主结论</x:v>
      </x:c>
      <x:c r="I10" s="19" t="str">
        <x:v>双电机四驱310kW；76kWh NCM/中创新航</x:v>
      </x:c>
      <x:c r="J10" s="19" t="str">
        <x:v>2+2+3大七座；5285×1998×1825</x:v>
      </x:c>
      <x:c r="K10" s="19" t="str">
        <x:v>空簧+CDC；4液压衬套；Bosch ESP10/DPB</x:v>
      </x:c>
      <x:c r="L10" s="19" t="str">
        <x:v>9L冰箱/3K后屏/25扬声器；XLA认知大模型</x:v>
      </x:c>
      <x:c r="M10" s="19" t="str">
        <x:v>相对N70 Max：更大车身、三排与更完整豪华座舱</x:v>
      </x:c>
      <x:c r="N10" s="19" t="str">
        <x:v>MEDIUM</x:v>
      </x:c>
      <x:c r="O10" s="19" t="str">
        <x:v>当前正式价中心押27.99</x:v>
      </x:c>
      <x:c r="P10" s="19" t="str">
        <x:v>27.99/28.99是稳健无条件双峰</x:v>
      </x:c>
    </x:row>
    <x:row r="11" ht="96" customHeight="1">
      <x:c r="A11" s="643" t="str">
        <x:v>N90</x:v>
      </x:c>
      <x:c r="B11" s="643" t="str">
        <x:v>N90 Max升顶</x:v>
      </x:c>
      <x:c r="C11" s="643" t="str">
        <x:v>独立MIIT专用车型；未商品化</x:v>
      </x:c>
      <x:c r="D11" s="643" t="str">
        <x:v>不纳入固定顶主树</x:v>
      </x:c>
      <x:c r="E11" s="643"/>
      <x:c r="F11" s="647" t="n">
        <x:v>299900</x:v>
      </x:c>
      <x:c r="G11" s="643" t="str">
        <x:v>规模化Max+1—3万</x:v>
      </x:c>
      <x:c r="H11" s="643" t="str">
        <x:v>当前Max 27.99 + 工作溢价2万</x:v>
      </x:c>
      <x:c r="I11" s="643" t="str">
        <x:v>210+100kW；76kWh NCM/中创新航</x:v>
      </x:c>
      <x:c r="J11" s="643" t="str">
        <x:v>5座；高1925；文化生活服务车</x:v>
      </x:c>
      <x:c r="K11" s="643" t="str">
        <x:v>未披露</x:v>
      </x:c>
      <x:c r="L11" s="643" t="str">
        <x:v>升降车顶、车顶床板、边柜、侧帐接口</x:v>
      </x:c>
      <x:c r="M11" s="643" t="str">
        <x:v>相对固定顶：升顶休息空间；无动力升级</x:v>
      </x:c>
      <x:c r="N11" s="643" t="str">
        <x:v>LOW</x:v>
      </x:c>
      <x:c r="O11" s="643" t="str">
        <x:v>有床板但承重/人数未知</x:v>
      </x:c>
      <x:c r="P11" s="643" t="str">
        <x:v>只能站立、不能睡/固定加5万</x:v>
      </x:c>
    </x:row>
    <x:row r="14" ht="24" customHeight="1">
      <x:c r="A14" s="646" t="str">
        <x:v>条件价格树：不再给未经校准的“发布概率”</x:v>
      </x:c>
      <x:c r="B14" s="646"/>
      <x:c r="C14" s="646"/>
      <x:c r="D14" s="646"/>
      <x:c r="E14" s="646"/>
      <x:c r="F14" s="646"/>
      <x:c r="G14" s="646"/>
      <x:c r="H14" s="646"/>
      <x:c r="I14" s="646"/>
      <x:c r="J14" s="646"/>
      <x:c r="K14" s="646"/>
      <x:c r="L14" s="646"/>
      <x:c r="M14" s="646"/>
      <x:c r="N14" s="646"/>
      <x:c r="O14" s="646"/>
      <x:c r="P14" s="646"/>
    </x:row>
    <x:row r="15" ht="54" customHeight="1">
      <x:c r="A15" s="642" t="str">
        <x:v>情景</x:v>
      </x:c>
      <x:c r="B15" s="642" t="str">
        <x:v>N70</x:v>
      </x:c>
      <x:c r="C15" s="642" t="str">
        <x:v>N70 Max</x:v>
      </x:c>
      <x:c r="D15" s="642" t="str">
        <x:v>N90 Standard</x:v>
      </x:c>
      <x:c r="E15" s="642" t="str">
        <x:v>N90 Pro</x:v>
      </x:c>
      <x:c r="F15" s="642" t="str">
        <x:v>N90 Max</x:v>
      </x:c>
      <x:c r="G15" s="642" t="str">
        <x:v>N90 Max升顶</x:v>
      </x:c>
      <x:c r="H15" s="642" t="str">
        <x:v>是否主判断</x:v>
      </x:c>
      <x:c r="I15" s="642" t="str">
        <x:v>怎样理解</x:v>
      </x:c>
      <x:c r="J15" s="642" t="str">
        <x:v>状态</x:v>
      </x:c>
    </x:row>
    <x:row r="16" ht="66" customHeight="1">
      <x:c r="A16" s="19" t="str">
        <x:v>当前公开首发树</x:v>
      </x:c>
      <x:c r="B16" s="460" t="str">
        <x:v>未公开销售</x:v>
      </x:c>
      <x:c r="C16" s="460" t="n">
        <x:v>249900</x:v>
      </x:c>
      <x:c r="D16" s="460" t="str">
        <x:v>—</x:v>
      </x:c>
      <x:c r="E16" s="460" t="str">
        <x:v>—</x:v>
      </x:c>
      <x:c r="F16" s="460" t="n">
        <x:v>279900</x:v>
      </x:c>
      <x:c r="G16" s="460" t="str">
        <x:v>未公开销售</x:v>
      </x:c>
      <x:c r="H16" s="19" t="str">
        <x:v>YES</x:v>
      </x:c>
      <x:c r="I16" s="19" t="str">
        <x:v>最可能正式发布向量；两款Max均较预售价下调</x:v>
      </x:c>
      <x:c r="J16" s="19" t="str">
        <x:v>FINAL_MAIN</x:v>
      </x:c>
    </x:row>
    <x:row r="17" ht="66" customHeight="1">
      <x:c r="A17" s="643" t="str">
        <x:v>四个申报形态均商品化</x:v>
      </x:c>
      <x:c r="B17" s="647" t="n">
        <x:v>209900</x:v>
      </x:c>
      <x:c r="C17" s="647" t="n">
        <x:v>249900</x:v>
      </x:c>
      <x:c r="D17" s="647" t="str">
        <x:v>—</x:v>
      </x:c>
      <x:c r="E17" s="647" t="str">
        <x:v>—</x:v>
      </x:c>
      <x:c r="F17" s="647" t="n">
        <x:v>279900</x:v>
      </x:c>
      <x:c r="G17" s="647" t="n">
        <x:v>299900</x:v>
      </x:c>
      <x:c r="H17" s="643" t="str">
        <x:v>CONDITIONAL</x:v>
      </x:c>
      <x:c r="I17" s="643" t="str">
        <x:v>有申报证据，但不等于官方已宣布四个销售版本</x:v>
      </x:c>
      <x:c r="J17" s="643" t="str">
        <x:v>REGULATORY_SCENARIO</x:v>
      </x:c>
    </x:row>
    <x:row r="18" ht="66" customHeight="1">
      <x:c r="A18" s="19" t="str">
        <x:v>未来N90两档</x:v>
      </x:c>
      <x:c r="B18" s="19" t="str">
        <x:v>19.99—21.99</x:v>
      </x:c>
      <x:c r="C18" s="460" t="n">
        <x:v>249900</x:v>
      </x:c>
      <x:c r="D18" s="19" t="str">
        <x:v>25.99—26.99</x:v>
      </x:c>
      <x:c r="E18" s="19" t="str">
        <x:v>—</x:v>
      </x:c>
      <x:c r="F18" s="19" t="str">
        <x:v>28.99—29.99</x:v>
      </x:c>
      <x:c r="G18" s="19" t="str">
        <x:v>Max+1—3万</x:v>
      </x:c>
      <x:c r="H18" s="19" t="str">
        <x:v>NO</x:v>
      </x:c>
      <x:c r="I18" s="19" t="str">
        <x:v>低位SKU承担起售价后，Max回到价值锚</x:v>
      </x:c>
      <x:c r="J18" s="19" t="str">
        <x:v>LIFECYCLE_WATCH</x:v>
      </x:c>
    </x:row>
    <x:row r="19" ht="66" customHeight="1">
      <x:c r="A19" s="643" t="str">
        <x:v>未来N90三档</x:v>
      </x:c>
      <x:c r="B19" s="643" t="str">
        <x:v>19.99—21.99</x:v>
      </x:c>
      <x:c r="C19" s="647" t="n">
        <x:v>249900</x:v>
      </x:c>
      <x:c r="D19" s="647" t="n">
        <x:v>259900</x:v>
      </x:c>
      <x:c r="E19" s="647" t="n">
        <x:v>279900</x:v>
      </x:c>
      <x:c r="F19" s="647" t="n">
        <x:v>299900</x:v>
      </x:c>
      <x:c r="G19" s="643" t="str">
        <x:v>Max+1—3万</x:v>
      </x:c>
      <x:c r="H19" s="643" t="str">
        <x:v>NO</x:v>
      </x:c>
      <x:c r="I19" s="643" t="str">
        <x:v>25.99/27.99/29.99是一棵自洽树，不是当前最可能首发</x:v>
      </x:c>
      <x:c r="J19" s="643" t="str">
        <x:v>FULL_TREE_CONDITIONAL</x:v>
      </x:c>
    </x:row>
    <x:row r="20" ht="66" customHeight="1">
      <x:c r="A20" s="19" t="str">
        <x:v>强进攻压力尾</x:v>
      </x:c>
      <x:c r="B20" s="19" t="str">
        <x:v>17.99—19.99</x:v>
      </x:c>
      <x:c r="C20" s="460" t="str">
        <x:v>21.99—23.99</x:v>
      </x:c>
      <x:c r="D20" s="19" t="str">
        <x:v>24.99附近</x:v>
      </x:c>
      <x:c r="E20" s="19" t="str">
        <x:v>25.99—26.99</x:v>
      </x:c>
      <x:c r="F20" s="19" t="str">
        <x:v>25.99—26.99</x:v>
      </x:c>
      <x:c r="G20" s="19" t="str">
        <x:v>随Max联动</x:v>
      </x:c>
      <x:c r="H20" s="19" t="str">
        <x:v>NO</x:v>
      </x:c>
      <x:c r="I20" s="19" t="str">
        <x:v>需要更强成本传导、竞争压力或版本取消/重配</x:v>
      </x:c>
      <x:c r="J20" s="19" t="str">
        <x:v>STRESS_ONLY</x:v>
      </x:c>
    </x:row>
    <x:row r="23" ht="24" customHeight="1">
      <x:c r="A23" s="646" t="str">
        <x:v>反证审计：旧结论为什么被改掉</x:v>
      </x:c>
      <x:c r="B23" s="646"/>
      <x:c r="C23" s="646"/>
      <x:c r="D23" s="646"/>
      <x:c r="E23" s="646"/>
      <x:c r="F23" s="646"/>
      <x:c r="G23" s="646"/>
      <x:c r="H23" s="646"/>
      <x:c r="I23" s="646"/>
      <x:c r="J23" s="646"/>
      <x:c r="K23" s="646"/>
      <x:c r="L23" s="646"/>
      <x:c r="M23" s="646"/>
      <x:c r="N23" s="646"/>
      <x:c r="O23" s="646"/>
      <x:c r="P23" s="646"/>
    </x:row>
    <x:row r="24" ht="50" customHeight="1">
      <x:c r="A24" s="642" t="str">
        <x:v>旧表述</x:v>
      </x:c>
      <x:c r="B24" s="642" t="str">
        <x:v>最强反证</x:v>
      </x:c>
      <x:c r="C24" s="642" t="str">
        <x:v>最终处理</x:v>
      </x:c>
      <x:c r="D24" s="642" t="str">
        <x:v>是否影响主价</x:v>
      </x:c>
      <x:c r="E24" s="642" t="str">
        <x:v>证据</x:v>
      </x:c>
      <x:c r="F24" s="642" t="str">
        <x:v>状态</x:v>
      </x:c>
    </x:row>
    <x:row r="25" ht="76" customHeight="1">
      <x:c r="A25" s="19" t="str">
        <x:v>N70 Standard只是65%候选</x:v>
      </x:c>
      <x:c r="B25" s="19" t="str">
        <x:v>申报尾标原图明确写N70</x:v>
      </x:c>
      <x:c r="C25" s="19" t="str">
        <x:v>名称与申报存在性升级；商品化仍待定；停用65%/85%</x:v>
      </x:c>
      <x:c r="D25" s="19" t="str">
        <x:v>N70条件点不变，置信上调</x:v>
      </x:c>
      <x:c r="E25" s="19" t="str">
        <x:v>MIIT原图</x:v>
      </x:c>
      <x:c r="F25" s="19" t="str">
        <x:v>CORRECTED</x:v>
      </x:c>
    </x:row>
    <x:row r="26" ht="76" customHeight="1">
      <x:c r="A26" s="643" t="str">
        <x:v>首批四个商业版本</x:v>
      </x:c>
      <x:c r="B26" s="643" t="str">
        <x:v>官方问答只说五座中大型、七座大型两类车型</x:v>
      </x:c>
      <x:c r="C26" s="643" t="str">
        <x:v>只称四个申报形态，不称四个首发销售SKU</x:v>
      </x:c>
      <x:c r="D26" s="643" t="str">
        <x:v>收缩首发树</x:v>
      </x:c>
      <x:c r="E26" s="643" t="str">
        <x:v>官方问答259+MIIT</x:v>
      </x:c>
      <x:c r="F26" s="643" t="str">
        <x:v>CORRECTED</x:v>
      </x:c>
    </x:row>
    <x:row r="27" ht="76" customHeight="1">
      <x:c r="A27" s="19" t="str">
        <x:v>N90 Max 27.99/28.99稳健双峰</x:v>
      </x:c>
      <x:c r="B27" s="19" t="str">
        <x:v>两峰差0.095个百分点，由启发式阵容权重与role uplift制造</x:v>
      </x:c>
      <x:c r="C27" s="19" t="str">
        <x:v>改为条件树：当前Max-only 27.99；有低SKU 28.99—29.99</x:v>
      </x:c>
      <x:c r="D27" s="19" t="str">
        <x:v>主价改为27.99</x:v>
      </x:c>
      <x:c r="E27" s="19" t="str">
        <x:v>130/132/133压力测试</x:v>
      </x:c>
      <x:c r="F27" s="19" t="str">
        <x:v>CORRECTED</x:v>
      </x:c>
    </x:row>
    <x:row r="28" ht="76" customHeight="1">
      <x:c r="A28" s="643" t="str">
        <x:v>跨车系始终不倒挂</x:v>
      </x:c>
      <x:c r="B28" s="643" t="str">
        <x:v>完全秩耦合把不倒挂写进模型；弱相关压力尾约一成</x:v>
      </x:c>
      <x:c r="C28" s="643" t="str">
        <x:v>只称正相关中心情景；不作保证</x:v>
      </x:c>
      <x:c r="D28" s="643" t="str">
        <x:v>单车主价不变</x:v>
      </x:c>
      <x:c r="E28" s="643" t="str">
        <x:v>136/136A</x:v>
      </x:c>
      <x:c r="F28" s="643" t="str">
        <x:v>CORRECTED</x:v>
      </x:c>
    </x:row>
    <x:row r="29" ht="76" customHeight="1">
      <x:c r="A29" s="19" t="str">
        <x:v>升顶只能站立、不能睡</x:v>
      </x:c>
      <x:c r="B29" s="19" t="str">
        <x:v>申报明确列有车顶床板供人员休息</x:v>
      </x:c>
      <x:c r="C29" s="19" t="str">
        <x:v>确认床板存在；承重、人数、升起高度仍未知</x:v>
      </x:c>
      <x:c r="D29" s="19" t="str">
        <x:v>溢价中心不变</x:v>
      </x:c>
      <x:c r="E29" s="19" t="str">
        <x:v>MIIT升顶申报</x:v>
      </x:c>
      <x:c r="F29" s="19" t="str">
        <x:v>CORRECTED</x:v>
      </x:c>
    </x:row>
    <x:row r="30" ht="76" customHeight="1">
      <x:c r="A30" s="643" t="str">
        <x:v>所有供应商都更便宜</x:v>
      </x:c>
      <x:c r="B30" s="643" t="str">
        <x:v>除电池/增程器/部分制动外，多数澎程定点未披露</x:v>
      </x:c>
      <x:c r="C30" s="643" t="str">
        <x:v>非电池降本只作行业敏感性，不称已确认采购降本</x:v>
      </x:c>
      <x:c r="D30" s="643" t="str">
        <x:v>扩大不确定性，不改中心众数</x:v>
      </x:c>
      <x:c r="E30" s="643" t="str">
        <x:v>112—117</x:v>
      </x:c>
      <x:c r="F30" s="643" t="str">
        <x:v>CORRECTED</x:v>
      </x:c>
    </x:row>
    <x:row r="31" ht="76" customHeight="1">
      <x:c r="A31" s="19" t="str">
        <x:v>61项PASS等于预测可靠</x:v>
      </x:c>
      <x:c r="B31" s="19" t="str">
        <x:v>校验只证明内部公式一致</x:v>
      </x:c>
      <x:c r="C31" s="19" t="str">
        <x:v>新增外部证据与需求反证审计；仍等待正式价</x:v>
      </x:c>
      <x:c r="D31" s="19" t="str">
        <x:v>不变</x:v>
      </x:c>
      <x:c r="E31" s="19" t="str">
        <x:v>141/142</x:v>
      </x:c>
      <x:c r="F31" s="19" t="str">
        <x:v>BOUNDARY</x:v>
      </x:c>
    </x:row>
    <x:row r="34" ht="24" customHeight="1">
      <x:c r="A34" s="646" t="str">
        <x:v>三个直接问题的最终答案</x:v>
      </x:c>
      <x:c r="B34" s="646"/>
      <x:c r="C34" s="646"/>
      <x:c r="D34" s="646"/>
      <x:c r="E34" s="646"/>
      <x:c r="F34" s="646"/>
      <x:c r="G34" s="646"/>
      <x:c r="H34" s="646"/>
      <x:c r="I34" s="646"/>
      <x:c r="J34" s="646"/>
      <x:c r="K34" s="646"/>
      <x:c r="L34" s="646"/>
      <x:c r="M34" s="646"/>
      <x:c r="N34" s="646"/>
      <x:c r="O34" s="646"/>
      <x:c r="P34" s="646"/>
    </x:row>
    <x:row r="35" ht="48" customHeight="1">
      <x:c r="A35" s="642" t="str">
        <x:v>问题</x:v>
      </x:c>
      <x:c r="B35" s="642" t="str">
        <x:v>答案</x:v>
      </x:c>
      <x:c r="C35" s="642" t="str">
        <x:v>证据强度</x:v>
      </x:c>
      <x:c r="D35" s="642" t="str">
        <x:v>关键边界</x:v>
      </x:c>
      <x:c r="E35" s="642" t="str">
        <x:v>更新触发</x:v>
      </x:c>
      <x:c r="F35" s="642" t="str">
        <x:v>状态</x:v>
      </x:c>
    </x:row>
    <x:row r="36" ht="72" customHeight="1">
      <x:c r="A36" s="19" t="str">
        <x:v>工信部是不是只有N90 Max有升顶？</x:v>
      </x:c>
      <x:c r="B36" s="19" t="str">
        <x:v>是。当前唯一升顶申报型号尾标为N90 Max，未见Standard/Pro升顶。</x:v>
      </x:c>
      <x:c r="C36" s="19" t="str">
        <x:v>HIGH</x:v>
      </x:c>
      <x:c r="D36" s="19" t="str">
        <x:v>它尚未商品化</x:v>
      </x:c>
      <x:c r="E36" s="19" t="str">
        <x:v>新申报/商品卡</x:v>
      </x:c>
      <x:c r="F36" s="19" t="str">
        <x:v>ANSWERED</x:v>
      </x:c>
    </x:row>
    <x:row r="37" ht="72" customHeight="1">
      <x:c r="A37" s="643" t="str">
        <x:v>N70有没有基础版？</x:v>
      </x:c>
      <x:c r="B37" s="643" t="str">
        <x:v>有N70申报形态，尾标就叫N70；不是“Standard”官方名。是否首发销售仍待定。</x:v>
      </x:c>
      <x:c r="C37" s="643" t="str">
        <x:v>HIGH_NAME/MEDIUM_SALE</x:v>
      </x:c>
      <x:c r="D37" s="643" t="str">
        <x:v>申报存在≠已上市</x:v>
      </x:c>
      <x:c r="E37" s="643" t="str">
        <x:v>N70商品卡</x:v>
      </x:c>
      <x:c r="F37" s="643" t="str">
        <x:v>ANSWERED</x:v>
      </x:c>
    </x:row>
    <x:row r="38" ht="72" customHeight="1">
      <x:c r="A38" s="19" t="str">
        <x:v>N90 Standard/Pro怎么理解？</x:v>
      </x:c>
      <x:c r="B38" s="19" t="str">
        <x:v>只是未来分层的说人话情景；当前首发证据为N90 Max，不把5座申报自动拆成低配。</x:v>
      </x:c>
      <x:c r="C38" s="19" t="str">
        <x:v>HIGH_BOUNDARY</x:v>
      </x:c>
      <x:c r="D38" s="19" t="str">
        <x:v>条件价不是官价</x:v>
      </x:c>
      <x:c r="E38" s="19" t="str">
        <x:v>新SKU/配置表</x:v>
      </x:c>
      <x:c r="F38" s="19" t="str">
        <x:v>ANSWERED</x:v>
      </x:c>
    </x:row>
    <x:row r="41" ht="88" customHeight="1">
      <x:c r="A41" s="19" t="str">
        <x:v>最终签字</x:v>
      </x:c>
      <x:c r="B41" s="19" t="str">
        <x:v>当前正式价主押：N70 Max 24.99万元 / N90 Max 27.99万元；条件扩展：N70 20.99万元 / N90 Max升顶29.99万元。对价格关系与条件树的把握高于对未公开SKU一定上市的把握。</x:v>
      </x:c>
      <x:c r="C41" s="19" t="str"/>
      <x:c r="D41" s="19" t="str"/>
      <x:c r="E41" s="19" t="str"/>
      <x:c r="F41" s="19" t="str"/>
      <x:c r="G41" s="19" t="str"/>
      <x:c r="H41" s="19" t="str"/>
      <x:c r="I41" s="19" t="str"/>
      <x:c r="J41" s="19" t="str"/>
      <x:c r="K41" s="19" t="str"/>
      <x:c r="L41" s="19" t="str"/>
      <x:c r="M41" s="19" t="str"/>
      <x:c r="N41" s="19" t="str"/>
      <x:c r="O41" s="19" t="str">
        <x:v>EVIDENCE_CONVERGED</x:v>
      </x:c>
      <x:c r="P41" s="19" t="str">
        <x:v>截至2026-08-06</x:v>
      </x:c>
    </x:row>
  </x:sheetData>
  <x:mergeCells>
    <x:mergeCell ref="A1:P1"/>
    <x:mergeCell ref="A2:P2"/>
    <x:mergeCell ref="A3:P3"/>
    <x:mergeCell ref="A14:P14"/>
    <x:mergeCell ref="A23:P23"/>
    <x:mergeCell ref="A34:P34"/>
  </x:mergeCells>
  <x:conditionalFormatting sqref="C6:D11">
    <x:cfRule type="containsText" dxfId="4069" priority="1" operator="containsText" text="PASS"/>
    <x:cfRule type="containsText" dxfId="4070" priority="2" operator="containsText" text="SIGNED"/>
    <x:cfRule type="containsText" dxfId="4071" priority="3" operator="containsText" text="CONFIRMED"/>
    <x:cfRule type="containsText" dxfId="4072" priority="4" operator="containsText" text="OFFICIAL"/>
    <x:cfRule type="containsText" dxfId="4073" priority="5" operator="containsText" text="FINAL"/>
    <x:cfRule type="containsText" dxfId="4074" priority="6" operator="containsText" text="READY"/>
    <x:cfRule type="containsText" dxfId="4075" priority="7" operator="containsText" text="MODEL"/>
    <x:cfRule type="containsText" dxfId="4076" priority="8" operator="containsText" text="CONDITIONAL"/>
    <x:cfRule type="containsText" dxfId="4077" priority="9" operator="containsText" text="PREDICTED"/>
    <x:cfRule type="containsText" dxfId="4078" priority="10" operator="containsText" text="MEDIUM"/>
    <x:cfRule type="containsText" dxfId="4079" priority="11" operator="containsText" text="WORKING"/>
    <x:cfRule type="containsText" dxfId="4080" priority="12" operator="containsText" text="WATCH"/>
    <x:cfRule type="containsText" dxfId="4081" priority="13" operator="containsText" text="EXCLUDED"/>
    <x:cfRule type="containsText" dxfId="4082" priority="14" operator="containsText" text="SEPARATE"/>
    <x:cfRule type="containsText" dxfId="4083" priority="15" operator="containsText" text="REGULATORY"/>
    <x:cfRule type="containsText" dxfId="4084" priority="16" operator="containsText" text="FAIL"/>
    <x:cfRule type="containsText" dxfId="4085" priority="17" operator="containsText" text="BLOCKED"/>
    <x:cfRule type="containsText" dxfId="4086" priority="18" operator="containsText" text="LOW"/>
  </x:conditionalFormatting>
  <x:conditionalFormatting sqref="N6:N11">
    <x:cfRule type="containsText" dxfId="4087" priority="19" operator="containsText" text="PASS"/>
    <x:cfRule type="containsText" dxfId="4088" priority="20" operator="containsText" text="SIGNED"/>
    <x:cfRule type="containsText" dxfId="4089" priority="21" operator="containsText" text="CONFIRMED"/>
    <x:cfRule type="containsText" dxfId="4090" priority="22" operator="containsText" text="OFFICIAL"/>
    <x:cfRule type="containsText" dxfId="4091" priority="23" operator="containsText" text="FINAL"/>
    <x:cfRule type="containsText" dxfId="4092" priority="24" operator="containsText" text="READY"/>
    <x:cfRule type="containsText" dxfId="4093" priority="25" operator="containsText" text="MODEL"/>
    <x:cfRule type="containsText" dxfId="4094" priority="26" operator="containsText" text="CONDITIONAL"/>
    <x:cfRule type="containsText" dxfId="4095" priority="27" operator="containsText" text="PREDICTED"/>
    <x:cfRule type="containsText" dxfId="4096" priority="28" operator="containsText" text="MEDIUM"/>
    <x:cfRule type="containsText" dxfId="4097" priority="29" operator="containsText" text="WORKING"/>
    <x:cfRule type="containsText" dxfId="4098" priority="30" operator="containsText" text="WATCH"/>
    <x:cfRule type="containsText" dxfId="4099" priority="31" operator="containsText" text="EXCLUDED"/>
    <x:cfRule type="containsText" dxfId="4100" priority="32" operator="containsText" text="SEPARATE"/>
    <x:cfRule type="containsText" dxfId="4101" priority="33" operator="containsText" text="REGULATORY"/>
    <x:cfRule type="containsText" dxfId="4102" priority="34" operator="containsText" text="FAIL"/>
    <x:cfRule type="containsText" dxfId="4103" priority="35" operator="containsText" text="BLOCKED"/>
    <x:cfRule type="containsText" dxfId="4104" priority="36" operator="containsText" text="LOW"/>
  </x:conditionalFormatting>
  <x:conditionalFormatting sqref="H16:J20">
    <x:cfRule type="containsText" dxfId="4105" priority="37" operator="containsText" text="PASS"/>
    <x:cfRule type="containsText" dxfId="4106" priority="38" operator="containsText" text="SIGNED"/>
    <x:cfRule type="containsText" dxfId="4107" priority="39" operator="containsText" text="CONFIRMED"/>
    <x:cfRule type="containsText" dxfId="4108" priority="40" operator="containsText" text="OFFICIAL"/>
    <x:cfRule type="containsText" dxfId="4109" priority="41" operator="containsText" text="FINAL"/>
    <x:cfRule type="containsText" dxfId="4110" priority="42" operator="containsText" text="READY"/>
    <x:cfRule type="containsText" dxfId="4111" priority="43" operator="containsText" text="MODEL"/>
    <x:cfRule type="containsText" dxfId="4112" priority="44" operator="containsText" text="CONDITIONAL"/>
    <x:cfRule type="containsText" dxfId="4113" priority="45" operator="containsText" text="PREDICTED"/>
    <x:cfRule type="containsText" dxfId="4114" priority="46" operator="containsText" text="MEDIUM"/>
    <x:cfRule type="containsText" dxfId="4115" priority="47" operator="containsText" text="WORKING"/>
    <x:cfRule type="containsText" dxfId="4116" priority="48" operator="containsText" text="WATCH"/>
    <x:cfRule type="containsText" dxfId="4117" priority="49" operator="containsText" text="EXCLUDED"/>
    <x:cfRule type="containsText" dxfId="4118" priority="50" operator="containsText" text="SEPARATE"/>
    <x:cfRule type="containsText" dxfId="4119" priority="51" operator="containsText" text="REGULATORY"/>
    <x:cfRule type="containsText" dxfId="4120" priority="52" operator="containsText" text="FAIL"/>
    <x:cfRule type="containsText" dxfId="4121" priority="53" operator="containsText" text="BLOCKED"/>
    <x:cfRule type="containsText" dxfId="4122" priority="54" operator="containsText" text="LOW"/>
  </x:conditionalFormatting>
  <x:conditionalFormatting sqref="F25:F31">
    <x:cfRule type="containsText" dxfId="4123" priority="55" operator="containsText" text="PASS"/>
    <x:cfRule type="containsText" dxfId="4124" priority="56" operator="containsText" text="SIGNED"/>
    <x:cfRule type="containsText" dxfId="4125" priority="57" operator="containsText" text="CONFIRMED"/>
    <x:cfRule type="containsText" dxfId="4126" priority="58" operator="containsText" text="OFFICIAL"/>
    <x:cfRule type="containsText" dxfId="4127" priority="59" operator="containsText" text="FINAL"/>
    <x:cfRule type="containsText" dxfId="4128" priority="60" operator="containsText" text="READY"/>
    <x:cfRule type="containsText" dxfId="4129" priority="61" operator="containsText" text="MODEL"/>
    <x:cfRule type="containsText" dxfId="4130" priority="62" operator="containsText" text="CONDITIONAL"/>
    <x:cfRule type="containsText" dxfId="4131" priority="63" operator="containsText" text="PREDICTED"/>
    <x:cfRule type="containsText" dxfId="4132" priority="64" operator="containsText" text="MEDIUM"/>
    <x:cfRule type="containsText" dxfId="4133" priority="65" operator="containsText" text="WORKING"/>
    <x:cfRule type="containsText" dxfId="4134" priority="66" operator="containsText" text="WATCH"/>
    <x:cfRule type="containsText" dxfId="4135" priority="67" operator="containsText" text="EXCLUDED"/>
    <x:cfRule type="containsText" dxfId="4136" priority="68" operator="containsText" text="SEPARATE"/>
    <x:cfRule type="containsText" dxfId="4137" priority="69" operator="containsText" text="REGULATORY"/>
    <x:cfRule type="containsText" dxfId="4138" priority="70" operator="containsText" text="FAIL"/>
    <x:cfRule type="containsText" dxfId="4139" priority="71" operator="containsText" text="BLOCKED"/>
    <x:cfRule type="containsText" dxfId="4140" priority="72" operator="containsText" text="LOW"/>
  </x:conditionalFormatting>
  <x:conditionalFormatting sqref="F36:F38">
    <x:cfRule type="containsText" dxfId="4141" priority="73" operator="containsText" text="PASS"/>
    <x:cfRule type="containsText" dxfId="4142" priority="74" operator="containsText" text="SIGNED"/>
    <x:cfRule type="containsText" dxfId="4143" priority="75" operator="containsText" text="CONFIRMED"/>
    <x:cfRule type="containsText" dxfId="4144" priority="76" operator="containsText" text="OFFICIAL"/>
    <x:cfRule type="containsText" dxfId="4145" priority="77" operator="containsText" text="FINAL"/>
    <x:cfRule type="containsText" dxfId="4146" priority="78" operator="containsText" text="READY"/>
    <x:cfRule type="containsText" dxfId="4147" priority="79" operator="containsText" text="MODEL"/>
    <x:cfRule type="containsText" dxfId="4148" priority="80" operator="containsText" text="CONDITIONAL"/>
    <x:cfRule type="containsText" dxfId="4149" priority="81" operator="containsText" text="PREDICTED"/>
    <x:cfRule type="containsText" dxfId="4150" priority="82" operator="containsText" text="MEDIUM"/>
    <x:cfRule type="containsText" dxfId="4151" priority="83" operator="containsText" text="WORKING"/>
    <x:cfRule type="containsText" dxfId="4152" priority="84" operator="containsText" text="WATCH"/>
    <x:cfRule type="containsText" dxfId="4153" priority="85" operator="containsText" text="EXCLUDED"/>
    <x:cfRule type="containsText" dxfId="4154" priority="86" operator="containsText" text="SEPARATE"/>
    <x:cfRule type="containsText" dxfId="4155" priority="87" operator="containsText" text="REGULATORY"/>
    <x:cfRule type="containsText" dxfId="4156" priority="88" operator="containsText" text="FAIL"/>
    <x:cfRule type="containsText" dxfId="4157" priority="89" operator="containsText" text="BLOCKED"/>
    <x:cfRule type="containsText" dxfId="4158" priority="90" operator="containsText" text="LOW"/>
  </x:conditionalFormatting>
  <x:conditionalFormatting sqref="O41:O41">
    <x:cfRule type="containsText" dxfId="4159" priority="91" operator="containsText" text="PASS"/>
    <x:cfRule type="containsText" dxfId="4160" priority="92" operator="containsText" text="SIGNED"/>
    <x:cfRule type="containsText" dxfId="4161" priority="93" operator="containsText" text="CONFIRMED"/>
    <x:cfRule type="containsText" dxfId="4162" priority="94" operator="containsText" text="OFFICIAL"/>
    <x:cfRule type="containsText" dxfId="4163" priority="95" operator="containsText" text="FINAL"/>
    <x:cfRule type="containsText" dxfId="4164" priority="96" operator="containsText" text="READY"/>
    <x:cfRule type="containsText" dxfId="4165" priority="97" operator="containsText" text="MODEL"/>
    <x:cfRule type="containsText" dxfId="4166" priority="98" operator="containsText" text="CONDITIONAL"/>
    <x:cfRule type="containsText" dxfId="4167" priority="99" operator="containsText" text="PREDICTED"/>
    <x:cfRule type="containsText" dxfId="4168" priority="100" operator="containsText" text="MEDIUM"/>
    <x:cfRule type="containsText" dxfId="4169" priority="101" operator="containsText" text="WORKING"/>
    <x:cfRule type="containsText" dxfId="4170" priority="102" operator="containsText" text="WATCH"/>
    <x:cfRule type="containsText" dxfId="4171" priority="103" operator="containsText" text="EXCLUDED"/>
    <x:cfRule type="containsText" dxfId="4172" priority="104" operator="containsText" text="SEPARATE"/>
    <x:cfRule type="containsText" dxfId="4173" priority="105" operator="containsText" text="REGULATORY"/>
    <x:cfRule type="containsText" dxfId="4174" priority="106" operator="containsText" text="FAIL"/>
    <x:cfRule type="containsText" dxfId="4175" priority="107" operator="containsText" text="BLOCKED"/>
    <x:cfRule type="containsText" dxfId="4176" priority="108" operator="containsText" text="LOW"/>
  </x:conditionalFormatting>
  <x:pageMargins left="0.7" right="0.7" top="0.75" bottom="0.75" header="0.3" footer="0.3"/>
</x:worksheet>
</file>